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G:\Documentos\2025\TARIFAS 2026\A. RECREATIVA\02. PROPUESTA DIREBIEN 2026\"/>
    </mc:Choice>
  </mc:AlternateContent>
  <xr:revisionPtr revIDLastSave="0" documentId="13_ncr:1_{D64FB658-E72C-43EF-890F-555785B996DF}" xr6:coauthVersionLast="47" xr6:coauthVersionMax="47" xr10:uidLastSave="{00000000-0000-0000-0000-000000000000}"/>
  <bookViews>
    <workbookView xWindow="-15" yWindow="-15" windowWidth="28830" windowHeight="7740" tabRatio="847" firstSheet="1" activeTab="6" xr2:uid="{00000000-000D-0000-FFFF-FFFF00000000}"/>
  </bookViews>
  <sheets>
    <sheet name="Instructivo" sheetId="15" r:id="rId1"/>
    <sheet name="Tabla Indice" sheetId="14" r:id="rId2"/>
    <sheet name="A) Resumen Ingresos y Egresos" sheetId="1" r:id="rId3"/>
    <sheet name="B) Reajuste Tarifas y Ocupación" sheetId="2" r:id="rId4"/>
    <sheet name="% Reajuste" sheetId="17" state="hidden" r:id="rId5"/>
    <sheet name="C) Estimación Costos Directos" sheetId="11" r:id="rId6"/>
    <sheet name="D) Costos Indirectos " sheetId="3" r:id="rId7"/>
    <sheet name="E) Resumen Tarifado" sheetId="4" r:id="rId8"/>
    <sheet name="F) Remuneraciones" sheetId="5" r:id="rId9"/>
    <sheet name="G) Comparación Mercado" sheetId="6" r:id="rId10"/>
    <sheet name="H) Detalle Datos" sheetId="7" r:id="rId11"/>
    <sheet name="I) Costo Desayuno" sheetId="8" r:id="rId12"/>
    <sheet name="J)Estructura Económica Mensual" sheetId="9" r:id="rId13"/>
    <sheet name="Hoja1" sheetId="16" state="hidden" r:id="rId14"/>
    <sheet name="K) " sheetId="12" state="hidden" r:id="rId15"/>
    <sheet name="J)" sheetId="13" state="hidden" r:id="rId16"/>
  </sheets>
  <externalReferences>
    <externalReference r:id="rId17"/>
  </externalReferenc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01" i="11" l="1"/>
  <c r="E201" i="11"/>
  <c r="E57" i="11"/>
  <c r="F57" i="11"/>
  <c r="AB27" i="2"/>
  <c r="AB15" i="2"/>
  <c r="C29" i="8"/>
  <c r="E29" i="8"/>
  <c r="Z27" i="2"/>
  <c r="Z26" i="2"/>
  <c r="Z25" i="2"/>
  <c r="Z24" i="2"/>
  <c r="Z23" i="2"/>
  <c r="Z15" i="2"/>
  <c r="Z14" i="2"/>
  <c r="Z13" i="2"/>
  <c r="Z12" i="2"/>
  <c r="J11" i="5"/>
  <c r="I11" i="5"/>
  <c r="I40" i="3" l="1"/>
  <c r="H40" i="3"/>
  <c r="G40" i="3"/>
  <c r="I17" i="3"/>
  <c r="H17" i="3"/>
  <c r="G17" i="3"/>
  <c r="I15" i="3"/>
  <c r="H15" i="3"/>
  <c r="G15" i="3"/>
  <c r="J12" i="5"/>
  <c r="I12" i="5"/>
  <c r="H12" i="5"/>
  <c r="K20" i="16"/>
  <c r="K24" i="16"/>
  <c r="K11" i="16"/>
  <c r="K12" i="16"/>
  <c r="K15" i="16"/>
  <c r="K16" i="16"/>
  <c r="K6" i="16"/>
  <c r="H20" i="16"/>
  <c r="I20" i="16"/>
  <c r="H21" i="16"/>
  <c r="K21" i="16" s="1"/>
  <c r="I21" i="16"/>
  <c r="H22" i="16"/>
  <c r="K22" i="16" s="1"/>
  <c r="I22" i="16"/>
  <c r="H23" i="16"/>
  <c r="K23" i="16" s="1"/>
  <c r="I23" i="16"/>
  <c r="H24" i="16"/>
  <c r="I24" i="16"/>
  <c r="I19" i="16"/>
  <c r="H19" i="16"/>
  <c r="K19" i="16" s="1"/>
  <c r="I10" i="16"/>
  <c r="I11" i="16"/>
  <c r="I12" i="16"/>
  <c r="I13" i="16"/>
  <c r="I14" i="16"/>
  <c r="I15" i="16"/>
  <c r="I16" i="16"/>
  <c r="I17" i="16"/>
  <c r="I9" i="16"/>
  <c r="H9" i="16"/>
  <c r="K9" i="16" s="1"/>
  <c r="H10" i="16"/>
  <c r="K10" i="16" s="1"/>
  <c r="H11" i="16"/>
  <c r="H12" i="16"/>
  <c r="H13" i="16"/>
  <c r="K13" i="16" s="1"/>
  <c r="H14" i="16"/>
  <c r="K14" i="16" s="1"/>
  <c r="H15" i="16"/>
  <c r="H16" i="16"/>
  <c r="H17" i="16"/>
  <c r="K17" i="16" s="1"/>
  <c r="I6" i="16"/>
  <c r="I7" i="16"/>
  <c r="I5" i="16"/>
  <c r="H6" i="16"/>
  <c r="H7" i="16"/>
  <c r="K7" i="16" s="1"/>
  <c r="H5" i="16"/>
  <c r="K5" i="16" s="1"/>
  <c r="K45" i="9"/>
  <c r="C45" i="9" l="1"/>
  <c r="N45" i="9" s="1"/>
  <c r="K71" i="5"/>
  <c r="L71" i="5"/>
  <c r="K11" i="5" l="1"/>
  <c r="K22" i="2"/>
  <c r="K21" i="2"/>
  <c r="I19" i="17" l="1"/>
  <c r="L19" i="17" s="1"/>
  <c r="J19" i="17"/>
  <c r="M19" i="17" s="1"/>
  <c r="I20" i="17"/>
  <c r="L20" i="17" s="1"/>
  <c r="J20" i="17"/>
  <c r="M20" i="17" s="1"/>
  <c r="I21" i="17"/>
  <c r="L21" i="17" s="1"/>
  <c r="J21" i="17"/>
  <c r="I22" i="17"/>
  <c r="J22" i="17"/>
  <c r="I23" i="17"/>
  <c r="J23" i="17"/>
  <c r="I24" i="17"/>
  <c r="J24" i="17"/>
  <c r="M24" i="17" s="1"/>
  <c r="I25" i="17"/>
  <c r="L25" i="17" s="1"/>
  <c r="J25" i="17"/>
  <c r="M25" i="17" s="1"/>
  <c r="I26" i="17"/>
  <c r="L26" i="17" s="1"/>
  <c r="J26" i="17"/>
  <c r="M26" i="17" s="1"/>
  <c r="J18" i="17"/>
  <c r="M18" i="17" s="1"/>
  <c r="I18" i="17"/>
  <c r="M21" i="17"/>
  <c r="I6" i="17"/>
  <c r="L6" i="17" s="1"/>
  <c r="J6" i="17"/>
  <c r="M6" i="17" s="1"/>
  <c r="I7" i="17"/>
  <c r="L7" i="17" s="1"/>
  <c r="J7" i="17"/>
  <c r="M7" i="17" s="1"/>
  <c r="I9" i="17"/>
  <c r="L9" i="17" s="1"/>
  <c r="J9" i="17"/>
  <c r="M9" i="17" s="1"/>
  <c r="I10" i="17"/>
  <c r="L10" i="17" s="1"/>
  <c r="J10" i="17"/>
  <c r="M10" i="17" s="1"/>
  <c r="I11" i="17"/>
  <c r="L11" i="17" s="1"/>
  <c r="J11" i="17"/>
  <c r="M11" i="17" s="1"/>
  <c r="I14" i="17"/>
  <c r="L14" i="17" s="1"/>
  <c r="J14" i="17"/>
  <c r="M14" i="17" s="1"/>
  <c r="I15" i="17"/>
  <c r="L15" i="17" s="1"/>
  <c r="J15" i="17"/>
  <c r="M15" i="17" s="1"/>
  <c r="I16" i="17"/>
  <c r="L16" i="17" s="1"/>
  <c r="L21" i="2" s="1"/>
  <c r="J16" i="17"/>
  <c r="M16" i="17" s="1"/>
  <c r="M21" i="2" s="1"/>
  <c r="I17" i="17"/>
  <c r="L17" i="17" s="1"/>
  <c r="L22" i="2" s="1"/>
  <c r="J17" i="17"/>
  <c r="M17" i="17" s="1"/>
  <c r="M22" i="2" s="1"/>
  <c r="L18" i="17"/>
  <c r="L23" i="17"/>
  <c r="M23" i="17"/>
  <c r="L24" i="17"/>
  <c r="I27" i="17"/>
  <c r="L27" i="17" s="1"/>
  <c r="J27" i="17"/>
  <c r="M27" i="17" s="1"/>
  <c r="I28" i="17"/>
  <c r="L28" i="17" s="1"/>
  <c r="J28" i="17"/>
  <c r="M28" i="17" s="1"/>
  <c r="J5" i="17"/>
  <c r="M5" i="17" s="1"/>
  <c r="I5" i="17"/>
  <c r="L5" i="17" s="1"/>
  <c r="L11" i="5"/>
  <c r="J84" i="3" l="1"/>
  <c r="K84" i="3" s="1"/>
  <c r="J83" i="3"/>
  <c r="K83" i="3" s="1"/>
  <c r="J82" i="3"/>
  <c r="K82" i="3" s="1"/>
  <c r="J81" i="3"/>
  <c r="K81" i="3" s="1"/>
  <c r="J80" i="3"/>
  <c r="K80" i="3" s="1"/>
  <c r="W78" i="3"/>
  <c r="J77" i="3"/>
  <c r="K77" i="3" s="1"/>
  <c r="J76" i="3"/>
  <c r="K76" i="3" s="1"/>
  <c r="J75" i="3"/>
  <c r="K75" i="3" s="1"/>
  <c r="K74" i="3"/>
  <c r="J74" i="3"/>
  <c r="J73" i="3"/>
  <c r="K73" i="3" s="1"/>
  <c r="W70" i="3"/>
  <c r="J69" i="3"/>
  <c r="K69" i="3" s="1"/>
  <c r="J68" i="3"/>
  <c r="K68" i="3" s="1"/>
  <c r="J67" i="3"/>
  <c r="K67" i="3" s="1"/>
  <c r="J66" i="3"/>
  <c r="K66" i="3" s="1"/>
  <c r="J65" i="3"/>
  <c r="K65" i="3" s="1"/>
  <c r="S61" i="3"/>
  <c r="K61" i="3"/>
  <c r="R61" i="3" s="1"/>
  <c r="J61" i="3"/>
  <c r="W60" i="3"/>
  <c r="S60" i="3"/>
  <c r="J60" i="3"/>
  <c r="K60" i="3" s="1"/>
  <c r="S59" i="3"/>
  <c r="J59" i="3"/>
  <c r="K59" i="3" s="1"/>
  <c r="R59" i="3" s="1"/>
  <c r="S58" i="3"/>
  <c r="J58" i="3"/>
  <c r="K58" i="3" s="1"/>
  <c r="S57" i="3"/>
  <c r="J57" i="3"/>
  <c r="K57" i="3" s="1"/>
  <c r="R57" i="3" s="1"/>
  <c r="S56" i="3"/>
  <c r="J56" i="3"/>
  <c r="K56" i="3" s="1"/>
  <c r="S55" i="3"/>
  <c r="J55" i="3"/>
  <c r="K55" i="3" s="1"/>
  <c r="S54" i="3"/>
  <c r="J54" i="3"/>
  <c r="K54" i="3" s="1"/>
  <c r="S53" i="3"/>
  <c r="J53" i="3"/>
  <c r="K53" i="3" s="1"/>
  <c r="S52" i="3"/>
  <c r="J52" i="3"/>
  <c r="K52" i="3" s="1"/>
  <c r="S51" i="3"/>
  <c r="J51" i="3"/>
  <c r="K51" i="3" s="1"/>
  <c r="R51" i="3" s="1"/>
  <c r="S50" i="3"/>
  <c r="J50" i="3"/>
  <c r="K50" i="3" s="1"/>
  <c r="W49" i="3"/>
  <c r="S49" i="3"/>
  <c r="J49" i="3"/>
  <c r="K49" i="3" s="1"/>
  <c r="S48" i="3"/>
  <c r="J48" i="3"/>
  <c r="K48" i="3" s="1"/>
  <c r="R48" i="3" s="1"/>
  <c r="S47" i="3"/>
  <c r="J47" i="3"/>
  <c r="K47" i="3" s="1"/>
  <c r="W46" i="3"/>
  <c r="S46" i="3"/>
  <c r="J46" i="3"/>
  <c r="K46" i="3" s="1"/>
  <c r="S45" i="3"/>
  <c r="J45" i="3"/>
  <c r="K45" i="3" s="1"/>
  <c r="S44" i="3"/>
  <c r="J44" i="3"/>
  <c r="K44" i="3" s="1"/>
  <c r="R44" i="3" s="1"/>
  <c r="S43" i="3"/>
  <c r="J43" i="3"/>
  <c r="K43" i="3" s="1"/>
  <c r="S42" i="3"/>
  <c r="J42" i="3"/>
  <c r="K42" i="3" s="1"/>
  <c r="W41" i="3"/>
  <c r="S41" i="3"/>
  <c r="J41" i="3"/>
  <c r="K41" i="3" s="1"/>
  <c r="R41" i="3" s="1"/>
  <c r="S40" i="3"/>
  <c r="J40" i="3"/>
  <c r="K40" i="3" s="1"/>
  <c r="S39" i="3"/>
  <c r="J39" i="3"/>
  <c r="K39" i="3" s="1"/>
  <c r="S38" i="3"/>
  <c r="J38" i="3"/>
  <c r="K38" i="3" s="1"/>
  <c r="R38" i="3" s="1"/>
  <c r="S37" i="3"/>
  <c r="J37" i="3"/>
  <c r="K37" i="3" s="1"/>
  <c r="S36" i="3"/>
  <c r="J36" i="3"/>
  <c r="K36" i="3" s="1"/>
  <c r="R36" i="3" s="1"/>
  <c r="S35" i="3"/>
  <c r="J35" i="3"/>
  <c r="K35" i="3" s="1"/>
  <c r="S34" i="3"/>
  <c r="J34" i="3"/>
  <c r="K34" i="3" s="1"/>
  <c r="R34" i="3" s="1"/>
  <c r="S33" i="3"/>
  <c r="J33" i="3"/>
  <c r="K33" i="3" s="1"/>
  <c r="S32" i="3"/>
  <c r="J32" i="3"/>
  <c r="K32" i="3" s="1"/>
  <c r="R32" i="3" s="1"/>
  <c r="S31" i="3"/>
  <c r="J31" i="3"/>
  <c r="K31" i="3" s="1"/>
  <c r="S30" i="3"/>
  <c r="J30" i="3"/>
  <c r="K30" i="3" s="1"/>
  <c r="R30" i="3" s="1"/>
  <c r="S29" i="3"/>
  <c r="J29" i="3"/>
  <c r="K29" i="3" s="1"/>
  <c r="S28" i="3"/>
  <c r="J28" i="3"/>
  <c r="K28" i="3" s="1"/>
  <c r="R28" i="3" s="1"/>
  <c r="S27" i="3"/>
  <c r="J27" i="3"/>
  <c r="K27" i="3" s="1"/>
  <c r="S26" i="3"/>
  <c r="J26" i="3"/>
  <c r="K26" i="3" s="1"/>
  <c r="R26" i="3" s="1"/>
  <c r="S25" i="3"/>
  <c r="J25" i="3"/>
  <c r="K25" i="3" s="1"/>
  <c r="S24" i="3"/>
  <c r="J24" i="3"/>
  <c r="K24" i="3" s="1"/>
  <c r="R24" i="3" s="1"/>
  <c r="S23" i="3"/>
  <c r="J23" i="3"/>
  <c r="K23" i="3" s="1"/>
  <c r="S22" i="3"/>
  <c r="J22" i="3"/>
  <c r="K22" i="3" s="1"/>
  <c r="R22" i="3" s="1"/>
  <c r="S21" i="3"/>
  <c r="J21" i="3"/>
  <c r="K21" i="3" s="1"/>
  <c r="W20" i="3"/>
  <c r="S20" i="3"/>
  <c r="J20" i="3"/>
  <c r="K20" i="3" s="1"/>
  <c r="S19" i="3"/>
  <c r="J19" i="3"/>
  <c r="K19" i="3" s="1"/>
  <c r="S18" i="3"/>
  <c r="J18" i="3"/>
  <c r="K18" i="3" s="1"/>
  <c r="S17" i="3"/>
  <c r="J17" i="3"/>
  <c r="K17" i="3" s="1"/>
  <c r="W16" i="3"/>
  <c r="S16" i="3"/>
  <c r="J16" i="3"/>
  <c r="K16" i="3" s="1"/>
  <c r="R16" i="3" s="1"/>
  <c r="S15" i="3"/>
  <c r="J15" i="3"/>
  <c r="K15" i="3" s="1"/>
  <c r="E4" i="3"/>
  <c r="L12" i="5"/>
  <c r="L13" i="5"/>
  <c r="L14" i="5"/>
  <c r="L15" i="5"/>
  <c r="L16" i="5"/>
  <c r="L17" i="5"/>
  <c r="L18" i="5"/>
  <c r="L19" i="5"/>
  <c r="L72" i="5"/>
  <c r="L73" i="5"/>
  <c r="L74" i="5"/>
  <c r="L75" i="5"/>
  <c r="L76" i="5"/>
  <c r="L77" i="5"/>
  <c r="L78" i="5"/>
  <c r="L79" i="5"/>
  <c r="L92" i="5"/>
  <c r="L93" i="5"/>
  <c r="L94" i="5"/>
  <c r="L95" i="5"/>
  <c r="L96" i="5"/>
  <c r="L97" i="5"/>
  <c r="L98" i="5"/>
  <c r="L99" i="5"/>
  <c r="L91" i="5"/>
  <c r="O22" i="2"/>
  <c r="L130" i="5"/>
  <c r="L129" i="5"/>
  <c r="L128" i="5"/>
  <c r="L127" i="5"/>
  <c r="L126" i="5"/>
  <c r="L125" i="5"/>
  <c r="L124" i="5"/>
  <c r="L123" i="5"/>
  <c r="L122" i="5"/>
  <c r="L121" i="5"/>
  <c r="L120" i="5"/>
  <c r="L119" i="5"/>
  <c r="L118" i="5"/>
  <c r="L117" i="5"/>
  <c r="L116" i="5"/>
  <c r="L115" i="5"/>
  <c r="L114" i="5"/>
  <c r="L113" i="5"/>
  <c r="L112" i="5"/>
  <c r="L111" i="5"/>
  <c r="L110" i="5"/>
  <c r="L109" i="5"/>
  <c r="L108" i="5"/>
  <c r="L107" i="5"/>
  <c r="L106" i="5"/>
  <c r="L105" i="5"/>
  <c r="L104" i="5"/>
  <c r="L103" i="5"/>
  <c r="L102" i="5"/>
  <c r="L101" i="5"/>
  <c r="L100" i="5"/>
  <c r="L90" i="5"/>
  <c r="L89" i="5"/>
  <c r="L88" i="5"/>
  <c r="L87" i="5"/>
  <c r="L86" i="5"/>
  <c r="L85" i="5"/>
  <c r="L84" i="5"/>
  <c r="L83" i="5"/>
  <c r="L82" i="5"/>
  <c r="L81" i="5"/>
  <c r="L80" i="5"/>
  <c r="L70" i="5"/>
  <c r="L69" i="5"/>
  <c r="L68" i="5"/>
  <c r="L67" i="5"/>
  <c r="L66" i="5"/>
  <c r="L65" i="5"/>
  <c r="L64" i="5"/>
  <c r="L63" i="5"/>
  <c r="L62" i="5"/>
  <c r="L61" i="5"/>
  <c r="L60" i="5"/>
  <c r="L59" i="5"/>
  <c r="L58" i="5"/>
  <c r="L57" i="5"/>
  <c r="L56" i="5"/>
  <c r="L55" i="5"/>
  <c r="L54" i="5"/>
  <c r="L53" i="5"/>
  <c r="L52" i="5"/>
  <c r="L51" i="5"/>
  <c r="L50" i="5"/>
  <c r="L49" i="5"/>
  <c r="L48" i="5"/>
  <c r="L47" i="5"/>
  <c r="L46" i="5"/>
  <c r="L45" i="5"/>
  <c r="L44" i="5"/>
  <c r="L43" i="5"/>
  <c r="L42" i="5"/>
  <c r="L41" i="5"/>
  <c r="L40" i="5"/>
  <c r="L39" i="5"/>
  <c r="L38" i="5"/>
  <c r="L37" i="5"/>
  <c r="L36" i="5"/>
  <c r="L35" i="5"/>
  <c r="L34" i="5"/>
  <c r="L33" i="5"/>
  <c r="L32" i="5"/>
  <c r="L31" i="5"/>
  <c r="L30" i="5"/>
  <c r="L29" i="5"/>
  <c r="L28" i="5"/>
  <c r="L27" i="5"/>
  <c r="L26" i="5"/>
  <c r="L25" i="5"/>
  <c r="L24" i="5"/>
  <c r="L23" i="5"/>
  <c r="L22" i="5"/>
  <c r="L21" i="5"/>
  <c r="L20" i="5"/>
  <c r="Y21" i="2"/>
  <c r="Y22" i="2"/>
  <c r="H12" i="1"/>
  <c r="G12" i="1"/>
  <c r="F12" i="1"/>
  <c r="K12" i="9"/>
  <c r="C12" i="9"/>
  <c r="K20" i="5"/>
  <c r="F54" i="1"/>
  <c r="G54" i="1"/>
  <c r="F57" i="1"/>
  <c r="G57" i="1"/>
  <c r="E57" i="1"/>
  <c r="E54" i="1"/>
  <c r="D59" i="1"/>
  <c r="C34" i="9"/>
  <c r="K56" i="9"/>
  <c r="C56" i="9"/>
  <c r="K34" i="9"/>
  <c r="O45" i="9"/>
  <c r="M25" i="6"/>
  <c r="Q57" i="9"/>
  <c r="Q46" i="9"/>
  <c r="Q35" i="9"/>
  <c r="Q24" i="9"/>
  <c r="P24" i="9" s="1"/>
  <c r="Q9" i="9"/>
  <c r="Q10" i="9"/>
  <c r="Q11" i="9"/>
  <c r="Q12" i="9"/>
  <c r="Q13" i="9"/>
  <c r="Q14" i="9"/>
  <c r="D29" i="1"/>
  <c r="D32" i="1"/>
  <c r="Q58" i="9"/>
  <c r="Q56" i="9"/>
  <c r="Q55" i="9"/>
  <c r="Q54" i="9"/>
  <c r="Q53" i="9"/>
  <c r="Q47" i="9"/>
  <c r="Q45" i="9"/>
  <c r="Q44" i="9"/>
  <c r="Q43" i="9"/>
  <c r="Q42" i="9"/>
  <c r="Q36" i="9"/>
  <c r="Q34" i="9"/>
  <c r="Q33" i="9"/>
  <c r="Q32" i="9"/>
  <c r="Q31" i="9"/>
  <c r="Q25" i="9"/>
  <c r="P25" i="9" s="1"/>
  <c r="Q23" i="9"/>
  <c r="P23" i="9" s="1"/>
  <c r="Q22" i="9"/>
  <c r="P22" i="9" s="1"/>
  <c r="Q21" i="9"/>
  <c r="P21" i="9" s="1"/>
  <c r="Q20" i="9"/>
  <c r="P20" i="9" s="1"/>
  <c r="K87" i="5"/>
  <c r="K130" i="5"/>
  <c r="K129" i="5"/>
  <c r="K128" i="5"/>
  <c r="K127" i="5"/>
  <c r="K126" i="5"/>
  <c r="K125" i="5"/>
  <c r="K124" i="5"/>
  <c r="K123" i="5"/>
  <c r="K122" i="5"/>
  <c r="K121" i="5"/>
  <c r="K120" i="5"/>
  <c r="K119" i="5"/>
  <c r="K118" i="5"/>
  <c r="K117" i="5"/>
  <c r="K116" i="5"/>
  <c r="K115" i="5"/>
  <c r="K114" i="5"/>
  <c r="K113" i="5"/>
  <c r="K112" i="5"/>
  <c r="K111" i="5"/>
  <c r="K110" i="5"/>
  <c r="K109" i="5"/>
  <c r="K108" i="5"/>
  <c r="K107" i="5"/>
  <c r="K106" i="5"/>
  <c r="K105" i="5"/>
  <c r="K104" i="5"/>
  <c r="K103" i="5"/>
  <c r="K102" i="5"/>
  <c r="K101" i="5"/>
  <c r="K100" i="5"/>
  <c r="K99" i="5"/>
  <c r="K98" i="5"/>
  <c r="K97" i="5"/>
  <c r="K96" i="5"/>
  <c r="K95" i="5"/>
  <c r="K94" i="5"/>
  <c r="K93" i="5"/>
  <c r="K92" i="5"/>
  <c r="K91" i="5"/>
  <c r="K90" i="5"/>
  <c r="K89" i="5"/>
  <c r="K88" i="5"/>
  <c r="K86" i="5"/>
  <c r="K85" i="5"/>
  <c r="K84" i="5"/>
  <c r="K83" i="5"/>
  <c r="K82" i="5"/>
  <c r="K81" i="5"/>
  <c r="K80" i="5"/>
  <c r="K79" i="5"/>
  <c r="K78" i="5"/>
  <c r="K77" i="5"/>
  <c r="K76" i="5"/>
  <c r="K75" i="5"/>
  <c r="K74" i="5"/>
  <c r="K73" i="5"/>
  <c r="K72" i="5"/>
  <c r="K70" i="5"/>
  <c r="K69" i="5"/>
  <c r="K68" i="5"/>
  <c r="K67" i="5"/>
  <c r="K66" i="5"/>
  <c r="K65" i="5"/>
  <c r="K64" i="5"/>
  <c r="K63" i="5"/>
  <c r="K62" i="5"/>
  <c r="K61" i="5"/>
  <c r="K60" i="5"/>
  <c r="K59" i="5"/>
  <c r="K58" i="5"/>
  <c r="K57" i="5"/>
  <c r="K56" i="5"/>
  <c r="K55" i="5"/>
  <c r="K54" i="5"/>
  <c r="K53" i="5"/>
  <c r="K52" i="5"/>
  <c r="K51" i="5"/>
  <c r="K50" i="5"/>
  <c r="K49" i="5"/>
  <c r="K48" i="5"/>
  <c r="K47" i="5"/>
  <c r="K46" i="5"/>
  <c r="K45" i="5"/>
  <c r="K44" i="5"/>
  <c r="K43" i="5"/>
  <c r="K42" i="5"/>
  <c r="K41" i="5"/>
  <c r="K40" i="5"/>
  <c r="K39" i="5"/>
  <c r="K38" i="5"/>
  <c r="K37" i="5"/>
  <c r="K36" i="5"/>
  <c r="K35" i="5"/>
  <c r="K34" i="5"/>
  <c r="K33" i="5"/>
  <c r="K32" i="5"/>
  <c r="K31" i="5"/>
  <c r="K30" i="5"/>
  <c r="K29" i="5"/>
  <c r="K28" i="5"/>
  <c r="K27" i="5"/>
  <c r="K26" i="5"/>
  <c r="K25" i="5"/>
  <c r="K24" i="5"/>
  <c r="K23" i="5"/>
  <c r="K22" i="5"/>
  <c r="K21" i="5"/>
  <c r="K19" i="5"/>
  <c r="K18" i="5"/>
  <c r="K17" i="5"/>
  <c r="K16" i="5"/>
  <c r="K15" i="5"/>
  <c r="K14" i="5"/>
  <c r="K13" i="5"/>
  <c r="K12" i="5"/>
  <c r="M37" i="6"/>
  <c r="G37" i="6" s="1"/>
  <c r="D19" i="11"/>
  <c r="D17" i="11"/>
  <c r="Y13" i="2"/>
  <c r="P32" i="9"/>
  <c r="L15" i="12"/>
  <c r="D15" i="12"/>
  <c r="F15" i="12"/>
  <c r="B91" i="1"/>
  <c r="B88" i="1"/>
  <c r="B84" i="1"/>
  <c r="B81" i="1"/>
  <c r="B78" i="1"/>
  <c r="B75" i="1"/>
  <c r="B72" i="1"/>
  <c r="B69" i="1"/>
  <c r="B66" i="1"/>
  <c r="B63" i="1"/>
  <c r="B60" i="1"/>
  <c r="B50" i="1"/>
  <c r="B47" i="1"/>
  <c r="B43" i="1"/>
  <c r="B40" i="1"/>
  <c r="B37" i="1"/>
  <c r="B34" i="1"/>
  <c r="B31" i="1"/>
  <c r="B28" i="1"/>
  <c r="B25" i="1"/>
  <c r="B36" i="6"/>
  <c r="B37" i="6"/>
  <c r="B35" i="6"/>
  <c r="B32" i="6"/>
  <c r="B33" i="6"/>
  <c r="B34" i="6"/>
  <c r="B31" i="6"/>
  <c r="B30" i="6"/>
  <c r="B29" i="6"/>
  <c r="B28" i="6"/>
  <c r="B27" i="6"/>
  <c r="B26" i="6"/>
  <c r="B25" i="6"/>
  <c r="B24" i="6"/>
  <c r="B22" i="6"/>
  <c r="B23" i="6"/>
  <c r="B21" i="6"/>
  <c r="B20" i="6"/>
  <c r="B18" i="6"/>
  <c r="B19" i="6"/>
  <c r="B17" i="6"/>
  <c r="A37" i="6"/>
  <c r="A35" i="6"/>
  <c r="A26" i="6"/>
  <c r="A24" i="6"/>
  <c r="A17" i="6"/>
  <c r="B111" i="5"/>
  <c r="B91" i="5"/>
  <c r="B71" i="5"/>
  <c r="B51" i="5"/>
  <c r="B31" i="5"/>
  <c r="B11" i="5"/>
  <c r="B29" i="4"/>
  <c r="B28" i="4"/>
  <c r="B25" i="4"/>
  <c r="B26" i="4"/>
  <c r="B27" i="4"/>
  <c r="B24" i="4"/>
  <c r="B23" i="4"/>
  <c r="B17" i="4"/>
  <c r="B18" i="4"/>
  <c r="B19" i="4"/>
  <c r="B20" i="4"/>
  <c r="B21" i="4"/>
  <c r="B22" i="4"/>
  <c r="B15" i="4"/>
  <c r="B16" i="4"/>
  <c r="B14" i="4"/>
  <c r="B13" i="4"/>
  <c r="B11" i="4"/>
  <c r="B12" i="4"/>
  <c r="B10" i="4"/>
  <c r="A28" i="4"/>
  <c r="A19" i="4"/>
  <c r="A17" i="4"/>
  <c r="A10" i="4"/>
  <c r="A227" i="11"/>
  <c r="A155" i="11"/>
  <c r="A83" i="11"/>
  <c r="A11" i="11"/>
  <c r="A88" i="1"/>
  <c r="A60" i="1"/>
  <c r="A47" i="1"/>
  <c r="A25" i="1"/>
  <c r="A12" i="1"/>
  <c r="A11" i="1"/>
  <c r="A10" i="1"/>
  <c r="A9" i="1"/>
  <c r="Z36" i="13"/>
  <c r="Z37" i="13"/>
  <c r="Z38" i="13"/>
  <c r="Y36" i="13"/>
  <c r="Y37" i="13"/>
  <c r="Y38" i="13"/>
  <c r="X36" i="13"/>
  <c r="X37" i="13"/>
  <c r="X38" i="13"/>
  <c r="W36" i="13"/>
  <c r="W37" i="13"/>
  <c r="W38" i="13"/>
  <c r="V36" i="13"/>
  <c r="V37" i="13"/>
  <c r="V38" i="13"/>
  <c r="U36" i="13"/>
  <c r="U37" i="13"/>
  <c r="U38" i="13"/>
  <c r="T36" i="13"/>
  <c r="T37" i="13"/>
  <c r="T38" i="13"/>
  <c r="S36" i="13"/>
  <c r="S37" i="13"/>
  <c r="S38" i="13"/>
  <c r="R36" i="13"/>
  <c r="R37" i="13"/>
  <c r="R38" i="13"/>
  <c r="Q36" i="13"/>
  <c r="Q37" i="13"/>
  <c r="Q38" i="13"/>
  <c r="P36" i="13"/>
  <c r="P37" i="13"/>
  <c r="P38" i="13"/>
  <c r="O36" i="13"/>
  <c r="O37" i="13"/>
  <c r="O38" i="13"/>
  <c r="N36" i="13"/>
  <c r="N37" i="13"/>
  <c r="N38" i="13"/>
  <c r="M36" i="13"/>
  <c r="M37" i="13"/>
  <c r="M38" i="13"/>
  <c r="L36" i="13"/>
  <c r="L37" i="13"/>
  <c r="L38" i="13"/>
  <c r="K36" i="13"/>
  <c r="K37" i="13"/>
  <c r="K38" i="13"/>
  <c r="J36" i="13"/>
  <c r="J37" i="13"/>
  <c r="J38" i="13"/>
  <c r="E48" i="13" s="1"/>
  <c r="I36" i="13"/>
  <c r="I37" i="13"/>
  <c r="I38" i="13"/>
  <c r="D48" i="13" s="1"/>
  <c r="H36" i="13"/>
  <c r="H37" i="13"/>
  <c r="H38" i="13"/>
  <c r="G36" i="13"/>
  <c r="G37" i="13"/>
  <c r="G38" i="13"/>
  <c r="F36" i="13"/>
  <c r="F37" i="13"/>
  <c r="F38" i="13"/>
  <c r="E46" i="13" s="1"/>
  <c r="E36" i="13"/>
  <c r="E37" i="13"/>
  <c r="E38" i="13"/>
  <c r="Z35" i="13"/>
  <c r="Y35" i="13"/>
  <c r="X35" i="13"/>
  <c r="W35" i="13"/>
  <c r="V35" i="13"/>
  <c r="U35" i="13"/>
  <c r="T35" i="13"/>
  <c r="S35" i="13"/>
  <c r="R35" i="13"/>
  <c r="Q35" i="13"/>
  <c r="P35" i="13"/>
  <c r="O35" i="13"/>
  <c r="N35" i="13"/>
  <c r="M35" i="13"/>
  <c r="L35" i="13"/>
  <c r="E49" i="13"/>
  <c r="K35" i="13"/>
  <c r="D49" i="13" s="1"/>
  <c r="J35" i="13"/>
  <c r="I35" i="13"/>
  <c r="H35" i="13"/>
  <c r="E47" i="13"/>
  <c r="G35" i="13"/>
  <c r="D47" i="13" s="1"/>
  <c r="F35" i="13"/>
  <c r="E35" i="13"/>
  <c r="D36" i="13"/>
  <c r="D37" i="13"/>
  <c r="D38" i="13"/>
  <c r="D35" i="13"/>
  <c r="E45" i="13" s="1"/>
  <c r="C38" i="13"/>
  <c r="C37" i="13"/>
  <c r="C36" i="13"/>
  <c r="C35" i="13"/>
  <c r="D70" i="12"/>
  <c r="Y67" i="12"/>
  <c r="W67" i="12"/>
  <c r="U67" i="12"/>
  <c r="S67" i="12"/>
  <c r="Q67" i="12"/>
  <c r="O67" i="12"/>
  <c r="M67" i="12"/>
  <c r="K67" i="12"/>
  <c r="E67" i="12"/>
  <c r="C67" i="12"/>
  <c r="L59" i="12"/>
  <c r="J59" i="12"/>
  <c r="H59" i="12"/>
  <c r="F59" i="12"/>
  <c r="D59" i="12"/>
  <c r="S56" i="12"/>
  <c r="C56" i="12"/>
  <c r="D45" i="13"/>
  <c r="D46" i="13"/>
  <c r="D50" i="13"/>
  <c r="L48" i="12"/>
  <c r="J48" i="12"/>
  <c r="H48" i="12"/>
  <c r="F48" i="12"/>
  <c r="D48" i="12"/>
  <c r="C45" i="12"/>
  <c r="S45" i="12"/>
  <c r="L25" i="12"/>
  <c r="L26" i="12" s="1"/>
  <c r="J25" i="12"/>
  <c r="J26" i="12" s="1"/>
  <c r="H25" i="12"/>
  <c r="H26" i="12" s="1"/>
  <c r="F25" i="12"/>
  <c r="F26" i="12"/>
  <c r="D25" i="12"/>
  <c r="D26" i="12" s="1"/>
  <c r="Y23" i="12"/>
  <c r="W23" i="12"/>
  <c r="U23" i="12"/>
  <c r="S23" i="12"/>
  <c r="Q23" i="12"/>
  <c r="O23" i="12"/>
  <c r="M23" i="12"/>
  <c r="K23" i="12"/>
  <c r="E23" i="12"/>
  <c r="C23" i="12"/>
  <c r="J15" i="12"/>
  <c r="H15" i="12"/>
  <c r="S12" i="12"/>
  <c r="C12" i="12"/>
  <c r="R29" i="4"/>
  <c r="R28" i="4"/>
  <c r="R17" i="4"/>
  <c r="R18" i="4"/>
  <c r="R19" i="4"/>
  <c r="R20" i="4"/>
  <c r="R21" i="4"/>
  <c r="R22" i="4"/>
  <c r="R11" i="4"/>
  <c r="R12" i="4"/>
  <c r="R10" i="4"/>
  <c r="Q29" i="4"/>
  <c r="Q28" i="4"/>
  <c r="Q17" i="4"/>
  <c r="Q18" i="4"/>
  <c r="Q19" i="4"/>
  <c r="Q20" i="4"/>
  <c r="Q21" i="4"/>
  <c r="Q22" i="4"/>
  <c r="Q11" i="4"/>
  <c r="Q12" i="4"/>
  <c r="Q10" i="4"/>
  <c r="P29" i="4"/>
  <c r="P28" i="4"/>
  <c r="P17" i="4"/>
  <c r="O17" i="4" s="1"/>
  <c r="P18" i="4"/>
  <c r="O18" i="4" s="1"/>
  <c r="P19" i="4"/>
  <c r="O19" i="4" s="1"/>
  <c r="P20" i="4"/>
  <c r="O20" i="4" s="1"/>
  <c r="P21" i="4"/>
  <c r="O21" i="4" s="1"/>
  <c r="P22" i="4"/>
  <c r="O22" i="4" s="1"/>
  <c r="P11" i="4"/>
  <c r="O11" i="4" s="1"/>
  <c r="P12" i="4"/>
  <c r="O12" i="4" s="1"/>
  <c r="P10" i="4"/>
  <c r="O10" i="4" s="1"/>
  <c r="J28" i="4"/>
  <c r="J29" i="4"/>
  <c r="I28" i="4"/>
  <c r="I29" i="4"/>
  <c r="H28" i="4"/>
  <c r="H29" i="4"/>
  <c r="G20" i="4"/>
  <c r="G21" i="4"/>
  <c r="G22" i="4"/>
  <c r="G19" i="4"/>
  <c r="G11" i="4"/>
  <c r="G12" i="4"/>
  <c r="G10" i="4"/>
  <c r="G92" i="1"/>
  <c r="G89" i="1"/>
  <c r="G85" i="1"/>
  <c r="G82" i="1"/>
  <c r="G79" i="1"/>
  <c r="G76" i="1"/>
  <c r="G70" i="1"/>
  <c r="G67" i="1"/>
  <c r="G64" i="1"/>
  <c r="G61" i="1"/>
  <c r="G51" i="1"/>
  <c r="G48" i="1"/>
  <c r="G44" i="1"/>
  <c r="G41" i="1"/>
  <c r="G38" i="1"/>
  <c r="G32" i="1"/>
  <c r="G29" i="1"/>
  <c r="G26" i="1"/>
  <c r="F92" i="1"/>
  <c r="F89" i="1"/>
  <c r="F85" i="1"/>
  <c r="F82" i="1"/>
  <c r="F76" i="1"/>
  <c r="F70" i="1"/>
  <c r="F67" i="1"/>
  <c r="F64" i="1"/>
  <c r="F61" i="1"/>
  <c r="F51" i="1"/>
  <c r="F48" i="1"/>
  <c r="F44" i="1"/>
  <c r="F41" i="1"/>
  <c r="F38" i="1"/>
  <c r="F32" i="1"/>
  <c r="F29" i="1"/>
  <c r="F26" i="1"/>
  <c r="E92" i="1"/>
  <c r="E89" i="1"/>
  <c r="E85" i="1"/>
  <c r="E82" i="1"/>
  <c r="E79" i="1"/>
  <c r="E76" i="1"/>
  <c r="E70" i="1"/>
  <c r="E67" i="1"/>
  <c r="E64" i="1"/>
  <c r="E61" i="1"/>
  <c r="E51" i="1"/>
  <c r="E48" i="1"/>
  <c r="E44" i="1"/>
  <c r="E41" i="1"/>
  <c r="E38" i="1"/>
  <c r="E32" i="1"/>
  <c r="E29" i="1"/>
  <c r="E26" i="1"/>
  <c r="D70" i="1"/>
  <c r="D67" i="1"/>
  <c r="D64" i="1"/>
  <c r="D61" i="1"/>
  <c r="D26" i="1"/>
  <c r="E27" i="8"/>
  <c r="E26" i="8"/>
  <c r="E25" i="8"/>
  <c r="E24" i="8"/>
  <c r="E23" i="8"/>
  <c r="E22" i="8"/>
  <c r="E21" i="8"/>
  <c r="E20" i="8"/>
  <c r="E19" i="8"/>
  <c r="E18" i="8"/>
  <c r="E17" i="8"/>
  <c r="E16" i="8"/>
  <c r="E15" i="8"/>
  <c r="H37" i="6"/>
  <c r="M36" i="6"/>
  <c r="M35" i="6"/>
  <c r="M34" i="6"/>
  <c r="M33" i="6"/>
  <c r="M32" i="6"/>
  <c r="M31" i="6"/>
  <c r="M29" i="6"/>
  <c r="M28" i="6"/>
  <c r="M27" i="6"/>
  <c r="M26" i="6"/>
  <c r="M24" i="6"/>
  <c r="M23" i="6"/>
  <c r="M22" i="6"/>
  <c r="M21" i="6"/>
  <c r="M19" i="6"/>
  <c r="M18" i="6"/>
  <c r="M17" i="6"/>
  <c r="B9" i="4"/>
  <c r="A9" i="4"/>
  <c r="G295" i="11"/>
  <c r="H295" i="11" s="1"/>
  <c r="G294" i="11"/>
  <c r="H294" i="11" s="1"/>
  <c r="D293" i="11"/>
  <c r="G292" i="11"/>
  <c r="H292" i="11" s="1"/>
  <c r="G291" i="11"/>
  <c r="H291" i="11" s="1"/>
  <c r="G290" i="11"/>
  <c r="H290" i="11" s="1"/>
  <c r="G289" i="11"/>
  <c r="H289" i="11" s="1"/>
  <c r="G288" i="11"/>
  <c r="H288" i="11"/>
  <c r="G287" i="11"/>
  <c r="H287" i="11" s="1"/>
  <c r="G286" i="11"/>
  <c r="H286" i="11" s="1"/>
  <c r="D285" i="11"/>
  <c r="G284" i="11"/>
  <c r="H284" i="11" s="1"/>
  <c r="G283" i="11"/>
  <c r="H283" i="11" s="1"/>
  <c r="G282" i="11"/>
  <c r="H282" i="11"/>
  <c r="G281" i="11"/>
  <c r="H281" i="11" s="1"/>
  <c r="G280" i="11"/>
  <c r="H280" i="11" s="1"/>
  <c r="G279" i="11"/>
  <c r="H279" i="11" s="1"/>
  <c r="G278" i="11"/>
  <c r="H278" i="11"/>
  <c r="G277" i="11"/>
  <c r="H277" i="11" s="1"/>
  <c r="G276" i="11"/>
  <c r="D275" i="11"/>
  <c r="G274" i="11"/>
  <c r="H274" i="11" s="1"/>
  <c r="G273" i="11"/>
  <c r="H273" i="11" s="1"/>
  <c r="G272" i="11"/>
  <c r="H272" i="11" s="1"/>
  <c r="G271" i="11"/>
  <c r="H271" i="11" s="1"/>
  <c r="G270" i="11"/>
  <c r="H270" i="11" s="1"/>
  <c r="G269" i="11"/>
  <c r="H269" i="11"/>
  <c r="G268" i="11"/>
  <c r="H268" i="11" s="1"/>
  <c r="G267" i="11"/>
  <c r="H267" i="11" s="1"/>
  <c r="G266" i="11"/>
  <c r="H266" i="11" s="1"/>
  <c r="G265" i="11"/>
  <c r="H265" i="11" s="1"/>
  <c r="D264" i="11"/>
  <c r="G263" i="11"/>
  <c r="H263" i="11" s="1"/>
  <c r="G262" i="11"/>
  <c r="H262" i="11" s="1"/>
  <c r="D261" i="11"/>
  <c r="G260" i="11"/>
  <c r="H260" i="11" s="1"/>
  <c r="G259" i="11"/>
  <c r="H259" i="11" s="1"/>
  <c r="G258" i="11"/>
  <c r="H258" i="11" s="1"/>
  <c r="G257" i="11"/>
  <c r="H257" i="11" s="1"/>
  <c r="D256" i="11"/>
  <c r="G254" i="11"/>
  <c r="H254" i="11" s="1"/>
  <c r="G253" i="11"/>
  <c r="H253" i="11" s="1"/>
  <c r="G252" i="11"/>
  <c r="H252" i="11" s="1"/>
  <c r="G251" i="11"/>
  <c r="H251" i="11" s="1"/>
  <c r="G250" i="11"/>
  <c r="H250" i="11" s="1"/>
  <c r="G249" i="11"/>
  <c r="H249" i="11" s="1"/>
  <c r="G248" i="11"/>
  <c r="H248" i="11" s="1"/>
  <c r="G247" i="11"/>
  <c r="H247" i="11" s="1"/>
  <c r="G246" i="11"/>
  <c r="H246" i="11" s="1"/>
  <c r="G245" i="11"/>
  <c r="H245" i="11" s="1"/>
  <c r="G244" i="11"/>
  <c r="H244" i="11" s="1"/>
  <c r="G243" i="11"/>
  <c r="H243" i="11" s="1"/>
  <c r="G242" i="11"/>
  <c r="H242" i="11" s="1"/>
  <c r="G241" i="11"/>
  <c r="H241" i="11" s="1"/>
  <c r="G240" i="11"/>
  <c r="H240" i="11" s="1"/>
  <c r="G239" i="11"/>
  <c r="H239" i="11" s="1"/>
  <c r="G238" i="11"/>
  <c r="H238" i="11" s="1"/>
  <c r="G237" i="11"/>
  <c r="H237" i="11" s="1"/>
  <c r="G236" i="11"/>
  <c r="H236" i="11" s="1"/>
  <c r="D235" i="11"/>
  <c r="G234" i="11"/>
  <c r="H234" i="11" s="1"/>
  <c r="H233" i="11" s="1"/>
  <c r="D233" i="11"/>
  <c r="G232" i="11"/>
  <c r="H232" i="11" s="1"/>
  <c r="G231" i="11"/>
  <c r="G230" i="11"/>
  <c r="H230" i="11" s="1"/>
  <c r="G223" i="11"/>
  <c r="H223" i="11" s="1"/>
  <c r="G222" i="11"/>
  <c r="D221" i="11"/>
  <c r="G220" i="11"/>
  <c r="H220" i="11" s="1"/>
  <c r="G219" i="11"/>
  <c r="H219" i="11" s="1"/>
  <c r="G218" i="11"/>
  <c r="H218" i="11" s="1"/>
  <c r="G217" i="11"/>
  <c r="H217" i="11" s="1"/>
  <c r="G216" i="11"/>
  <c r="H216" i="11" s="1"/>
  <c r="G215" i="11"/>
  <c r="H215" i="11" s="1"/>
  <c r="G214" i="11"/>
  <c r="D213" i="11"/>
  <c r="G212" i="11"/>
  <c r="H212" i="11"/>
  <c r="G11" i="1" s="1"/>
  <c r="G211" i="11"/>
  <c r="H211" i="11" s="1"/>
  <c r="G210" i="11"/>
  <c r="H210" i="11" s="1"/>
  <c r="G209" i="11"/>
  <c r="H209" i="11" s="1"/>
  <c r="G208" i="11"/>
  <c r="H208" i="11" s="1"/>
  <c r="G207" i="11"/>
  <c r="H207" i="11" s="1"/>
  <c r="G206" i="11"/>
  <c r="H206" i="11" s="1"/>
  <c r="G205" i="11"/>
  <c r="H205" i="11" s="1"/>
  <c r="G204" i="11"/>
  <c r="H204" i="11" s="1"/>
  <c r="D203" i="11"/>
  <c r="G202" i="11"/>
  <c r="H202" i="11" s="1"/>
  <c r="G200" i="11"/>
  <c r="H200" i="11"/>
  <c r="G199" i="11"/>
  <c r="H199" i="11"/>
  <c r="G198" i="11"/>
  <c r="H198" i="11" s="1"/>
  <c r="G197" i="11"/>
  <c r="H197" i="11" s="1"/>
  <c r="G196" i="11"/>
  <c r="H196" i="11" s="1"/>
  <c r="G195" i="11"/>
  <c r="H195" i="11" s="1"/>
  <c r="G194" i="11"/>
  <c r="H194" i="11" s="1"/>
  <c r="G193" i="11"/>
  <c r="H193" i="11" s="1"/>
  <c r="D192" i="11"/>
  <c r="G191" i="11"/>
  <c r="H191" i="11"/>
  <c r="G190" i="11"/>
  <c r="G189" i="11" s="1"/>
  <c r="D189" i="11"/>
  <c r="G188" i="11"/>
  <c r="H188" i="11" s="1"/>
  <c r="G187" i="11"/>
  <c r="H187" i="11" s="1"/>
  <c r="G186" i="11"/>
  <c r="H186" i="11" s="1"/>
  <c r="G185" i="11"/>
  <c r="H185" i="11" s="1"/>
  <c r="D184" i="11"/>
  <c r="G182" i="11"/>
  <c r="H182" i="11"/>
  <c r="G181" i="11"/>
  <c r="H181" i="11" s="1"/>
  <c r="G180" i="11"/>
  <c r="H180" i="11" s="1"/>
  <c r="G179" i="11"/>
  <c r="H179" i="11" s="1"/>
  <c r="G178" i="11"/>
  <c r="H178" i="11" s="1"/>
  <c r="G177" i="11"/>
  <c r="H177" i="11" s="1"/>
  <c r="G176" i="11"/>
  <c r="H176" i="11" s="1"/>
  <c r="G175" i="11"/>
  <c r="H175" i="11" s="1"/>
  <c r="G174" i="11"/>
  <c r="H174" i="11" s="1"/>
  <c r="G173" i="11"/>
  <c r="H173" i="11" s="1"/>
  <c r="G172" i="11"/>
  <c r="H172" i="11" s="1"/>
  <c r="G171" i="11"/>
  <c r="H171" i="11" s="1"/>
  <c r="G170" i="11"/>
  <c r="H170" i="11" s="1"/>
  <c r="G169" i="11"/>
  <c r="H169" i="11" s="1"/>
  <c r="G168" i="11"/>
  <c r="H168" i="11" s="1"/>
  <c r="G167" i="11"/>
  <c r="H167" i="11" s="1"/>
  <c r="G166" i="11"/>
  <c r="H166" i="11" s="1"/>
  <c r="G165" i="11"/>
  <c r="H165" i="11" s="1"/>
  <c r="G164" i="11"/>
  <c r="H164" i="11" s="1"/>
  <c r="D163" i="11"/>
  <c r="G162" i="11"/>
  <c r="G161" i="11" s="1"/>
  <c r="D161" i="11"/>
  <c r="G160" i="11"/>
  <c r="G159" i="11"/>
  <c r="G158" i="11"/>
  <c r="H158" i="11" s="1"/>
  <c r="G151" i="11"/>
  <c r="H151" i="11" s="1"/>
  <c r="G150" i="11"/>
  <c r="H150" i="11" s="1"/>
  <c r="D149" i="11"/>
  <c r="G148" i="11"/>
  <c r="H148" i="11" s="1"/>
  <c r="G147" i="11"/>
  <c r="H147" i="11" s="1"/>
  <c r="G146" i="11"/>
  <c r="H146" i="11" s="1"/>
  <c r="G145" i="11"/>
  <c r="H145" i="11" s="1"/>
  <c r="G144" i="11"/>
  <c r="H144" i="11" s="1"/>
  <c r="G143" i="11"/>
  <c r="H143" i="11" s="1"/>
  <c r="G142" i="11"/>
  <c r="H142" i="11" s="1"/>
  <c r="D141" i="11"/>
  <c r="G140" i="11"/>
  <c r="H140" i="11" s="1"/>
  <c r="G10" i="1" s="1"/>
  <c r="G139" i="11"/>
  <c r="H139" i="11" s="1"/>
  <c r="G138" i="11"/>
  <c r="H138" i="11" s="1"/>
  <c r="G137" i="11"/>
  <c r="H137" i="11" s="1"/>
  <c r="G136" i="11"/>
  <c r="H136" i="11" s="1"/>
  <c r="G135" i="11"/>
  <c r="H135" i="11" s="1"/>
  <c r="G134" i="11"/>
  <c r="H134" i="11" s="1"/>
  <c r="G133" i="11"/>
  <c r="H133" i="11" s="1"/>
  <c r="G132" i="11"/>
  <c r="H132" i="11" s="1"/>
  <c r="D131" i="11"/>
  <c r="G130" i="11"/>
  <c r="H130" i="11" s="1"/>
  <c r="G129" i="11"/>
  <c r="H129" i="11" s="1"/>
  <c r="G128" i="11"/>
  <c r="H128" i="11" s="1"/>
  <c r="G127" i="11"/>
  <c r="H127" i="11" s="1"/>
  <c r="G126" i="11"/>
  <c r="H126" i="11" s="1"/>
  <c r="G125" i="11"/>
  <c r="H125" i="11" s="1"/>
  <c r="G124" i="11"/>
  <c r="H124" i="11" s="1"/>
  <c r="G123" i="11"/>
  <c r="H123" i="11" s="1"/>
  <c r="G122" i="11"/>
  <c r="H122" i="11" s="1"/>
  <c r="G121" i="11"/>
  <c r="D120" i="11"/>
  <c r="G119" i="11"/>
  <c r="H119" i="11" s="1"/>
  <c r="G118" i="11"/>
  <c r="H118" i="11" s="1"/>
  <c r="D117" i="11"/>
  <c r="G116" i="11"/>
  <c r="H116" i="11" s="1"/>
  <c r="G115" i="11"/>
  <c r="H115" i="11"/>
  <c r="G114" i="11"/>
  <c r="H114" i="11" s="1"/>
  <c r="G113" i="11"/>
  <c r="H113" i="11" s="1"/>
  <c r="D112" i="11"/>
  <c r="G110" i="11"/>
  <c r="H110" i="11" s="1"/>
  <c r="G109" i="11"/>
  <c r="H109" i="11" s="1"/>
  <c r="G108" i="11"/>
  <c r="H108" i="11" s="1"/>
  <c r="G107" i="11"/>
  <c r="H107" i="11" s="1"/>
  <c r="G106" i="11"/>
  <c r="H106" i="11" s="1"/>
  <c r="G105" i="11"/>
  <c r="H105" i="11" s="1"/>
  <c r="G104" i="11"/>
  <c r="H104" i="11" s="1"/>
  <c r="G103" i="11"/>
  <c r="H103" i="11" s="1"/>
  <c r="G102" i="11"/>
  <c r="H102" i="11" s="1"/>
  <c r="G101" i="11"/>
  <c r="H101" i="11" s="1"/>
  <c r="G100" i="11"/>
  <c r="H100" i="11" s="1"/>
  <c r="G99" i="11"/>
  <c r="H99" i="11" s="1"/>
  <c r="G98" i="11"/>
  <c r="H98" i="11" s="1"/>
  <c r="G97" i="11"/>
  <c r="H97" i="11" s="1"/>
  <c r="G96" i="11"/>
  <c r="H96" i="11" s="1"/>
  <c r="G95" i="11"/>
  <c r="H95" i="11"/>
  <c r="G94" i="11"/>
  <c r="H94" i="11" s="1"/>
  <c r="G93" i="11"/>
  <c r="H93" i="11" s="1"/>
  <c r="G92" i="11"/>
  <c r="H92" i="11" s="1"/>
  <c r="D91" i="11"/>
  <c r="G90" i="11"/>
  <c r="G89" i="11" s="1"/>
  <c r="D89" i="11"/>
  <c r="G88" i="11"/>
  <c r="H88" i="11" s="1"/>
  <c r="G87" i="11"/>
  <c r="H87" i="11" s="1"/>
  <c r="G86" i="11"/>
  <c r="H86" i="11" s="1"/>
  <c r="H153" i="11"/>
  <c r="H225" i="11" s="1"/>
  <c r="G79" i="11"/>
  <c r="H79" i="11" s="1"/>
  <c r="G78" i="11"/>
  <c r="D77" i="11"/>
  <c r="G76" i="11"/>
  <c r="H76" i="11" s="1"/>
  <c r="G75" i="11"/>
  <c r="H75" i="11" s="1"/>
  <c r="G74" i="11"/>
  <c r="H74" i="11" s="1"/>
  <c r="G73" i="11"/>
  <c r="H73" i="11" s="1"/>
  <c r="G72" i="11"/>
  <c r="H72" i="11" s="1"/>
  <c r="G71" i="11"/>
  <c r="H71" i="11" s="1"/>
  <c r="G70" i="11"/>
  <c r="D69" i="11"/>
  <c r="G68" i="11"/>
  <c r="H68" i="11" s="1"/>
  <c r="G9" i="1" s="1"/>
  <c r="G67" i="11"/>
  <c r="H67" i="11" s="1"/>
  <c r="G66" i="11"/>
  <c r="H66" i="11" s="1"/>
  <c r="G65" i="11"/>
  <c r="H65" i="11" s="1"/>
  <c r="G64" i="11"/>
  <c r="H64" i="11" s="1"/>
  <c r="G63" i="11"/>
  <c r="H63" i="11" s="1"/>
  <c r="G62" i="11"/>
  <c r="H62" i="11" s="1"/>
  <c r="G61" i="11"/>
  <c r="H61" i="11" s="1"/>
  <c r="G60" i="11"/>
  <c r="H60" i="11" s="1"/>
  <c r="D59" i="11"/>
  <c r="G58" i="11"/>
  <c r="H58" i="11" s="1"/>
  <c r="G56" i="11"/>
  <c r="H56" i="11" s="1"/>
  <c r="G55" i="11"/>
  <c r="H55" i="11" s="1"/>
  <c r="G54" i="11"/>
  <c r="H54" i="11" s="1"/>
  <c r="G53" i="11"/>
  <c r="H53" i="11" s="1"/>
  <c r="G52" i="11"/>
  <c r="H52" i="11" s="1"/>
  <c r="G51" i="11"/>
  <c r="H51" i="11" s="1"/>
  <c r="G50" i="11"/>
  <c r="H50" i="11" s="1"/>
  <c r="G49" i="11"/>
  <c r="H49" i="11" s="1"/>
  <c r="G47" i="11"/>
  <c r="H47" i="11" s="1"/>
  <c r="G46" i="11"/>
  <c r="H46" i="11" s="1"/>
  <c r="G44" i="11"/>
  <c r="H44" i="11" s="1"/>
  <c r="G43" i="11"/>
  <c r="G42" i="11"/>
  <c r="H42" i="11" s="1"/>
  <c r="G41" i="11"/>
  <c r="H41" i="11" s="1"/>
  <c r="D40" i="11"/>
  <c r="G38" i="11"/>
  <c r="H38" i="11" s="1"/>
  <c r="G37" i="11"/>
  <c r="H37" i="11" s="1"/>
  <c r="G36" i="11"/>
  <c r="H36" i="11" s="1"/>
  <c r="G35" i="11"/>
  <c r="H35" i="11" s="1"/>
  <c r="G34" i="11"/>
  <c r="H34" i="11" s="1"/>
  <c r="G33" i="11"/>
  <c r="H33" i="11" s="1"/>
  <c r="G32" i="11"/>
  <c r="H32" i="11" s="1"/>
  <c r="G31" i="11"/>
  <c r="H31" i="11" s="1"/>
  <c r="G30" i="11"/>
  <c r="H30" i="11" s="1"/>
  <c r="G29" i="11"/>
  <c r="H29" i="11" s="1"/>
  <c r="G28" i="11"/>
  <c r="H28" i="11" s="1"/>
  <c r="G27" i="11"/>
  <c r="H27" i="11" s="1"/>
  <c r="G26" i="11"/>
  <c r="H26" i="11" s="1"/>
  <c r="G25" i="11"/>
  <c r="H25" i="11" s="1"/>
  <c r="G24" i="11"/>
  <c r="H24" i="11" s="1"/>
  <c r="G23" i="11"/>
  <c r="H23" i="11" s="1"/>
  <c r="G22" i="11"/>
  <c r="H22" i="11"/>
  <c r="G21" i="11"/>
  <c r="H21" i="11" s="1"/>
  <c r="G20" i="11"/>
  <c r="H20" i="11" s="1"/>
  <c r="G18" i="11"/>
  <c r="G17" i="11" s="1"/>
  <c r="G16" i="11"/>
  <c r="G15" i="11"/>
  <c r="H15" i="11" s="1"/>
  <c r="G14" i="11"/>
  <c r="H14" i="11" s="1"/>
  <c r="Y34" i="2"/>
  <c r="T34" i="2"/>
  <c r="S34" i="2"/>
  <c r="K34" i="2"/>
  <c r="Y33" i="2"/>
  <c r="T33" i="2"/>
  <c r="M33" i="2"/>
  <c r="L33" i="2"/>
  <c r="K33" i="2"/>
  <c r="E91" i="1" s="1"/>
  <c r="H93" i="1" s="1"/>
  <c r="Y32" i="2"/>
  <c r="T32" i="2"/>
  <c r="S32" i="2"/>
  <c r="M32" i="2"/>
  <c r="L32" i="2"/>
  <c r="K32" i="2"/>
  <c r="Y31" i="2"/>
  <c r="T31" i="2"/>
  <c r="J27" i="4"/>
  <c r="I27" i="4"/>
  <c r="H27" i="4"/>
  <c r="Y30" i="2"/>
  <c r="T30" i="2"/>
  <c r="J26" i="4"/>
  <c r="I26" i="4"/>
  <c r="H26" i="4"/>
  <c r="Y29" i="2"/>
  <c r="T29" i="2"/>
  <c r="J25" i="4"/>
  <c r="I25" i="4"/>
  <c r="H25" i="4"/>
  <c r="Y28" i="2"/>
  <c r="T28" i="2"/>
  <c r="J24" i="4"/>
  <c r="I24" i="4"/>
  <c r="H24" i="4"/>
  <c r="T27" i="2"/>
  <c r="Y26" i="2"/>
  <c r="T26" i="2"/>
  <c r="Y25" i="2"/>
  <c r="T25" i="2"/>
  <c r="Y24" i="2"/>
  <c r="T24" i="2"/>
  <c r="Y23" i="2"/>
  <c r="T23" i="2"/>
  <c r="S23" i="2"/>
  <c r="Y20" i="2"/>
  <c r="T20" i="2"/>
  <c r="Y19" i="2"/>
  <c r="T19" i="2"/>
  <c r="S19" i="2"/>
  <c r="Y18" i="2"/>
  <c r="T18" i="2"/>
  <c r="J16" i="4"/>
  <c r="I16" i="4"/>
  <c r="H16" i="4"/>
  <c r="Y17" i="2"/>
  <c r="T17" i="2"/>
  <c r="J15" i="4"/>
  <c r="I15" i="4"/>
  <c r="H15" i="4"/>
  <c r="Y16" i="2"/>
  <c r="T16" i="2"/>
  <c r="J14" i="4"/>
  <c r="I14" i="4"/>
  <c r="H14" i="4"/>
  <c r="T15" i="2"/>
  <c r="Y14" i="2"/>
  <c r="T14" i="2"/>
  <c r="T13" i="2"/>
  <c r="Y12" i="2"/>
  <c r="T12" i="2"/>
  <c r="S12" i="2"/>
  <c r="D94" i="1"/>
  <c r="H276" i="11"/>
  <c r="P45" i="9"/>
  <c r="H70" i="11"/>
  <c r="H121" i="11"/>
  <c r="H231" i="11"/>
  <c r="H214" i="11"/>
  <c r="Y21" i="12"/>
  <c r="Q21" i="12"/>
  <c r="I21" i="12"/>
  <c r="S21" i="12"/>
  <c r="S24" i="12" s="1"/>
  <c r="C21" i="12"/>
  <c r="W21" i="12"/>
  <c r="W24" i="12" s="1"/>
  <c r="O21" i="12"/>
  <c r="O24" i="12" s="1"/>
  <c r="G21" i="12"/>
  <c r="G24" i="12" s="1"/>
  <c r="U21" i="12"/>
  <c r="U24" i="12" s="1"/>
  <c r="M21" i="12"/>
  <c r="M24" i="12" s="1"/>
  <c r="E21" i="12"/>
  <c r="K21" i="12"/>
  <c r="K24" i="12" s="1"/>
  <c r="U65" i="12"/>
  <c r="M65" i="12"/>
  <c r="E65" i="12"/>
  <c r="G65" i="12"/>
  <c r="C65" i="12"/>
  <c r="S65" i="12"/>
  <c r="K65" i="12"/>
  <c r="O65" i="12"/>
  <c r="Y65" i="12"/>
  <c r="Q65" i="12"/>
  <c r="I65" i="12"/>
  <c r="W65" i="12"/>
  <c r="U54" i="12"/>
  <c r="M54" i="12"/>
  <c r="E54" i="12"/>
  <c r="E57" i="12" s="1"/>
  <c r="O54" i="12"/>
  <c r="S54" i="12"/>
  <c r="K54" i="12"/>
  <c r="W54" i="12"/>
  <c r="Y54" i="12"/>
  <c r="Q54" i="12"/>
  <c r="I54" i="12"/>
  <c r="C54" i="12"/>
  <c r="G54" i="12"/>
  <c r="Y11" i="12"/>
  <c r="Q11" i="12"/>
  <c r="I11" i="12"/>
  <c r="G11" i="12"/>
  <c r="W11" i="12"/>
  <c r="O11" i="12"/>
  <c r="K11" i="12"/>
  <c r="U11" i="12"/>
  <c r="M11" i="12"/>
  <c r="E11" i="12"/>
  <c r="S11" i="12"/>
  <c r="C11" i="12"/>
  <c r="W44" i="12"/>
  <c r="O44" i="12"/>
  <c r="G44" i="12"/>
  <c r="C44" i="12"/>
  <c r="AA44" i="12" s="1"/>
  <c r="U44" i="12"/>
  <c r="M44" i="12"/>
  <c r="E44" i="12"/>
  <c r="Q44" i="12"/>
  <c r="S44" i="12"/>
  <c r="K44" i="12"/>
  <c r="Y44" i="12"/>
  <c r="I44" i="12"/>
  <c r="Y22" i="12"/>
  <c r="Q22" i="12"/>
  <c r="I22" i="12"/>
  <c r="S22" i="12"/>
  <c r="W22" i="12"/>
  <c r="O22" i="12"/>
  <c r="G22" i="12"/>
  <c r="C22" i="12"/>
  <c r="U22" i="12"/>
  <c r="M22" i="12"/>
  <c r="E22" i="12"/>
  <c r="K22" i="12"/>
  <c r="U66" i="12"/>
  <c r="M66" i="12"/>
  <c r="E66" i="12"/>
  <c r="W66" i="12"/>
  <c r="G66" i="12"/>
  <c r="S66" i="12"/>
  <c r="K66" i="12"/>
  <c r="C66" i="12"/>
  <c r="AA66" i="12" s="1"/>
  <c r="O66" i="12"/>
  <c r="Y66" i="12"/>
  <c r="Q66" i="12"/>
  <c r="I66" i="12"/>
  <c r="S10" i="12"/>
  <c r="S13" i="12" s="1"/>
  <c r="K10" i="12"/>
  <c r="K13" i="12"/>
  <c r="C10" i="12"/>
  <c r="M10" i="12"/>
  <c r="M13" i="12" s="1"/>
  <c r="Y10" i="12"/>
  <c r="Y13" i="12" s="1"/>
  <c r="Q10" i="12"/>
  <c r="Q13" i="12" s="1"/>
  <c r="I10" i="12"/>
  <c r="I13" i="12" s="1"/>
  <c r="U10" i="12"/>
  <c r="W10" i="12"/>
  <c r="W13" i="12" s="1"/>
  <c r="O10" i="12"/>
  <c r="G10" i="12"/>
  <c r="E10" i="12"/>
  <c r="Y43" i="12"/>
  <c r="Y46" i="12" s="1"/>
  <c r="Q43" i="12"/>
  <c r="Q46" i="12" s="1"/>
  <c r="I43" i="12"/>
  <c r="I46" i="12" s="1"/>
  <c r="W43" i="12"/>
  <c r="W46" i="12" s="1"/>
  <c r="O43" i="12"/>
  <c r="G43" i="12"/>
  <c r="G46" i="12" s="1"/>
  <c r="K43" i="12"/>
  <c r="K46" i="12"/>
  <c r="C43" i="12"/>
  <c r="AA43" i="12" s="1"/>
  <c r="U43" i="12"/>
  <c r="U46" i="12" s="1"/>
  <c r="M43" i="12"/>
  <c r="M46" i="12" s="1"/>
  <c r="E43" i="12"/>
  <c r="E46" i="12" s="1"/>
  <c r="S43" i="12"/>
  <c r="S46" i="12" s="1"/>
  <c r="Y55" i="12"/>
  <c r="G55" i="12"/>
  <c r="C55" i="12"/>
  <c r="C57" i="12"/>
  <c r="E55" i="12"/>
  <c r="U13" i="12"/>
  <c r="E68" i="12"/>
  <c r="G13" i="12"/>
  <c r="O13" i="12"/>
  <c r="E24" i="12"/>
  <c r="I24" i="12"/>
  <c r="O46" i="12"/>
  <c r="AA11" i="12"/>
  <c r="C68" i="12"/>
  <c r="AA65" i="12"/>
  <c r="Q24" i="12"/>
  <c r="E13" i="12"/>
  <c r="C24" i="12"/>
  <c r="Y24" i="12"/>
  <c r="C13" i="12"/>
  <c r="AA10" i="12"/>
  <c r="H160" i="11"/>
  <c r="Y45" i="12" l="1"/>
  <c r="AA45" i="12" s="1"/>
  <c r="Y56" i="12"/>
  <c r="G156" i="11"/>
  <c r="W40" i="3"/>
  <c r="W80" i="3" s="1"/>
  <c r="W15" i="3"/>
  <c r="C46" i="12"/>
  <c r="G40" i="11"/>
  <c r="G77" i="11"/>
  <c r="G149" i="11"/>
  <c r="N56" i="9"/>
  <c r="P56" i="9" s="1"/>
  <c r="H203" i="11"/>
  <c r="H159" i="11"/>
  <c r="G261" i="11"/>
  <c r="H117" i="11"/>
  <c r="G12" i="11"/>
  <c r="D183" i="11"/>
  <c r="H16" i="11"/>
  <c r="H293" i="11"/>
  <c r="G117" i="11"/>
  <c r="H112" i="11"/>
  <c r="H261" i="11"/>
  <c r="H43" i="11"/>
  <c r="H40" i="11" s="1"/>
  <c r="G203" i="11"/>
  <c r="H78" i="11"/>
  <c r="H77" i="11" s="1"/>
  <c r="G112" i="11"/>
  <c r="H149" i="11"/>
  <c r="G221" i="11"/>
  <c r="G275" i="11"/>
  <c r="G264" i="11"/>
  <c r="G84" i="11"/>
  <c r="G256" i="11"/>
  <c r="G141" i="11"/>
  <c r="G235" i="11"/>
  <c r="G59" i="11"/>
  <c r="H184" i="11"/>
  <c r="H275" i="11"/>
  <c r="H18" i="11"/>
  <c r="H17" i="11" s="1"/>
  <c r="G228" i="11"/>
  <c r="N34" i="9"/>
  <c r="O34" i="9" s="1"/>
  <c r="E44" i="9"/>
  <c r="G201" i="11"/>
  <c r="G192" i="11" s="1"/>
  <c r="F11" i="1"/>
  <c r="G163" i="11"/>
  <c r="G155" i="11" s="1"/>
  <c r="D111" i="11"/>
  <c r="F10" i="1"/>
  <c r="D54" i="9"/>
  <c r="M10" i="9"/>
  <c r="D55" i="9"/>
  <c r="N33" i="9"/>
  <c r="R46" i="3"/>
  <c r="N46" i="3"/>
  <c r="R42" i="3"/>
  <c r="P42" i="3"/>
  <c r="R53" i="3"/>
  <c r="P53" i="3"/>
  <c r="N53" i="3"/>
  <c r="H131" i="11"/>
  <c r="H141" i="11"/>
  <c r="H285" i="11"/>
  <c r="H120" i="11"/>
  <c r="R55" i="3"/>
  <c r="P55" i="3"/>
  <c r="G91" i="11"/>
  <c r="G83" i="11" s="1"/>
  <c r="H10" i="1"/>
  <c r="G184" i="11"/>
  <c r="C11" i="9"/>
  <c r="C10" i="9"/>
  <c r="E10" i="9"/>
  <c r="H190" i="11"/>
  <c r="H189" i="11" s="1"/>
  <c r="H90" i="11"/>
  <c r="H89" i="11" s="1"/>
  <c r="G233" i="11"/>
  <c r="D11" i="9"/>
  <c r="M31" i="5"/>
  <c r="I23" i="12" s="1"/>
  <c r="N55" i="9"/>
  <c r="L10" i="9"/>
  <c r="N12" i="9"/>
  <c r="P12" i="9" s="1"/>
  <c r="H10" i="9"/>
  <c r="G120" i="11"/>
  <c r="G293" i="11"/>
  <c r="D44" i="9"/>
  <c r="N10" i="9"/>
  <c r="H45" i="11"/>
  <c r="D255" i="11"/>
  <c r="H264" i="11"/>
  <c r="E43" i="9"/>
  <c r="I43" i="9"/>
  <c r="L43" i="9"/>
  <c r="F43" i="9"/>
  <c r="M71" i="5"/>
  <c r="D157" i="11" s="1"/>
  <c r="H43" i="9"/>
  <c r="C43" i="9"/>
  <c r="D43" i="9"/>
  <c r="K43" i="9"/>
  <c r="G43" i="9"/>
  <c r="N43" i="9"/>
  <c r="J43" i="9"/>
  <c r="M43" i="9"/>
  <c r="N51" i="3"/>
  <c r="N59" i="3"/>
  <c r="J10" i="9"/>
  <c r="G213" i="11"/>
  <c r="H222" i="11"/>
  <c r="H221" i="11" s="1"/>
  <c r="D39" i="11"/>
  <c r="G23" i="12"/>
  <c r="C33" i="9"/>
  <c r="C44" i="9"/>
  <c r="G67" i="12"/>
  <c r="F10" i="9"/>
  <c r="H162" i="11"/>
  <c r="H161" i="11" s="1"/>
  <c r="G69" i="11"/>
  <c r="N44" i="9"/>
  <c r="K10" i="9"/>
  <c r="N11" i="9"/>
  <c r="G10" i="9"/>
  <c r="G285" i="11"/>
  <c r="G131" i="11"/>
  <c r="H235" i="11"/>
  <c r="C57" i="9" s="1"/>
  <c r="M51" i="5"/>
  <c r="D85" i="11" s="1"/>
  <c r="H85" i="11" s="1"/>
  <c r="I10" i="9"/>
  <c r="D10" i="9"/>
  <c r="N44" i="3"/>
  <c r="P46" i="3"/>
  <c r="P51" i="3"/>
  <c r="N57" i="3"/>
  <c r="P59" i="3"/>
  <c r="N42" i="3"/>
  <c r="P44" i="3"/>
  <c r="N55" i="3"/>
  <c r="P57" i="3"/>
  <c r="M11" i="5"/>
  <c r="E55" i="9"/>
  <c r="C55" i="9"/>
  <c r="E11" i="9"/>
  <c r="D33" i="9"/>
  <c r="E33" i="9"/>
  <c r="N54" i="9"/>
  <c r="E88" i="1"/>
  <c r="H90" i="1" s="1"/>
  <c r="H94" i="1" s="1"/>
  <c r="C12" i="1" s="1"/>
  <c r="O32" i="2"/>
  <c r="F91" i="1"/>
  <c r="F93" i="1" s="1"/>
  <c r="P33" i="2"/>
  <c r="F53" i="1"/>
  <c r="F55" i="1" s="1"/>
  <c r="P21" i="2"/>
  <c r="E36" i="6"/>
  <c r="H36" i="6" s="1"/>
  <c r="Q33" i="2"/>
  <c r="G56" i="1"/>
  <c r="G58" i="1" s="1"/>
  <c r="Q22" i="2"/>
  <c r="E53" i="1"/>
  <c r="E55" i="1" s="1"/>
  <c r="O21" i="2"/>
  <c r="D35" i="6"/>
  <c r="G35" i="6" s="1"/>
  <c r="P32" i="2"/>
  <c r="E35" i="6"/>
  <c r="H35" i="6" s="1"/>
  <c r="Q32" i="2"/>
  <c r="C36" i="6"/>
  <c r="F36" i="6" s="1"/>
  <c r="O33" i="2"/>
  <c r="G53" i="1"/>
  <c r="G55" i="1" s="1"/>
  <c r="Q21" i="2"/>
  <c r="F56" i="1"/>
  <c r="F58" i="1" s="1"/>
  <c r="P22" i="2"/>
  <c r="C37" i="6"/>
  <c r="F37" i="6" s="1"/>
  <c r="F29" i="4"/>
  <c r="N29" i="4" s="1"/>
  <c r="F88" i="1"/>
  <c r="F90" i="1" s="1"/>
  <c r="N33" i="3"/>
  <c r="P33" i="3"/>
  <c r="R33" i="3"/>
  <c r="P50" i="3"/>
  <c r="N50" i="3"/>
  <c r="R50" i="3"/>
  <c r="P17" i="3"/>
  <c r="N17" i="3"/>
  <c r="R17" i="3"/>
  <c r="P19" i="3"/>
  <c r="N19" i="3"/>
  <c r="R19" i="3"/>
  <c r="N27" i="3"/>
  <c r="P27" i="3"/>
  <c r="R27" i="3"/>
  <c r="N35" i="3"/>
  <c r="P35" i="3"/>
  <c r="R35" i="3"/>
  <c r="P43" i="3"/>
  <c r="R43" i="3"/>
  <c r="N43" i="3"/>
  <c r="N49" i="3"/>
  <c r="P49" i="3"/>
  <c r="R49" i="3"/>
  <c r="P56" i="3"/>
  <c r="N56" i="3"/>
  <c r="R56" i="3"/>
  <c r="K70" i="3"/>
  <c r="K78" i="3"/>
  <c r="K85" i="3"/>
  <c r="N25" i="3"/>
  <c r="P25" i="3"/>
  <c r="R25" i="3"/>
  <c r="N47" i="3"/>
  <c r="P47" i="3"/>
  <c r="R47" i="3"/>
  <c r="N21" i="3"/>
  <c r="R21" i="3"/>
  <c r="P21" i="3"/>
  <c r="N29" i="3"/>
  <c r="P29" i="3"/>
  <c r="R29" i="3"/>
  <c r="N37" i="3"/>
  <c r="R37" i="3"/>
  <c r="P37" i="3"/>
  <c r="P40" i="3"/>
  <c r="N40" i="3"/>
  <c r="R40" i="3"/>
  <c r="P54" i="3"/>
  <c r="N54" i="3"/>
  <c r="R54" i="3"/>
  <c r="P45" i="3"/>
  <c r="N45" i="3"/>
  <c r="R45" i="3"/>
  <c r="P58" i="3"/>
  <c r="N58" i="3"/>
  <c r="R58" i="3"/>
  <c r="P15" i="3"/>
  <c r="R15" i="3"/>
  <c r="N15" i="3"/>
  <c r="K62" i="3"/>
  <c r="N18" i="3"/>
  <c r="R18" i="3"/>
  <c r="P18" i="3"/>
  <c r="R20" i="3"/>
  <c r="P20" i="3"/>
  <c r="N20" i="3"/>
  <c r="N23" i="3"/>
  <c r="P23" i="3"/>
  <c r="R23" i="3"/>
  <c r="N31" i="3"/>
  <c r="P31" i="3"/>
  <c r="R31" i="3"/>
  <c r="N39" i="3"/>
  <c r="R39" i="3"/>
  <c r="P39" i="3"/>
  <c r="P52" i="3"/>
  <c r="N52" i="3"/>
  <c r="R52" i="3"/>
  <c r="P60" i="3"/>
  <c r="N60" i="3"/>
  <c r="R60" i="3"/>
  <c r="N22" i="3"/>
  <c r="N24" i="3"/>
  <c r="N26" i="3"/>
  <c r="N28" i="3"/>
  <c r="N30" i="3"/>
  <c r="N32" i="3"/>
  <c r="N34" i="3"/>
  <c r="N36" i="3"/>
  <c r="N38" i="3"/>
  <c r="N41" i="3"/>
  <c r="N48" i="3"/>
  <c r="N61" i="3"/>
  <c r="P22" i="3"/>
  <c r="P24" i="3"/>
  <c r="P26" i="3"/>
  <c r="P28" i="3"/>
  <c r="P30" i="3"/>
  <c r="P32" i="3"/>
  <c r="P34" i="3"/>
  <c r="P36" i="3"/>
  <c r="P38" i="3"/>
  <c r="P41" i="3"/>
  <c r="P48" i="3"/>
  <c r="P61" i="3"/>
  <c r="C54" i="9"/>
  <c r="M91" i="5"/>
  <c r="D229" i="11" s="1"/>
  <c r="H229" i="11" s="1"/>
  <c r="H228" i="11" s="1"/>
  <c r="E54" i="9"/>
  <c r="Y12" i="12"/>
  <c r="AA12" i="12" s="1"/>
  <c r="H59" i="11"/>
  <c r="H256" i="11"/>
  <c r="H213" i="11"/>
  <c r="H11" i="1"/>
  <c r="G13" i="1"/>
  <c r="H163" i="11"/>
  <c r="H91" i="11"/>
  <c r="H9" i="1"/>
  <c r="H69" i="11"/>
  <c r="G45" i="11"/>
  <c r="F9" i="1"/>
  <c r="G19" i="11"/>
  <c r="H19" i="11"/>
  <c r="E29" i="4"/>
  <c r="M29" i="4" s="1"/>
  <c r="D36" i="6"/>
  <c r="G36" i="6" s="1"/>
  <c r="E28" i="4"/>
  <c r="M28" i="4" s="1"/>
  <c r="D29" i="4"/>
  <c r="L29" i="4" s="1"/>
  <c r="G91" i="1"/>
  <c r="G93" i="1" s="1"/>
  <c r="G88" i="1"/>
  <c r="G90" i="1" s="1"/>
  <c r="F28" i="4"/>
  <c r="N28" i="4" s="1"/>
  <c r="C35" i="6"/>
  <c r="F35" i="6" s="1"/>
  <c r="D28" i="4"/>
  <c r="L28" i="4" s="1"/>
  <c r="E56" i="1"/>
  <c r="E58" i="1" s="1"/>
  <c r="E93" i="1"/>
  <c r="O56" i="9" l="1"/>
  <c r="G11" i="11"/>
  <c r="G111" i="11"/>
  <c r="G227" i="11"/>
  <c r="H255" i="11"/>
  <c r="J58" i="9" s="1"/>
  <c r="D84" i="11"/>
  <c r="D83" i="11" s="1"/>
  <c r="D152" i="11" s="1"/>
  <c r="G152" i="11"/>
  <c r="G255" i="11"/>
  <c r="G296" i="11" s="1"/>
  <c r="E57" i="9"/>
  <c r="P34" i="9"/>
  <c r="O44" i="9"/>
  <c r="H201" i="11"/>
  <c r="H192" i="11" s="1"/>
  <c r="H183" i="11" s="1"/>
  <c r="K47" i="9" s="1"/>
  <c r="G57" i="11"/>
  <c r="H57" i="11" s="1"/>
  <c r="H48" i="11" s="1"/>
  <c r="H39" i="11" s="1"/>
  <c r="K14" i="9" s="1"/>
  <c r="F13" i="1"/>
  <c r="P33" i="9"/>
  <c r="O33" i="9"/>
  <c r="P44" i="9"/>
  <c r="O11" i="9"/>
  <c r="E90" i="1"/>
  <c r="I90" i="1" s="1"/>
  <c r="J90" i="1" s="1"/>
  <c r="D156" i="11"/>
  <c r="D155" i="11" s="1"/>
  <c r="D224" i="11" s="1"/>
  <c r="H157" i="11"/>
  <c r="H156" i="11" s="1"/>
  <c r="H155" i="11" s="1"/>
  <c r="H111" i="11"/>
  <c r="N57" i="9"/>
  <c r="G183" i="11"/>
  <c r="G224" i="11" s="1"/>
  <c r="D57" i="9"/>
  <c r="P11" i="9"/>
  <c r="H13" i="1"/>
  <c r="E10" i="1"/>
  <c r="H84" i="11"/>
  <c r="H83" i="11" s="1"/>
  <c r="O55" i="9"/>
  <c r="P55" i="9"/>
  <c r="I55" i="1"/>
  <c r="J55" i="1" s="1"/>
  <c r="F94" i="1"/>
  <c r="N62" i="3"/>
  <c r="M62" i="3" s="1"/>
  <c r="Z15" i="3" s="1"/>
  <c r="R62" i="3"/>
  <c r="P62" i="3"/>
  <c r="P54" i="9"/>
  <c r="D228" i="11"/>
  <c r="D227" i="11" s="1"/>
  <c r="D296" i="11" s="1"/>
  <c r="O54" i="9"/>
  <c r="E12" i="1"/>
  <c r="H227" i="11"/>
  <c r="M57" i="9" s="1"/>
  <c r="O43" i="9"/>
  <c r="P43" i="9"/>
  <c r="P10" i="9"/>
  <c r="O10" i="9"/>
  <c r="I67" i="12"/>
  <c r="AA67" i="12" s="1"/>
  <c r="D13" i="11"/>
  <c r="O12" i="9"/>
  <c r="G94" i="1"/>
  <c r="I58" i="1"/>
  <c r="J58" i="1" s="1"/>
  <c r="I93" i="1"/>
  <c r="J93" i="1" s="1"/>
  <c r="F58" i="9" l="1"/>
  <c r="H58" i="9"/>
  <c r="D58" i="9"/>
  <c r="E58" i="9"/>
  <c r="N58" i="9"/>
  <c r="M58" i="9"/>
  <c r="G58" i="9"/>
  <c r="L58" i="9"/>
  <c r="C58" i="9"/>
  <c r="I58" i="9"/>
  <c r="K58" i="9"/>
  <c r="G48" i="11"/>
  <c r="G39" i="11" s="1"/>
  <c r="G80" i="11" s="1"/>
  <c r="G47" i="9"/>
  <c r="M47" i="9"/>
  <c r="N47" i="9"/>
  <c r="D47" i="9"/>
  <c r="I47" i="9"/>
  <c r="E47" i="9"/>
  <c r="J47" i="9"/>
  <c r="H14" i="9"/>
  <c r="J14" i="9"/>
  <c r="L14" i="9"/>
  <c r="E11" i="1"/>
  <c r="F35" i="9"/>
  <c r="H35" i="9"/>
  <c r="M35" i="9"/>
  <c r="I35" i="9"/>
  <c r="N35" i="9"/>
  <c r="E94" i="1"/>
  <c r="E69" i="12"/>
  <c r="C69" i="12"/>
  <c r="I69" i="12"/>
  <c r="S69" i="12"/>
  <c r="Y69" i="12"/>
  <c r="U69" i="12"/>
  <c r="M69" i="12"/>
  <c r="K69" i="12"/>
  <c r="Q69" i="12"/>
  <c r="G69" i="12"/>
  <c r="W69" i="12"/>
  <c r="O69" i="12"/>
  <c r="H47" i="9"/>
  <c r="F47" i="9"/>
  <c r="K36" i="9"/>
  <c r="I36" i="9"/>
  <c r="D36" i="9"/>
  <c r="F36" i="9"/>
  <c r="G36" i="9"/>
  <c r="M36" i="9"/>
  <c r="C36" i="9"/>
  <c r="L36" i="9"/>
  <c r="H36" i="9"/>
  <c r="N36" i="9"/>
  <c r="J36" i="9"/>
  <c r="E36" i="9"/>
  <c r="L47" i="9"/>
  <c r="C47" i="9"/>
  <c r="D35" i="9"/>
  <c r="L35" i="9"/>
  <c r="K35" i="9"/>
  <c r="H152" i="11"/>
  <c r="I10" i="1" s="1"/>
  <c r="J10" i="1" s="1"/>
  <c r="J35" i="9"/>
  <c r="G35" i="9"/>
  <c r="C35" i="9"/>
  <c r="E35" i="9"/>
  <c r="AC15" i="3"/>
  <c r="O62" i="3"/>
  <c r="AB15" i="3" s="1"/>
  <c r="AI15" i="3" s="1"/>
  <c r="AJ15" i="3" s="1"/>
  <c r="AG15" i="3"/>
  <c r="AH15" i="3" s="1"/>
  <c r="AA15" i="3"/>
  <c r="Q62" i="3"/>
  <c r="AD15" i="3" s="1"/>
  <c r="AK15" i="3" s="1"/>
  <c r="AL15" i="3" s="1"/>
  <c r="AE15" i="3"/>
  <c r="N14" i="9"/>
  <c r="I14" i="9"/>
  <c r="C14" i="9"/>
  <c r="G14" i="9"/>
  <c r="F14" i="9"/>
  <c r="E14" i="9"/>
  <c r="M14" i="9"/>
  <c r="D14" i="9"/>
  <c r="K57" i="9"/>
  <c r="G57" i="9"/>
  <c r="H296" i="11"/>
  <c r="I12" i="1" s="1"/>
  <c r="J12" i="1" s="1"/>
  <c r="F57" i="9"/>
  <c r="I57" i="9"/>
  <c r="J57" i="9"/>
  <c r="H57" i="9"/>
  <c r="L57" i="9"/>
  <c r="G46" i="9"/>
  <c r="D46" i="9"/>
  <c r="C46" i="9"/>
  <c r="H224" i="11"/>
  <c r="E47" i="12" s="1"/>
  <c r="J46" i="9"/>
  <c r="F46" i="9"/>
  <c r="N46" i="9"/>
  <c r="E46" i="9"/>
  <c r="H46" i="9"/>
  <c r="M46" i="9"/>
  <c r="L46" i="9"/>
  <c r="K46" i="9"/>
  <c r="I46" i="9"/>
  <c r="D12" i="11"/>
  <c r="D11" i="11" s="1"/>
  <c r="D80" i="11" s="1"/>
  <c r="H13" i="11"/>
  <c r="J94" i="1"/>
  <c r="I94" i="1"/>
  <c r="B12" i="1" s="1"/>
  <c r="D12" i="1" s="1"/>
  <c r="E53" i="9" s="1"/>
  <c r="E59" i="9" s="1"/>
  <c r="O58" i="9" l="1"/>
  <c r="P58" i="9"/>
  <c r="AP15" i="3"/>
  <c r="P47" i="9"/>
  <c r="P35" i="9"/>
  <c r="O36" i="9"/>
  <c r="P36" i="9"/>
  <c r="O47" i="9"/>
  <c r="AA69" i="12"/>
  <c r="AR15" i="3"/>
  <c r="O35" i="9"/>
  <c r="Y25" i="12"/>
  <c r="G25" i="12"/>
  <c r="E25" i="12"/>
  <c r="C25" i="12"/>
  <c r="W25" i="12"/>
  <c r="M25" i="12"/>
  <c r="S25" i="12"/>
  <c r="U25" i="12"/>
  <c r="I25" i="12"/>
  <c r="K25" i="12"/>
  <c r="O25" i="12"/>
  <c r="Q25" i="12"/>
  <c r="S58" i="12"/>
  <c r="Y58" i="12"/>
  <c r="K58" i="12"/>
  <c r="Q58" i="12"/>
  <c r="W58" i="12"/>
  <c r="I58" i="12"/>
  <c r="M58" i="12"/>
  <c r="U58" i="12"/>
  <c r="AN15" i="3"/>
  <c r="P14" i="9"/>
  <c r="O14" i="9"/>
  <c r="O58" i="12"/>
  <c r="P57" i="9"/>
  <c r="O57" i="9"/>
  <c r="O46" i="9"/>
  <c r="P46" i="9"/>
  <c r="M47" i="12"/>
  <c r="C47" i="12"/>
  <c r="I11" i="1"/>
  <c r="J11" i="1" s="1"/>
  <c r="S47" i="12"/>
  <c r="W47" i="12"/>
  <c r="O47" i="12"/>
  <c r="G47" i="12"/>
  <c r="K47" i="12"/>
  <c r="Y47" i="12"/>
  <c r="U47" i="12"/>
  <c r="Q47" i="12"/>
  <c r="I47" i="12"/>
  <c r="H12" i="11"/>
  <c r="H11" i="11" s="1"/>
  <c r="E9" i="1"/>
  <c r="E13" i="1" s="1"/>
  <c r="Y64" i="12"/>
  <c r="Y70" i="12" s="1"/>
  <c r="M64" i="12"/>
  <c r="M70" i="12" s="1"/>
  <c r="K64" i="12"/>
  <c r="K70" i="12" s="1"/>
  <c r="I64" i="12"/>
  <c r="I70" i="12" s="1"/>
  <c r="E64" i="12"/>
  <c r="E70" i="12" s="1"/>
  <c r="S64" i="12"/>
  <c r="S70" i="12" s="1"/>
  <c r="U64" i="12"/>
  <c r="U70" i="12" s="1"/>
  <c r="G64" i="12"/>
  <c r="G70" i="12" s="1"/>
  <c r="W64" i="12"/>
  <c r="W70" i="12" s="1"/>
  <c r="C64" i="12"/>
  <c r="Q64" i="12"/>
  <c r="Q70" i="12" s="1"/>
  <c r="O64" i="12"/>
  <c r="O70" i="12" s="1"/>
  <c r="M53" i="9"/>
  <c r="M59" i="9" s="1"/>
  <c r="N12" i="1"/>
  <c r="E53" i="12"/>
  <c r="E59" i="12" s="1"/>
  <c r="Y53" i="12"/>
  <c r="O53" i="12"/>
  <c r="L53" i="9"/>
  <c r="L59" i="9" s="1"/>
  <c r="F53" i="9"/>
  <c r="F59" i="9" s="1"/>
  <c r="H53" i="9"/>
  <c r="H59" i="9" s="1"/>
  <c r="I53" i="9"/>
  <c r="I59" i="9" s="1"/>
  <c r="D53" i="9"/>
  <c r="D59" i="9" s="1"/>
  <c r="K53" i="9"/>
  <c r="K59" i="9" s="1"/>
  <c r="N53" i="9"/>
  <c r="N59" i="9" s="1"/>
  <c r="C53" i="9"/>
  <c r="C59" i="9" s="1"/>
  <c r="S53" i="12"/>
  <c r="Q53" i="12"/>
  <c r="U53" i="12"/>
  <c r="G53" i="9"/>
  <c r="G59" i="9" s="1"/>
  <c r="G53" i="12"/>
  <c r="G59" i="12" s="1"/>
  <c r="M53" i="12"/>
  <c r="I53" i="12"/>
  <c r="W53" i="12"/>
  <c r="K53" i="12"/>
  <c r="J53" i="9"/>
  <c r="J59" i="9" s="1"/>
  <c r="C53" i="12"/>
  <c r="C59" i="12" s="1"/>
  <c r="C20" i="12"/>
  <c r="O20" i="12"/>
  <c r="I20" i="12"/>
  <c r="Y20" i="12"/>
  <c r="M20" i="12"/>
  <c r="M26" i="12" s="1"/>
  <c r="E20" i="12"/>
  <c r="S20" i="12"/>
  <c r="S26" i="12" s="1"/>
  <c r="G20" i="12"/>
  <c r="K20" i="12"/>
  <c r="Q20" i="12"/>
  <c r="U20" i="12"/>
  <c r="W20" i="12"/>
  <c r="E26" i="12" l="1"/>
  <c r="Y26" i="12"/>
  <c r="U26" i="12"/>
  <c r="O26" i="12"/>
  <c r="C26" i="12"/>
  <c r="Q26" i="12"/>
  <c r="K26" i="12"/>
  <c r="Y59" i="12"/>
  <c r="K10" i="1"/>
  <c r="K9" i="1"/>
  <c r="K12" i="1"/>
  <c r="K11" i="1"/>
  <c r="W26" i="12"/>
  <c r="G26" i="12"/>
  <c r="I26" i="12"/>
  <c r="AA47" i="12"/>
  <c r="J13" i="9"/>
  <c r="I13" i="9"/>
  <c r="K13" i="9"/>
  <c r="M13" i="9"/>
  <c r="H80" i="11"/>
  <c r="F13" i="9"/>
  <c r="N13" i="9"/>
  <c r="G13" i="9"/>
  <c r="D13" i="9"/>
  <c r="H13" i="9"/>
  <c r="L13" i="9"/>
  <c r="E13" i="9"/>
  <c r="C13" i="9"/>
  <c r="C70" i="12"/>
  <c r="AA64" i="12"/>
  <c r="AA70" i="12" s="1"/>
  <c r="P53" i="9"/>
  <c r="O53" i="9"/>
  <c r="O59" i="9" s="1"/>
  <c r="K13" i="1" l="1"/>
  <c r="O13" i="9"/>
  <c r="P13" i="9"/>
  <c r="I14" i="12"/>
  <c r="W14" i="12"/>
  <c r="M14" i="12"/>
  <c r="C14" i="12"/>
  <c r="K14" i="12"/>
  <c r="G14" i="12"/>
  <c r="I9" i="1"/>
  <c r="E14" i="12"/>
  <c r="U14" i="12"/>
  <c r="O14" i="12"/>
  <c r="S14" i="12"/>
  <c r="Q14" i="12"/>
  <c r="Y14" i="12"/>
  <c r="AA14" i="12" l="1"/>
  <c r="J9" i="1"/>
  <c r="I13" i="1"/>
  <c r="J13" i="1" l="1"/>
  <c r="L9" i="1" l="1"/>
  <c r="L12" i="1"/>
  <c r="L11" i="1"/>
  <c r="L10" i="1"/>
  <c r="M12" i="1" l="1"/>
  <c r="L13" i="1"/>
  <c r="O13" i="1" l="1"/>
  <c r="L26" i="2"/>
  <c r="L31" i="2" s="1"/>
  <c r="L24" i="2"/>
  <c r="M19" i="2"/>
  <c r="G47" i="1" s="1"/>
  <c r="G49" i="1" s="1"/>
  <c r="L19" i="2"/>
  <c r="E17" i="4" s="1"/>
  <c r="K20" i="2"/>
  <c r="D18" i="4" s="1"/>
  <c r="M23" i="2"/>
  <c r="M24" i="2"/>
  <c r="K24" i="2"/>
  <c r="M25" i="2"/>
  <c r="K19" i="2"/>
  <c r="K25" i="2"/>
  <c r="M26" i="2"/>
  <c r="M31" i="2" s="1"/>
  <c r="K26" i="2"/>
  <c r="O26" i="2" s="1"/>
  <c r="L25" i="2"/>
  <c r="L30" i="2" s="1"/>
  <c r="M20" i="2"/>
  <c r="L23" i="2"/>
  <c r="P23" i="2" s="1"/>
  <c r="L20" i="2"/>
  <c r="K23" i="2"/>
  <c r="J22" i="4"/>
  <c r="H17" i="4"/>
  <c r="H19" i="4"/>
  <c r="I17" i="4"/>
  <c r="I19" i="4"/>
  <c r="J17" i="4"/>
  <c r="J19" i="4"/>
  <c r="H18" i="4"/>
  <c r="H20" i="4"/>
  <c r="I18" i="4"/>
  <c r="I20" i="4"/>
  <c r="J18" i="4"/>
  <c r="J20" i="4"/>
  <c r="H21" i="4"/>
  <c r="I21" i="4"/>
  <c r="J21" i="4"/>
  <c r="H22" i="4"/>
  <c r="I22" i="4"/>
  <c r="M17" i="4" l="1"/>
  <c r="J25" i="2"/>
  <c r="C21" i="4" s="1"/>
  <c r="K21" i="4" s="1"/>
  <c r="K30" i="2"/>
  <c r="E81" i="1" s="1"/>
  <c r="O24" i="2"/>
  <c r="K29" i="2"/>
  <c r="D19" i="4"/>
  <c r="K28" i="2"/>
  <c r="G66" i="1"/>
  <c r="G68" i="1" s="1"/>
  <c r="M30" i="2"/>
  <c r="G63" i="1"/>
  <c r="G65" i="1" s="1"/>
  <c r="M29" i="2"/>
  <c r="F25" i="4" s="1"/>
  <c r="N25" i="4" s="1"/>
  <c r="G60" i="1"/>
  <c r="G62" i="1" s="1"/>
  <c r="M28" i="2"/>
  <c r="P24" i="2"/>
  <c r="L29" i="2"/>
  <c r="F78" i="1" s="1"/>
  <c r="F80" i="1" s="1"/>
  <c r="E19" i="4"/>
  <c r="M19" i="4" s="1"/>
  <c r="L28" i="2"/>
  <c r="F22" i="4"/>
  <c r="N22" i="4" s="1"/>
  <c r="Q25" i="2"/>
  <c r="E28" i="6"/>
  <c r="H28" i="6" s="1"/>
  <c r="F21" i="4"/>
  <c r="N21" i="4" s="1"/>
  <c r="P31" i="2"/>
  <c r="F84" i="1"/>
  <c r="F86" i="1" s="1"/>
  <c r="E21" i="4"/>
  <c r="M21" i="4" s="1"/>
  <c r="J26" i="2"/>
  <c r="D69" i="1" s="1"/>
  <c r="D71" i="1" s="1"/>
  <c r="E69" i="1"/>
  <c r="E71" i="1" s="1"/>
  <c r="C29" i="6"/>
  <c r="F29" i="6" s="1"/>
  <c r="K31" i="2"/>
  <c r="C28" i="6"/>
  <c r="F28" i="6" s="1"/>
  <c r="O30" i="2"/>
  <c r="E63" i="1"/>
  <c r="E65" i="1" s="1"/>
  <c r="L19" i="4"/>
  <c r="N25" i="2"/>
  <c r="O20" i="2"/>
  <c r="G84" i="1"/>
  <c r="G86" i="1" s="1"/>
  <c r="Q31" i="2"/>
  <c r="E26" i="6"/>
  <c r="H26" i="6" s="1"/>
  <c r="D24" i="6"/>
  <c r="G24" i="6" s="1"/>
  <c r="G69" i="1"/>
  <c r="G71" i="1" s="1"/>
  <c r="Q23" i="2"/>
  <c r="E24" i="6"/>
  <c r="H24" i="6" s="1"/>
  <c r="F17" i="4"/>
  <c r="N17" i="4" s="1"/>
  <c r="F47" i="1"/>
  <c r="F49" i="1" s="1"/>
  <c r="E66" i="1"/>
  <c r="E68" i="1" s="1"/>
  <c r="P19" i="2"/>
  <c r="E29" i="6"/>
  <c r="H29" i="6" s="1"/>
  <c r="F19" i="4"/>
  <c r="N19" i="4" s="1"/>
  <c r="Q26" i="2"/>
  <c r="D27" i="6"/>
  <c r="G27" i="6" s="1"/>
  <c r="O25" i="2"/>
  <c r="E20" i="4"/>
  <c r="M20" i="4" s="1"/>
  <c r="C27" i="6"/>
  <c r="F27" i="6" s="1"/>
  <c r="F63" i="1"/>
  <c r="F65" i="1" s="1"/>
  <c r="F60" i="1"/>
  <c r="F62" i="1" s="1"/>
  <c r="D22" i="4"/>
  <c r="L22" i="4" s="1"/>
  <c r="E50" i="1"/>
  <c r="E52" i="1" s="1"/>
  <c r="E47" i="1"/>
  <c r="D17" i="4"/>
  <c r="L17" i="4" s="1"/>
  <c r="C24" i="6"/>
  <c r="F24" i="6" s="1"/>
  <c r="O19" i="2"/>
  <c r="G50" i="1"/>
  <c r="G52" i="1" s="1"/>
  <c r="G59" i="1" s="1"/>
  <c r="F18" i="4"/>
  <c r="N18" i="4" s="1"/>
  <c r="E25" i="6"/>
  <c r="H25" i="6" s="1"/>
  <c r="E60" i="1"/>
  <c r="O23" i="2"/>
  <c r="J23" i="2"/>
  <c r="Q20" i="2"/>
  <c r="C26" i="6"/>
  <c r="F26" i="6" s="1"/>
  <c r="P30" i="2"/>
  <c r="F81" i="1"/>
  <c r="F83" i="1" s="1"/>
  <c r="D33" i="6"/>
  <c r="G33" i="6" s="1"/>
  <c r="E27" i="4"/>
  <c r="M27" i="4" s="1"/>
  <c r="E26" i="4"/>
  <c r="M26" i="4" s="1"/>
  <c r="E18" i="4"/>
  <c r="M18" i="4" s="1"/>
  <c r="D25" i="6"/>
  <c r="G25" i="6" s="1"/>
  <c r="L18" i="4"/>
  <c r="C25" i="6"/>
  <c r="F25" i="6" s="1"/>
  <c r="D20" i="4"/>
  <c r="L20" i="4" s="1"/>
  <c r="J24" i="2"/>
  <c r="C32" i="6"/>
  <c r="F32" i="6" s="1"/>
  <c r="D66" i="1"/>
  <c r="D68" i="1" s="1"/>
  <c r="E27" i="6"/>
  <c r="H27" i="6" s="1"/>
  <c r="F20" i="4"/>
  <c r="N20" i="4" s="1"/>
  <c r="D34" i="6"/>
  <c r="G34" i="6" s="1"/>
  <c r="D28" i="6"/>
  <c r="G28" i="6" s="1"/>
  <c r="P25" i="2"/>
  <c r="E22" i="4"/>
  <c r="M22" i="4" s="1"/>
  <c r="D29" i="6"/>
  <c r="G29" i="6" s="1"/>
  <c r="F66" i="1"/>
  <c r="F68" i="1" s="1"/>
  <c r="C34" i="6"/>
  <c r="F34" i="6" s="1"/>
  <c r="D26" i="6"/>
  <c r="G26" i="6" s="1"/>
  <c r="P26" i="2"/>
  <c r="D26" i="4"/>
  <c r="L26" i="4" s="1"/>
  <c r="C33" i="6"/>
  <c r="F33" i="6" s="1"/>
  <c r="E78" i="1"/>
  <c r="P20" i="2"/>
  <c r="E34" i="6"/>
  <c r="H34" i="6" s="1"/>
  <c r="F69" i="1"/>
  <c r="F71" i="1" s="1"/>
  <c r="F27" i="4"/>
  <c r="N27" i="4" s="1"/>
  <c r="Q24" i="2"/>
  <c r="F50" i="1"/>
  <c r="F52" i="1" s="1"/>
  <c r="E84" i="1"/>
  <c r="D21" i="4"/>
  <c r="L21" i="4" s="1"/>
  <c r="Q19" i="2"/>
  <c r="F59" i="1" l="1"/>
  <c r="D25" i="4"/>
  <c r="L25" i="4" s="1"/>
  <c r="O29" i="2"/>
  <c r="H52" i="1"/>
  <c r="I71" i="1"/>
  <c r="E32" i="6"/>
  <c r="H32" i="6" s="1"/>
  <c r="Q29" i="2"/>
  <c r="P29" i="2"/>
  <c r="E25" i="4"/>
  <c r="M25" i="4" s="1"/>
  <c r="D32" i="6"/>
  <c r="G32" i="6" s="1"/>
  <c r="C22" i="4"/>
  <c r="K22" i="4" s="1"/>
  <c r="H71" i="1"/>
  <c r="N26" i="2"/>
  <c r="D27" i="4"/>
  <c r="L27" i="4" s="1"/>
  <c r="O31" i="2"/>
  <c r="I68" i="1"/>
  <c r="H68" i="1"/>
  <c r="P28" i="2"/>
  <c r="E24" i="4"/>
  <c r="M24" i="4" s="1"/>
  <c r="F75" i="1"/>
  <c r="F77" i="1" s="1"/>
  <c r="F87" i="1" s="1"/>
  <c r="G78" i="1"/>
  <c r="G80" i="1" s="1"/>
  <c r="D31" i="6"/>
  <c r="G31" i="6" s="1"/>
  <c r="H83" i="1"/>
  <c r="E83" i="1"/>
  <c r="E62" i="1"/>
  <c r="E75" i="1"/>
  <c r="D24" i="4"/>
  <c r="L24" i="4" s="1"/>
  <c r="C31" i="6"/>
  <c r="F31" i="6" s="1"/>
  <c r="O28" i="2"/>
  <c r="C19" i="4"/>
  <c r="K19" i="4" s="1"/>
  <c r="N23" i="2"/>
  <c r="D60" i="1"/>
  <c r="D62" i="1" s="1"/>
  <c r="G75" i="1"/>
  <c r="G77" i="1" s="1"/>
  <c r="E31" i="6"/>
  <c r="H31" i="6" s="1"/>
  <c r="Q28" i="2"/>
  <c r="F24" i="4"/>
  <c r="N24" i="4" s="1"/>
  <c r="H86" i="1"/>
  <c r="E86" i="1"/>
  <c r="I86" i="1" s="1"/>
  <c r="F26" i="4"/>
  <c r="N26" i="4" s="1"/>
  <c r="E33" i="6"/>
  <c r="H33" i="6" s="1"/>
  <c r="G81" i="1"/>
  <c r="G83" i="1" s="1"/>
  <c r="Q30" i="2"/>
  <c r="D63" i="1"/>
  <c r="C20" i="4"/>
  <c r="K20" i="4" s="1"/>
  <c r="N24" i="2"/>
  <c r="I52" i="1"/>
  <c r="J52" i="1" s="1"/>
  <c r="H80" i="1"/>
  <c r="E80" i="1"/>
  <c r="I80" i="1" s="1"/>
  <c r="H49" i="1"/>
  <c r="E49" i="1"/>
  <c r="J71" i="1" l="1"/>
  <c r="J68" i="1"/>
  <c r="G87" i="1"/>
  <c r="D65" i="1"/>
  <c r="I65" i="1" s="1"/>
  <c r="H65" i="1"/>
  <c r="I62" i="1"/>
  <c r="H59" i="1"/>
  <c r="C10" i="1" s="1"/>
  <c r="E59" i="1"/>
  <c r="I49" i="1"/>
  <c r="I59" i="1" s="1"/>
  <c r="B10" i="1" s="1"/>
  <c r="H77" i="1"/>
  <c r="E77" i="1"/>
  <c r="I77" i="1" s="1"/>
  <c r="J80" i="1"/>
  <c r="J86" i="1"/>
  <c r="H62" i="1"/>
  <c r="I83" i="1"/>
  <c r="J83" i="1" s="1"/>
  <c r="D10" i="1" l="1"/>
  <c r="N31" i="9" s="1"/>
  <c r="N37" i="9" s="1"/>
  <c r="D87" i="1"/>
  <c r="J65" i="1"/>
  <c r="J77" i="1"/>
  <c r="I87" i="1"/>
  <c r="B11" i="1" s="1"/>
  <c r="H31" i="9"/>
  <c r="H37" i="9" s="1"/>
  <c r="M10" i="1"/>
  <c r="D31" i="9"/>
  <c r="D37" i="9" s="1"/>
  <c r="G31" i="9"/>
  <c r="G37" i="9" s="1"/>
  <c r="M31" i="9"/>
  <c r="M37" i="9" s="1"/>
  <c r="L31" i="9"/>
  <c r="L37" i="9" s="1"/>
  <c r="E31" i="9"/>
  <c r="E37" i="9" s="1"/>
  <c r="J49" i="1"/>
  <c r="J59" i="1" s="1"/>
  <c r="H87" i="1"/>
  <c r="C11" i="1" s="1"/>
  <c r="J62" i="1"/>
  <c r="E87" i="1"/>
  <c r="N10" i="1" l="1"/>
  <c r="C31" i="9"/>
  <c r="P31" i="9" s="1"/>
  <c r="K31" i="9"/>
  <c r="K37" i="9" s="1"/>
  <c r="J31" i="9"/>
  <c r="J37" i="9" s="1"/>
  <c r="F31" i="9"/>
  <c r="F37" i="9" s="1"/>
  <c r="I31" i="9"/>
  <c r="I37" i="9" s="1"/>
  <c r="J87" i="1"/>
  <c r="C37" i="9"/>
  <c r="D11" i="1"/>
  <c r="O31" i="9" l="1"/>
  <c r="O37" i="9" s="1"/>
  <c r="Y42" i="12"/>
  <c r="Y48" i="12" s="1"/>
  <c r="C42" i="12"/>
  <c r="M11" i="1"/>
  <c r="H42" i="9"/>
  <c r="H48" i="9" s="1"/>
  <c r="G42" i="9"/>
  <c r="G48" i="9" s="1"/>
  <c r="I42" i="12"/>
  <c r="I48" i="12" s="1"/>
  <c r="W42" i="12"/>
  <c r="W48" i="12" s="1"/>
  <c r="D42" i="9"/>
  <c r="D48" i="9" s="1"/>
  <c r="I42" i="9"/>
  <c r="I48" i="9" s="1"/>
  <c r="E42" i="9"/>
  <c r="E48" i="9" s="1"/>
  <c r="K42" i="9"/>
  <c r="K48" i="9" s="1"/>
  <c r="S42" i="12"/>
  <c r="S48" i="12" s="1"/>
  <c r="N11" i="1"/>
  <c r="M42" i="12"/>
  <c r="M48" i="12" s="1"/>
  <c r="K42" i="12"/>
  <c r="K48" i="12" s="1"/>
  <c r="C42" i="9"/>
  <c r="N42" i="9"/>
  <c r="N48" i="9" s="1"/>
  <c r="M42" i="9"/>
  <c r="M48" i="9" s="1"/>
  <c r="J42" i="9"/>
  <c r="J48" i="9" s="1"/>
  <c r="G42" i="12"/>
  <c r="G48" i="12" s="1"/>
  <c r="F42" i="9"/>
  <c r="F48" i="9" s="1"/>
  <c r="L42" i="9"/>
  <c r="L48" i="9" s="1"/>
  <c r="E42" i="12"/>
  <c r="E48" i="12" s="1"/>
  <c r="U42" i="12"/>
  <c r="U48" i="12" s="1"/>
  <c r="O42" i="12"/>
  <c r="O48" i="12" s="1"/>
  <c r="Q42" i="12"/>
  <c r="Q48" i="12" s="1"/>
  <c r="O42" i="9" l="1"/>
  <c r="O48" i="9" s="1"/>
  <c r="P42" i="9"/>
  <c r="C48" i="9"/>
  <c r="AA42" i="12"/>
  <c r="AA48" i="12" s="1"/>
  <c r="C48" i="12"/>
  <c r="J11" i="4"/>
  <c r="J12" i="4"/>
  <c r="I11" i="4"/>
  <c r="H11" i="4"/>
  <c r="I12" i="4"/>
  <c r="J10" i="4"/>
  <c r="H12" i="4"/>
  <c r="H10" i="4"/>
  <c r="M12" i="2"/>
  <c r="Q12" i="2" s="1"/>
  <c r="L13" i="2"/>
  <c r="F28" i="1" s="1"/>
  <c r="F30" i="1" s="1"/>
  <c r="L14" i="2"/>
  <c r="P14" i="2" s="1"/>
  <c r="I10" i="4"/>
  <c r="M14" i="2"/>
  <c r="E19" i="6" s="1"/>
  <c r="H19" i="6" s="1"/>
  <c r="K14" i="2"/>
  <c r="C19" i="6" s="1"/>
  <c r="F19" i="6" s="1"/>
  <c r="M13" i="2"/>
  <c r="E18" i="6" s="1"/>
  <c r="H18" i="6" s="1"/>
  <c r="K13" i="2"/>
  <c r="J13" i="2" s="1"/>
  <c r="L12" i="2"/>
  <c r="F25" i="1" s="1"/>
  <c r="F27" i="1" s="1"/>
  <c r="K12" i="2"/>
  <c r="E25" i="1" s="1"/>
  <c r="P13" i="2" l="1"/>
  <c r="J12" i="2"/>
  <c r="C10" i="4" s="1"/>
  <c r="K10" i="4" s="1"/>
  <c r="F11" i="4"/>
  <c r="N11" i="4" s="1"/>
  <c r="F10" i="4"/>
  <c r="N10" i="4" s="1"/>
  <c r="M16" i="2"/>
  <c r="G37" i="1" s="1"/>
  <c r="G39" i="1" s="1"/>
  <c r="E12" i="4"/>
  <c r="F31" i="1"/>
  <c r="F33" i="1" s="1"/>
  <c r="M12" i="4"/>
  <c r="J14" i="2"/>
  <c r="N14" i="2" s="1"/>
  <c r="O14" i="2"/>
  <c r="O12" i="2"/>
  <c r="C11" i="4"/>
  <c r="K11" i="4" s="1"/>
  <c r="D28" i="1"/>
  <c r="D30" i="1" s="1"/>
  <c r="N13" i="2"/>
  <c r="E27" i="1"/>
  <c r="M18" i="2"/>
  <c r="D19" i="6"/>
  <c r="G19" i="6" s="1"/>
  <c r="E10" i="4"/>
  <c r="M10" i="4" s="1"/>
  <c r="G28" i="1"/>
  <c r="G30" i="1" s="1"/>
  <c r="F12" i="4"/>
  <c r="N12" i="4" s="1"/>
  <c r="M17" i="2"/>
  <c r="Q13" i="2"/>
  <c r="K16" i="2"/>
  <c r="Q14" i="2"/>
  <c r="P12" i="2"/>
  <c r="G31" i="1"/>
  <c r="G33" i="1" s="1"/>
  <c r="O13" i="2"/>
  <c r="G25" i="1"/>
  <c r="G27" i="1" s="1"/>
  <c r="E17" i="6"/>
  <c r="H17" i="6" s="1"/>
  <c r="D18" i="6"/>
  <c r="G18" i="6" s="1"/>
  <c r="L16" i="2"/>
  <c r="L18" i="2"/>
  <c r="E28" i="1"/>
  <c r="E31" i="1"/>
  <c r="E11" i="4"/>
  <c r="M11" i="4" s="1"/>
  <c r="D17" i="6"/>
  <c r="G17" i="6" s="1"/>
  <c r="D11" i="4"/>
  <c r="L11" i="4" s="1"/>
  <c r="K18" i="2"/>
  <c r="L17" i="2"/>
  <c r="K17" i="2"/>
  <c r="D12" i="4"/>
  <c r="L12" i="4" s="1"/>
  <c r="C18" i="6"/>
  <c r="F18" i="6" s="1"/>
  <c r="C17" i="6"/>
  <c r="F17" i="6" s="1"/>
  <c r="D10" i="4"/>
  <c r="L10" i="4" s="1"/>
  <c r="F14" i="4" l="1"/>
  <c r="N14" i="4" s="1"/>
  <c r="D25" i="1"/>
  <c r="D27" i="1" s="1"/>
  <c r="I27" i="1" s="1"/>
  <c r="N12" i="2"/>
  <c r="D31" i="1"/>
  <c r="D33" i="1" s="1"/>
  <c r="C12" i="4"/>
  <c r="K12" i="4" s="1"/>
  <c r="E21" i="6"/>
  <c r="H21" i="6" s="1"/>
  <c r="Q16" i="2"/>
  <c r="O18" i="2"/>
  <c r="C23" i="6"/>
  <c r="F23" i="6" s="1"/>
  <c r="E43" i="1"/>
  <c r="D16" i="4"/>
  <c r="L16" i="4" s="1"/>
  <c r="E33" i="1"/>
  <c r="D14" i="4"/>
  <c r="L14" i="4" s="1"/>
  <c r="E37" i="1"/>
  <c r="O16" i="2"/>
  <c r="C21" i="6"/>
  <c r="F21" i="6" s="1"/>
  <c r="G40" i="1"/>
  <c r="G42" i="1" s="1"/>
  <c r="F15" i="4"/>
  <c r="N15" i="4" s="1"/>
  <c r="E22" i="6"/>
  <c r="H22" i="6" s="1"/>
  <c r="Q17" i="2"/>
  <c r="H27" i="1"/>
  <c r="P17" i="2"/>
  <c r="E15" i="4"/>
  <c r="M15" i="4" s="1"/>
  <c r="D22" i="6"/>
  <c r="G22" i="6" s="1"/>
  <c r="F40" i="1"/>
  <c r="F42" i="1" s="1"/>
  <c r="G43" i="1"/>
  <c r="G45" i="1" s="1"/>
  <c r="Q18" i="2"/>
  <c r="E23" i="6"/>
  <c r="H23" i="6" s="1"/>
  <c r="F16" i="4"/>
  <c r="N16" i="4" s="1"/>
  <c r="H30" i="1"/>
  <c r="E30" i="1"/>
  <c r="I30" i="1" s="1"/>
  <c r="E16" i="4"/>
  <c r="M16" i="4" s="1"/>
  <c r="F43" i="1"/>
  <c r="F45" i="1" s="1"/>
  <c r="D23" i="6"/>
  <c r="G23" i="6" s="1"/>
  <c r="P18" i="2"/>
  <c r="F37" i="1"/>
  <c r="F39" i="1" s="1"/>
  <c r="P16" i="2"/>
  <c r="D21" i="6"/>
  <c r="G21" i="6" s="1"/>
  <c r="E14" i="4"/>
  <c r="M14" i="4" s="1"/>
  <c r="O17" i="2"/>
  <c r="E40" i="1"/>
  <c r="C22" i="6"/>
  <c r="F22" i="6" s="1"/>
  <c r="D15" i="4"/>
  <c r="L15" i="4" s="1"/>
  <c r="D46" i="1" l="1"/>
  <c r="F46" i="1"/>
  <c r="I33" i="1"/>
  <c r="H33" i="1"/>
  <c r="G46" i="1"/>
  <c r="H39" i="1"/>
  <c r="E39" i="1"/>
  <c r="I39" i="1" s="1"/>
  <c r="H42" i="1"/>
  <c r="E42" i="1"/>
  <c r="I42" i="1" s="1"/>
  <c r="J30" i="1"/>
  <c r="J27" i="1"/>
  <c r="H45" i="1"/>
  <c r="E45" i="1"/>
  <c r="I45" i="1" s="1"/>
  <c r="J33" i="1" l="1"/>
  <c r="I46" i="1"/>
  <c r="B9" i="1" s="1"/>
  <c r="B13" i="1" s="1"/>
  <c r="J45" i="1"/>
  <c r="H46" i="1"/>
  <c r="C9" i="1" s="1"/>
  <c r="C13" i="1" s="1"/>
  <c r="J42" i="1"/>
  <c r="J39" i="1"/>
  <c r="E46" i="1"/>
  <c r="J46" i="1" l="1"/>
  <c r="D9" i="1"/>
  <c r="W9" i="12" l="1"/>
  <c r="W15" i="12" s="1"/>
  <c r="D9" i="9"/>
  <c r="D15" i="9" s="1"/>
  <c r="Q9" i="12"/>
  <c r="Q15" i="12" s="1"/>
  <c r="F9" i="9"/>
  <c r="F15" i="9" s="1"/>
  <c r="L9" i="9"/>
  <c r="L15" i="9" s="1"/>
  <c r="G9" i="9"/>
  <c r="G15" i="9" s="1"/>
  <c r="U9" i="12"/>
  <c r="U15" i="12" s="1"/>
  <c r="H9" i="9"/>
  <c r="H15" i="9" s="1"/>
  <c r="S9" i="12"/>
  <c r="S15" i="12" s="1"/>
  <c r="Y9" i="12"/>
  <c r="Y15" i="12" s="1"/>
  <c r="M9" i="1"/>
  <c r="M13" i="1" s="1"/>
  <c r="N9" i="9"/>
  <c r="N15" i="9" s="1"/>
  <c r="D13" i="1"/>
  <c r="N9" i="1"/>
  <c r="N13" i="1" s="1"/>
  <c r="O9" i="12"/>
  <c r="O15" i="12" s="1"/>
  <c r="I9" i="12"/>
  <c r="I15" i="12" s="1"/>
  <c r="E9" i="12"/>
  <c r="E15" i="12" s="1"/>
  <c r="K9" i="9"/>
  <c r="K15" i="9" s="1"/>
  <c r="J9" i="9"/>
  <c r="J15" i="9" s="1"/>
  <c r="C9" i="12"/>
  <c r="K9" i="12"/>
  <c r="K15" i="12" s="1"/>
  <c r="M9" i="9"/>
  <c r="M15" i="9" s="1"/>
  <c r="G9" i="12"/>
  <c r="G15" i="12" s="1"/>
  <c r="M9" i="12"/>
  <c r="M15" i="12" s="1"/>
  <c r="I9" i="9"/>
  <c r="I15" i="9" s="1"/>
  <c r="E9" i="9"/>
  <c r="E15" i="9" s="1"/>
  <c r="C9" i="9"/>
  <c r="N14" i="1" l="1"/>
  <c r="M14" i="1"/>
  <c r="C15" i="9"/>
  <c r="O9" i="9"/>
  <c r="O15" i="9" s="1"/>
  <c r="P9" i="9"/>
  <c r="C15" i="12"/>
  <c r="AA9" i="12"/>
  <c r="AA15" i="12" s="1"/>
</calcChain>
</file>

<file path=xl/sharedStrings.xml><?xml version="1.0" encoding="utf-8"?>
<sst xmlns="http://schemas.openxmlformats.org/spreadsheetml/2006/main" count="1477" uniqueCount="381">
  <si>
    <t>RESUMEN DE INGRESOS Y EGRESOS</t>
  </si>
  <si>
    <t>REPARTICION:</t>
  </si>
  <si>
    <t>TABLA 1: RESUMEN DE INGRESOS Y EGRESOS DE CENTROS DE BENEFICIOS</t>
  </si>
  <si>
    <t>Centro de Beneficio</t>
  </si>
  <si>
    <t>Ingreso por Ventas</t>
  </si>
  <si>
    <t>Ingresos por reintegro C.A.R.</t>
  </si>
  <si>
    <t>Ingresos Totales</t>
  </si>
  <si>
    <t>REMUNERACIONES</t>
  </si>
  <si>
    <t>CONS. BÁSICOS + MATERIALES DE ASEO</t>
  </si>
  <si>
    <t>SEGURO</t>
  </si>
  <si>
    <t>MANTENCIÓN</t>
  </si>
  <si>
    <t>COSTO OPERACIÓN</t>
  </si>
  <si>
    <t>COSTO DIRECTO TOTAL</t>
  </si>
  <si>
    <t xml:space="preserve">Costos Indirectos </t>
  </si>
  <si>
    <t>Egresos Totales</t>
  </si>
  <si>
    <t>Excedente</t>
  </si>
  <si>
    <t>R.O</t>
  </si>
  <si>
    <t>% Distribución Costo Indirecto</t>
  </si>
  <si>
    <t xml:space="preserve">TOTAL </t>
  </si>
  <si>
    <t>APORTE CAR PISCINAS</t>
  </si>
  <si>
    <t>RESULTADO FINAL PROYECTADO</t>
  </si>
  <si>
    <t>TABLA 2: DETALLE DE INGRESOS POR PRESTACIÓN Y SEGMENTO</t>
  </si>
  <si>
    <t>Centro de Costo</t>
  </si>
  <si>
    <t>Prestación</t>
  </si>
  <si>
    <t>Cálculo Ingreso</t>
  </si>
  <si>
    <t xml:space="preserve">Ingreso por reintegro C.A.R. </t>
  </si>
  <si>
    <t xml:space="preserve">Total Anual </t>
  </si>
  <si>
    <t>C.A.R.</t>
  </si>
  <si>
    <t>Segmento 1</t>
  </si>
  <si>
    <t>Segmento 2</t>
  </si>
  <si>
    <t>Segmento 3</t>
  </si>
  <si>
    <t>Meta Ocupación</t>
  </si>
  <si>
    <t>Ingreso anual</t>
  </si>
  <si>
    <t>Ingreso total anual</t>
  </si>
  <si>
    <t>REAJUSTE DE TARIFAS Y METAS DE OCUPACIÓN POR CENTRO DE BENEFICIO</t>
  </si>
  <si>
    <t>DELBIENSAN</t>
  </si>
  <si>
    <t>TABLA 3: REAJUSTE DE TARIFAS POR PRESTACIÓN Y SEGMENTO</t>
  </si>
  <si>
    <t>TABLA 4: METAS DE OCUPACIÓN POR PRESTACIÓN Y SEGMENTO</t>
  </si>
  <si>
    <t>Reajuste propuesto</t>
  </si>
  <si>
    <t>Total Ocupación</t>
  </si>
  <si>
    <t>CAR</t>
  </si>
  <si>
    <t>Reajuste</t>
  </si>
  <si>
    <t>C. H. Hanga Roa</t>
  </si>
  <si>
    <t>Simple</t>
  </si>
  <si>
    <t>Doble (Cama Matrimonial + cama plaza 1 1/2)</t>
  </si>
  <si>
    <t>Matrimonial</t>
  </si>
  <si>
    <t>Early check in/Late check out/Uso por tránsito</t>
  </si>
  <si>
    <t>Doble</t>
  </si>
  <si>
    <t>Quincho Oficiales</t>
  </si>
  <si>
    <t>Quincho (de 1 a 20 personas)</t>
  </si>
  <si>
    <t>Quincho (persona adicional)</t>
  </si>
  <si>
    <t>Salón de Eventos (de 1 a 20 personas)</t>
  </si>
  <si>
    <t>Salón de Eventos (persona adicional)</t>
  </si>
  <si>
    <t>C.H. Archipielago Juan Fernandez</t>
  </si>
  <si>
    <t>Matrimonial baño privado</t>
  </si>
  <si>
    <t>Matrimonial baño compartido</t>
  </si>
  <si>
    <t>Piscina</t>
  </si>
  <si>
    <t>Piscina Adulto</t>
  </si>
  <si>
    <t>Piscina Niños</t>
  </si>
  <si>
    <t>Departamento Superior</t>
  </si>
  <si>
    <t>Departamento</t>
  </si>
  <si>
    <t xml:space="preserve">ESTIMACION DE COSTOS DIRECTOS </t>
  </si>
  <si>
    <t>TABLA 5: COSTOS DIRECTOS DE CENTROS DE BENEFICIOS</t>
  </si>
  <si>
    <t>Número de Cuenta</t>
  </si>
  <si>
    <t>ítem de Gasto (según Plan de Cuenta Institucional)</t>
  </si>
  <si>
    <t>Costos Fijos</t>
  </si>
  <si>
    <t>Costos Variables</t>
  </si>
  <si>
    <t>DETALLE / OBSERVACIONES</t>
  </si>
  <si>
    <t>Costo Unitario Promedio</t>
  </si>
  <si>
    <t>Cantidad</t>
  </si>
  <si>
    <t>Total</t>
  </si>
  <si>
    <t>COSTOS DE OPERACIÓN</t>
  </si>
  <si>
    <t>REMUNERACIONES DIRECTAS</t>
  </si>
  <si>
    <t>REMUNERACIONES CÓDIGO DEL TRABAJO</t>
  </si>
  <si>
    <t>SUPLENCIAS Y REEMPLAZOS</t>
  </si>
  <si>
    <t>PERSONAL A TRATO Y TEMPORAL</t>
  </si>
  <si>
    <t>OTRAS REMUNERACIONES</t>
  </si>
  <si>
    <t>COSTOS DE MATERIALES DIRECTOS</t>
  </si>
  <si>
    <t>COSTO EXISTENCIAS VENDIDAS</t>
  </si>
  <si>
    <t>GASTO DE OPERACIÓN</t>
  </si>
  <si>
    <t>ALIMENTOS Y BEBIDAS</t>
  </si>
  <si>
    <t>TEXTILES Y ACABADOS TEXTILES</t>
  </si>
  <si>
    <t>COMBUSTIBLE LUBRIC P.VEHICULOS</t>
  </si>
  <si>
    <t>PARA CALEFACCION</t>
  </si>
  <si>
    <t>PRODUCTOS QUIMICOS</t>
  </si>
  <si>
    <t>MAT.P/MATEN.Y REPARACION</t>
  </si>
  <si>
    <t>EQUIPOS MENORES</t>
  </si>
  <si>
    <t>ELECTRICIDAD</t>
  </si>
  <si>
    <t>AGUA</t>
  </si>
  <si>
    <t>GAS</t>
  </si>
  <si>
    <t>TELEFONIA FIJA</t>
  </si>
  <si>
    <t>TELEFONIA CELULAR</t>
  </si>
  <si>
    <t>ACCESO A INTERNET</t>
  </si>
  <si>
    <t>SERVICIOS DE ASEO</t>
  </si>
  <si>
    <t>PASAJES, FLETES Y BODEGAJE</t>
  </si>
  <si>
    <t>SERVICIO DE SUSCRIPCION</t>
  </si>
  <si>
    <t>SERVICIOS INFORMATICOS</t>
  </si>
  <si>
    <t>GASTOS MENORES (FOFI)</t>
  </si>
  <si>
    <t>MAQUINAS Y EQUIPOS DE OFICINA</t>
  </si>
  <si>
    <t>GASTOS DE ADMINISTRACIÓN Y VENTAS</t>
  </si>
  <si>
    <t>GASTO EN PERSONAL</t>
  </si>
  <si>
    <t>VESTUARIO ACC.Y PRENDAS DIVERS</t>
  </si>
  <si>
    <t>CALZADO</t>
  </si>
  <si>
    <t>CURSOS DE CAPACITACION</t>
  </si>
  <si>
    <t>VIATICOS PERSONAL COD.TRABAJO</t>
  </si>
  <si>
    <t>CONSUMOS BÁSICOS</t>
  </si>
  <si>
    <t>ENLACES DE TELECOMUNICACIONES</t>
  </si>
  <si>
    <t>OTROS SERVICIOS BASICOS</t>
  </si>
  <si>
    <t>BIENES DE CONSUMO</t>
  </si>
  <si>
    <t>COMB.LUBR.DIRECTOS-INDIRECTOS</t>
  </si>
  <si>
    <t>MATERIALES DE OFICINA</t>
  </si>
  <si>
    <t>PROD.QUIMIC,FARMACEUTICOS IND.</t>
  </si>
  <si>
    <t>FERT.INSECT.FUNG.Y OTROS</t>
  </si>
  <si>
    <t>MATERIALES Y UTILES DE ASEO</t>
  </si>
  <si>
    <t>MENAJE OFICINA CASINO Y OTROS</t>
  </si>
  <si>
    <t>MOBILIARIO Y OTROS</t>
  </si>
  <si>
    <t>EQUIPOS COMPUTACIONALES</t>
  </si>
  <si>
    <t>COSTO SERVICIO DESAYUNO</t>
  </si>
  <si>
    <t>COSTOS DE TEXT. VEST,O PRENDAS</t>
  </si>
  <si>
    <t>SERVICIOS GENERALES</t>
  </si>
  <si>
    <t>SERVICIO DE PUBLICIDAD</t>
  </si>
  <si>
    <t>SERVICIO DE IMPRESION</t>
  </si>
  <si>
    <t>SERVICIOS DE VIGILANCIA</t>
  </si>
  <si>
    <t>OTROS SERVICIOS GENERALES</t>
  </si>
  <si>
    <t>ARRIENDO DE TERRENOS</t>
  </si>
  <si>
    <t>ARRIENDO DE MOBILIARIO Y OTROS</t>
  </si>
  <si>
    <t>ARRIENDO DE MAQUINAS Y EQUIPOS</t>
  </si>
  <si>
    <t>OTROS ARRIENDOS</t>
  </si>
  <si>
    <t>SEGURO INMUEBLES</t>
  </si>
  <si>
    <t>MANTENCIÓN Y REPARACIÓN</t>
  </si>
  <si>
    <t>MANT.Y REPAR. MOBILIARIO Y OTROS</t>
  </si>
  <si>
    <t>MANT.Y REPAR. DE EQUIPOS OFICINA</t>
  </si>
  <si>
    <t>MANT.Y REPAR. OTRAS MAQ. Y EQUIP.</t>
  </si>
  <si>
    <t>MANT.Y REPAR. EQUIPOS INFORMATICOS</t>
  </si>
  <si>
    <t>OTROS MANTEN. Y REPAR. MENORES</t>
  </si>
  <si>
    <t>SERVICIO DE MANTENCION JARDINES</t>
  </si>
  <si>
    <t>OTROS GASTOS IMPREVISTOS</t>
  </si>
  <si>
    <t>OTROS GASTOS</t>
  </si>
  <si>
    <t>COMISIONES TRANSBANK</t>
  </si>
  <si>
    <t>OTROS MATERIALES DE USO CONSUMO</t>
  </si>
  <si>
    <t>TABLA 6: REMUNERACIONES DEL PERSONAL LEY 18.712 ADMINISTRACION CENTRAL Y APOYO ADMINISTRATIVO ASISTENCIA RECREATIVA</t>
  </si>
  <si>
    <t>TABLA 7: DISTRIBUCION COSTOS REMUNERACIONES ADMINISTRACION CENTRAL Y APOYO ADMINISTRATIVO A. RECREATIVA</t>
  </si>
  <si>
    <t>TABLA 8: COSTOS DE OPERACION ADMINISTRACIÓN CENTRAL Y  APOYO ADMINISTRATIVO ASISTENCIA RECREATIVA</t>
  </si>
  <si>
    <t>TABLA 9: RESUMEN DISTRIBUCION COSTOS REMUNERACIONES ADMINISTRACION CENTRAL Y APOYO ADMINISTRATIVO A. RECREATIVA</t>
  </si>
  <si>
    <t>TABLA 10: RESUMEN DISTRIBUCION COSTOS OPERACIÓN ADMINISTRACION CENTRAL  Y APOYO ADMINISTRATIVO A. RECREATIVA</t>
  </si>
  <si>
    <t>TABLA 11: FINANCIAMIENTO ADM. CENTRAL  Y APOYO ADMINISTRATIVO 
(REMUNERACIONES + COSTO OPERACIÓN)</t>
  </si>
  <si>
    <t>Unidades de Apoyo Administrativo</t>
  </si>
  <si>
    <t>Nombre</t>
  </si>
  <si>
    <t>Apellido</t>
  </si>
  <si>
    <t>Ocupación / Cargo</t>
  </si>
  <si>
    <t>ASISTENCIA RECREATIVA</t>
  </si>
  <si>
    <t>ASISTENCIA EDUCACIONAL</t>
  </si>
  <si>
    <t>ASISTENCIA COMERCIAL</t>
  </si>
  <si>
    <t>Tiempo Total</t>
  </si>
  <si>
    <t>Total Bonos anual</t>
  </si>
  <si>
    <t>Total Aguinaldos anual</t>
  </si>
  <si>
    <t>% tiempo</t>
  </si>
  <si>
    <t>$ Costo</t>
  </si>
  <si>
    <t>$ Costo Total</t>
  </si>
  <si>
    <t>$Costo Total</t>
  </si>
  <si>
    <t>ADMINISTRACIÓN CENTRAL</t>
  </si>
  <si>
    <t>Departamento de Finanzas y Abastecimiento</t>
  </si>
  <si>
    <t>Departamento de RR.HH.</t>
  </si>
  <si>
    <t>Departamento de Informática</t>
  </si>
  <si>
    <t>MAT.Y UTILES DE ASEO</t>
  </si>
  <si>
    <t>Asistencia Recreativa</t>
  </si>
  <si>
    <t>COSTO  TOTAL</t>
  </si>
  <si>
    <t>RESUMEN DE TARIFADO</t>
  </si>
  <si>
    <t>TABLA 12: RESUMEN DE TARIFADO</t>
  </si>
  <si>
    <t>Reajuste en pesos ($)</t>
  </si>
  <si>
    <t xml:space="preserve">Reajuste en porcentaje (%) </t>
  </si>
  <si>
    <t>Seg. 1</t>
  </si>
  <si>
    <t>Seg. 2</t>
  </si>
  <si>
    <t>Seg. 3</t>
  </si>
  <si>
    <t>REMUNERACIONES DEL PERSONAL CÓDIGO DEL TRABAJO</t>
  </si>
  <si>
    <t>TABLA13: REMUNERACIONES DEL PERSONAL LEY 18.712 DE CENTROS DE BENEFICIOS</t>
  </si>
  <si>
    <t>Tipo Personal</t>
  </si>
  <si>
    <t>Costo Total Remuneraciones por Centro de Beneficio</t>
  </si>
  <si>
    <t>Personal Permanente</t>
  </si>
  <si>
    <t>Personal No Permanente
(Estival)</t>
  </si>
  <si>
    <t>COMPARACIÓN TARIFAS CON PRECIOS DE MERCADO</t>
  </si>
  <si>
    <r>
      <t xml:space="preserve">Con el objeto de medir comparativamente el bienestar otorgado al personal de la Armada por el Area Recreativa, es necesario recabar antecedentes comparativos que permitan cuantificar las alternativas de precios que ofrece el mercado </t>
    </r>
    <r>
      <rPr>
        <b/>
        <u/>
        <sz val="10"/>
        <rFont val="Arial"/>
        <family val="2"/>
      </rPr>
      <t>dentro de la misma comuna en la que se encuentran los Centros Recreativos de su Repartición</t>
    </r>
    <r>
      <rPr>
        <sz val="11"/>
        <color theme="1"/>
        <rFont val="Calibri"/>
        <family val="2"/>
        <scheme val="minor"/>
      </rPr>
      <t xml:space="preserve">. Este cuadro comparativo debe ser completado con, </t>
    </r>
    <r>
      <rPr>
        <b/>
        <u/>
        <sz val="10"/>
        <rFont val="Arial"/>
        <family val="2"/>
      </rPr>
      <t>AL MENOS</t>
    </r>
    <r>
      <rPr>
        <sz val="11"/>
        <color theme="1"/>
        <rFont val="Calibri"/>
        <family val="2"/>
        <scheme val="minor"/>
      </rPr>
      <t xml:space="preserve">, dos instituciones públicas o privadas </t>
    </r>
    <r>
      <rPr>
        <b/>
        <u/>
        <sz val="10"/>
        <rFont val="Arial"/>
        <family val="2"/>
      </rPr>
      <t>que puedan considerarse como principal competencias directas</t>
    </r>
    <r>
      <rPr>
        <sz val="11"/>
        <color theme="1"/>
        <rFont val="Calibri"/>
        <family val="2"/>
        <scheme val="minor"/>
      </rPr>
      <t xml:space="preserve"> y que otorguen </t>
    </r>
    <r>
      <rPr>
        <b/>
        <u/>
        <sz val="10"/>
        <rFont val="Arial"/>
        <family val="2"/>
      </rPr>
      <t>prestaciones de calidad igual o similar</t>
    </r>
    <r>
      <rPr>
        <sz val="11"/>
        <color theme="1"/>
        <rFont val="Calibri"/>
        <family val="2"/>
        <scheme val="minor"/>
      </rPr>
      <t xml:space="preserve"> a las brindadas por las instalaciones de este Departamento/Delegación.</t>
    </r>
  </si>
  <si>
    <t>TABLA 14: COMPARACIÓN TARIFAS CON PRECIOS DE MERCADO</t>
  </si>
  <si>
    <t>% respecto a Precio Promedio Mercado</t>
  </si>
  <si>
    <t>COMPARACIÓN 1</t>
  </si>
  <si>
    <t>COMPARACIÓN 2</t>
  </si>
  <si>
    <t>Precio promedio mercado</t>
  </si>
  <si>
    <t>Institución</t>
  </si>
  <si>
    <t>Precio</t>
  </si>
  <si>
    <t xml:space="preserve"> </t>
  </si>
  <si>
    <t>DETALLE DE DATOS COMPLEMENTARIOS</t>
  </si>
  <si>
    <t>Costo Desayuno</t>
  </si>
  <si>
    <t xml:space="preserve">Solo para efectos de calculo y de obtener un valor del costo desayuno, considerar queso y jamon como acompañamientos de Sandwich </t>
  </si>
  <si>
    <t>Tabla 15: Costo desayuno</t>
  </si>
  <si>
    <t>Producto</t>
  </si>
  <si>
    <t>Costo neto</t>
  </si>
  <si>
    <t>REPARTICIÓN:</t>
  </si>
  <si>
    <t>CENTRO DE BENEFICIO "C.H. OFICIALES "C. H. Hanga Roa"</t>
  </si>
  <si>
    <t>ENERO</t>
  </si>
  <si>
    <t>FEBRERO</t>
  </si>
  <si>
    <t>MARZO</t>
  </si>
  <si>
    <t>ABRIL</t>
  </si>
  <si>
    <t>MAYO</t>
  </si>
  <si>
    <t>JUNIO</t>
  </si>
  <si>
    <t>JULIO</t>
  </si>
  <si>
    <t>AGOSTO</t>
  </si>
  <si>
    <t>SEPTIEMBRE</t>
  </si>
  <si>
    <t>OCTUBRE</t>
  </si>
  <si>
    <t>NOVIEMBRE</t>
  </si>
  <si>
    <t>DICIEMBRE</t>
  </si>
  <si>
    <t>ACUMULADO A DICIEMBRE</t>
  </si>
  <si>
    <t>INGRESOS DE OPERACIÓN</t>
  </si>
  <si>
    <t>REMUNERACIONES COD.DEL TRABAJO (Permanente)</t>
  </si>
  <si>
    <t>REMUNERACIONES COD.DEL TRABAJO (No Permanente)</t>
  </si>
  <si>
    <t>BONOS Y AGUINALDOS CÓDIGO DEL TRABAJO</t>
  </si>
  <si>
    <t>COSTOS  DE OPERACIÓN</t>
  </si>
  <si>
    <t>RESULTADO OPERACIONAL</t>
  </si>
  <si>
    <t>DISTRIBUCIÓN INGRESOS</t>
  </si>
  <si>
    <t xml:space="preserve">        DISTRIBUCIÓN COSTOS DE OPERACIÓN</t>
  </si>
  <si>
    <t>CENTRO DE BENEFICIO  "Quincho Oficiales"</t>
  </si>
  <si>
    <t>CENTRO DE BENEFICIO  "Salon de Eventos"</t>
  </si>
  <si>
    <t>CENTRO DE BENEFICIO  "C.H. Archipielago Juan Fernandez"</t>
  </si>
  <si>
    <t>CENTRO DE BENEFICIO  "Piscina"</t>
  </si>
  <si>
    <t>CENTRO DE BENEFICIO  "Departamento Superior"</t>
  </si>
  <si>
    <t>REAL ENERO</t>
  </si>
  <si>
    <t>REAL FEBRERO</t>
  </si>
  <si>
    <t>REAL MARZO</t>
  </si>
  <si>
    <t>REAL ABRIL</t>
  </si>
  <si>
    <t>REAL MAYO</t>
  </si>
  <si>
    <t>REAL JUNIO</t>
  </si>
  <si>
    <t>REAL JULIO</t>
  </si>
  <si>
    <t>REAL AGOSTO</t>
  </si>
  <si>
    <t>REAL SEPTIEMBRE</t>
  </si>
  <si>
    <t>REAL OCTUBRE</t>
  </si>
  <si>
    <t>REAL NOVIEMBRE</t>
  </si>
  <si>
    <t>REAL DICIEMBRE</t>
  </si>
  <si>
    <t>REAL REMUNERACION</t>
  </si>
  <si>
    <t>Pp Enero</t>
  </si>
  <si>
    <t>Real Enero</t>
  </si>
  <si>
    <t>Pp Febrero</t>
  </si>
  <si>
    <t>Real Febrero</t>
  </si>
  <si>
    <t>Pp Marzo</t>
  </si>
  <si>
    <t>Real Marzo</t>
  </si>
  <si>
    <t>Pp Abril</t>
  </si>
  <si>
    <t>Real Abril</t>
  </si>
  <si>
    <t>Pp Mayo</t>
  </si>
  <si>
    <t>Real Mayo</t>
  </si>
  <si>
    <t>Pp Junio</t>
  </si>
  <si>
    <t>Real Junio</t>
  </si>
  <si>
    <t>Pp Julio</t>
  </si>
  <si>
    <t>Real Julio</t>
  </si>
  <si>
    <t>Pp Agosto</t>
  </si>
  <si>
    <t>Real Agosto</t>
  </si>
  <si>
    <t>Pp Septiembre</t>
  </si>
  <si>
    <t>Real Septiembre</t>
  </si>
  <si>
    <t>Pp Octubre</t>
  </si>
  <si>
    <t>Real Octubre</t>
  </si>
  <si>
    <t>Pp Noviembre</t>
  </si>
  <si>
    <t>Real Noviembre</t>
  </si>
  <si>
    <t>Pp Diciembre</t>
  </si>
  <si>
    <t>Real Diciembre</t>
  </si>
  <si>
    <t>INGRESO</t>
  </si>
  <si>
    <t>RENTABILIDAD</t>
  </si>
  <si>
    <t>MES</t>
  </si>
  <si>
    <t>CONSOLIDADO</t>
  </si>
  <si>
    <t>REAL</t>
  </si>
  <si>
    <t>GASTOS DE ADM. Y VENTAS</t>
  </si>
  <si>
    <t>DISTRIBUCION COSTOS DE ADM. Y VENTAS</t>
  </si>
  <si>
    <t>ÍNDICE DE TABLAS</t>
  </si>
  <si>
    <t>A) Resumen Ingresos y Egresos</t>
  </si>
  <si>
    <t>TABLA 2:  DETALLE DE INGRESOS POR PRESTACIÓN Y SEGMENTO</t>
  </si>
  <si>
    <t>B) Reajuste Tarifa y Ocupación</t>
  </si>
  <si>
    <t>C) Estimación Costos Directos</t>
  </si>
  <si>
    <t xml:space="preserve">TABLA 5: COSTOS DIRECTOS DE CENTROS DE BENEFICIOS </t>
  </si>
  <si>
    <t>D) Costos Indirectos</t>
  </si>
  <si>
    <t>E) Resumen Tarifado</t>
  </si>
  <si>
    <t>F) Remuneraciones</t>
  </si>
  <si>
    <t>TABLA 13: REMUNERACIONES DEL PERSONAL LEY 18.712 DE CENTROS DE BENEFICIOS</t>
  </si>
  <si>
    <t>G) Comparación Mercado</t>
  </si>
  <si>
    <t>TABLA 14:COMPARACIÓN TARIFAS CON PRECIOS DE MERCADO</t>
  </si>
  <si>
    <t>H) Detalle Datos</t>
  </si>
  <si>
    <t>I) Costo Desayuno</t>
  </si>
  <si>
    <t>TABLA 15: COSTO DESAYUNO</t>
  </si>
  <si>
    <t>J)Estructura Económica Mensual</t>
  </si>
  <si>
    <t>TABLA N°16:  RESULTADO OPERACIONAL MENSUAL</t>
  </si>
  <si>
    <t>I) Costo Desayuno'!B12</t>
  </si>
  <si>
    <t xml:space="preserve">En esta hoja deberá incorporar toda la información, tablas y cálculos complementarios que permitan explicar y justificar sus proyecciones de ingresos y egresos, de acuerdo a los datos incorporados en las hojas anteriores.
</t>
  </si>
  <si>
    <t>Costo anual empresa</t>
  </si>
  <si>
    <t>Cantidad de celdas no vacias</t>
  </si>
  <si>
    <t>Salon de Eventos y Quinchos</t>
  </si>
  <si>
    <t>Adicional</t>
  </si>
  <si>
    <t>CENTRO DE BENEFICIO  "Salon de Eventos y Quinchos"</t>
  </si>
  <si>
    <t>DISTRIBUCIÓN COSTOS DE OPERACIÓN</t>
  </si>
  <si>
    <t>Casa de Huéspedes viejos Estandartes, Ejercito</t>
  </si>
  <si>
    <t>Club de Campo Peñalolen</t>
  </si>
  <si>
    <t>Jamon</t>
  </si>
  <si>
    <t>Queso</t>
  </si>
  <si>
    <t>Pan</t>
  </si>
  <si>
    <t>ADM. CENTRAL</t>
  </si>
  <si>
    <t>RECREACIONAL</t>
  </si>
  <si>
    <t>RECEPCIONISTA PISCINA 1</t>
  </si>
  <si>
    <t>RECEPCIONISTA PISCINA 2</t>
  </si>
  <si>
    <t>GUARDAVIDAS 1</t>
  </si>
  <si>
    <t>GUARDAVIDAS 2</t>
  </si>
  <si>
    <t>PISCINA</t>
  </si>
  <si>
    <t>JEFE ASISTENCIA RECREACIONAL</t>
  </si>
  <si>
    <t>Quincho (de 1 a 8 personas)</t>
  </si>
  <si>
    <t>café</t>
  </si>
  <si>
    <t>te</t>
  </si>
  <si>
    <t>cereal</t>
  </si>
  <si>
    <t>yogurt</t>
  </si>
  <si>
    <t>queque</t>
  </si>
  <si>
    <t>leche</t>
  </si>
  <si>
    <t>ACUMULADO</t>
  </si>
  <si>
    <t>Myriam</t>
  </si>
  <si>
    <t>Flores Vasquez</t>
  </si>
  <si>
    <t>Edilia</t>
  </si>
  <si>
    <t>Vidal Alvarez</t>
  </si>
  <si>
    <t xml:space="preserve"> Contador General</t>
  </si>
  <si>
    <t xml:space="preserve"> Encargado Rendición Cuentas</t>
  </si>
  <si>
    <t>Otros</t>
  </si>
  <si>
    <t>RO FINAL</t>
  </si>
  <si>
    <t>Tarifas 2024</t>
  </si>
  <si>
    <t>Meta Ocupación 2025</t>
  </si>
  <si>
    <t>Costo Total por Servidor Reajustado 2025</t>
  </si>
  <si>
    <t>C.H. HANGA ROA</t>
  </si>
  <si>
    <t>Tarifas 2025</t>
  </si>
  <si>
    <t>ANEXO D</t>
  </si>
  <si>
    <t>D) COSTOS INDIRECTOS ASISTENCIA EDUCACIONAL</t>
  </si>
  <si>
    <t>TABLA 6: REMUNERACIONES DEL PERSONAL LEY 18.712 ADMINISTRACION CENTRAL Y APOYO ADMINISTRATIVO ASISTENCIA EDUCACIONAL</t>
  </si>
  <si>
    <t>TABLA 7: DISTRIBUCION COSTOS REMUNERACIONES ADMINISTRACION CENTRAL Y APOYO ADMINISTRATIVO A. EDUCACIONAL</t>
  </si>
  <si>
    <t>TABLA 8: COSTOS DE OPERACION ADMINISTRACIÓN CENTRAL Y  APOYO ADMINISTRATIVO ASISTENCIA EDUCACIONAL</t>
  </si>
  <si>
    <t>TABLA 9: RESUMEN DISTRIBUCION COSTOS REMUNERACIONES ADMINISTRACION CENTRAL</t>
  </si>
  <si>
    <t>TABLA 10: RESUMEN DISTRIBUCION COSTOS OPERACIÓN ADMINISTRACION CENTRAL  Y APOYO ADMINISTRATIVO A. EDUCACIONAL</t>
  </si>
  <si>
    <t>Gasto Total Empresa</t>
  </si>
  <si>
    <t xml:space="preserve">Matias </t>
  </si>
  <si>
    <t>Torres Tapia</t>
  </si>
  <si>
    <t>Administrador de Contratos</t>
  </si>
  <si>
    <t>ÁREA APOYO A. EDUCACIONAL</t>
  </si>
  <si>
    <t>APOYO ADM.</t>
  </si>
  <si>
    <t>Asistencia Educacional</t>
  </si>
  <si>
    <t>Asistencia Comercial</t>
  </si>
  <si>
    <t>Juan Fernandez</t>
  </si>
  <si>
    <t xml:space="preserve"> Reajuste ($)</t>
  </si>
  <si>
    <t>Segmento
 1</t>
  </si>
  <si>
    <t>Segmento 
2</t>
  </si>
  <si>
    <t>Segmento 
3</t>
  </si>
  <si>
    <t>Propuesta Tarifas 2026</t>
  </si>
  <si>
    <t>Tarifas 2026</t>
  </si>
  <si>
    <t>COSTO DIRECTO ESTIMADO 2026</t>
  </si>
  <si>
    <t>REMUNERACIONES 2025</t>
  </si>
  <si>
    <t>COSTO INDIRECTO ESTIMADO 2026</t>
  </si>
  <si>
    <t xml:space="preserve"> Tarifas  2026</t>
  </si>
  <si>
    <t>Tarifas  2025</t>
  </si>
  <si>
    <t>Costo Total Empresa
2025</t>
  </si>
  <si>
    <t>Tarifa 2026</t>
  </si>
  <si>
    <t>Costo Total anual por Servidor 2025</t>
  </si>
  <si>
    <t>Costo Total por Servidor Reajustado 2026</t>
  </si>
  <si>
    <t xml:space="preserve"> Tarifas 2026</t>
  </si>
  <si>
    <t>Club Militar Suboficiales</t>
  </si>
  <si>
    <t>Residencia Militar Luis Cousiño</t>
  </si>
  <si>
    <t>Hotel viejos Estandares</t>
  </si>
  <si>
    <t>mineral</t>
  </si>
  <si>
    <t>jugos</t>
  </si>
  <si>
    <t>Nota: Promedio de personas anual ambas casas.</t>
  </si>
  <si>
    <t>COSTO DESAYUNOS</t>
  </si>
  <si>
    <t xml:space="preserve">CASA HUESPEDES OFICIALES  </t>
  </si>
  <si>
    <t xml:space="preserve">PROMEDIO 3 AÑOS </t>
  </si>
  <si>
    <t>PROMEDIO MENSUAL</t>
  </si>
  <si>
    <t xml:space="preserve">CASA HUESPEDES GENTE DE MAR  </t>
  </si>
  <si>
    <t xml:space="preserve">ALEXANDER FERNANDO </t>
  </si>
  <si>
    <t>ASPEE VALENZUELA</t>
  </si>
  <si>
    <t>JIMENA JACQUELINE</t>
  </si>
  <si>
    <t>CONTRERAS TAPIA</t>
  </si>
  <si>
    <t>MUCAMA</t>
  </si>
  <si>
    <t>AUXILIAR SERVICIOS</t>
  </si>
  <si>
    <t>MONTO CONSIDERA LO GASTADO EN CONTRATO DE SUMINISTROS N° 007/2025</t>
  </si>
  <si>
    <t>SE CONSIDERA EL MONTO DE ENERO 2025 A OCTUBRE DE 2025</t>
  </si>
  <si>
    <t>SE CONSIDERA EL MONTO TOTAL DEL CONVENIO MARCO VIGENTE</t>
  </si>
  <si>
    <t>MONTO CONSIDERA LO GASTADO EN CONTRATO DE SUMINISTROS N° 008/2025</t>
  </si>
  <si>
    <t>OPERACIÓN PISCINA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</si>
</sst>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6" formatCode="&quot;$&quot;#,##0;[Red]&quot;$&quot;\-#,##0"/>
    <numFmt numFmtId="42" formatCode="_ &quot;$&quot;* #,##0_ ;_ &quot;$&quot;* \-#,##0_ ;_ &quot;$&quot;* &quot;-&quot;_ ;_ @_ "/>
    <numFmt numFmtId="44" formatCode="_ &quot;$&quot;* #,##0.00_ ;_ &quot;$&quot;* \-#,##0.00_ ;_ &quot;$&quot;* &quot;-&quot;??_ ;_ @_ "/>
    <numFmt numFmtId="43" formatCode="_ * #,##0.00_ ;_ * \-#,##0.00_ ;_ * &quot;-&quot;??_ ;_ @_ "/>
    <numFmt numFmtId="164" formatCode="_-&quot;$ &quot;* #,##0_-;&quot;-$ &quot;* #,##0_-;_-&quot;$ &quot;* \-_-;_-@_-"/>
    <numFmt numFmtId="165" formatCode="#,##0_ ;[Red]\-#,##0\ "/>
    <numFmt numFmtId="166" formatCode="_-\ * #,##0_-;&quot;$ &quot;* #,##0_-;_-\ * \-_-;_-@_-"/>
    <numFmt numFmtId="167" formatCode="_-&quot;$&quot;* #,##0_-;\-&quot;$&quot;* #,##0_-;_-&quot;$&quot;* &quot;-&quot;??_-;_-@_-"/>
    <numFmt numFmtId="168" formatCode="0.0%"/>
    <numFmt numFmtId="169" formatCode="#,##0_ ;\-#,##0\ "/>
    <numFmt numFmtId="170" formatCode="_-* #,##0.0_-;\-* #,##0.0_-;_-* \-??_-;_-@_-"/>
    <numFmt numFmtId="171" formatCode="_(* #,##0_);_(* \(#,##0\);_(* \-_);_(@_)"/>
    <numFmt numFmtId="172" formatCode="_-* #,##0_-;\-* #,##0_-;_-* \-??_-;_-@_-"/>
    <numFmt numFmtId="173" formatCode="\$#,##0_);&quot;($&quot;#,##0\)"/>
    <numFmt numFmtId="174" formatCode="&quot;$&quot;\ #,##0"/>
    <numFmt numFmtId="175" formatCode="_-[$$-340A]\ * #,##0_-;\-[$$-340A]\ * #,##0_-;_-[$$-340A]\ * &quot;-&quot;??_-;_-@_-"/>
    <numFmt numFmtId="176" formatCode="_-\$* #,##0_-;&quot;-$&quot;* #,##0_-;_-\$* \-??_-;_-@_-"/>
    <numFmt numFmtId="177" formatCode="0.0000"/>
    <numFmt numFmtId="178" formatCode="0.0\ %"/>
    <numFmt numFmtId="179" formatCode="0.00\ %"/>
    <numFmt numFmtId="180" formatCode="&quot;$&quot;#,##0"/>
    <numFmt numFmtId="181" formatCode="_-&quot;$&quot;\ * #,##0_-;\-&quot;$&quot;\ * #,##0_-;_-&quot;$&quot;\ * &quot;-&quot;??_-;_-@_-"/>
    <numFmt numFmtId="182" formatCode="_-\$* #,##0.00_-;&quot;-$&quot;* #,##0.00_-;_-\$* \-??_-;_-@_-"/>
    <numFmt numFmtId="183" formatCode="_ &quot;$&quot;* #,##0.0_ ;_ &quot;$&quot;* \-#,##0.0_ ;_ &quot;$&quot;* &quot;-&quot;?_ ;_ @_ "/>
    <numFmt numFmtId="184" formatCode="0\ %"/>
    <numFmt numFmtId="185" formatCode="_ [$$-340A]* #,##0_ ;_ [$$-340A]* \-#,##0_ ;_ [$$-340A]* &quot;-&quot;??_ ;_ @_ "/>
  </numFmts>
  <fonts count="43"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0"/>
      <color indexed="10"/>
      <name val="Arial"/>
      <family val="2"/>
    </font>
    <font>
      <b/>
      <sz val="10"/>
      <name val="Arial"/>
      <family val="2"/>
    </font>
    <font>
      <b/>
      <sz val="10"/>
      <color indexed="40"/>
      <name val="Arial"/>
      <family val="2"/>
    </font>
    <font>
      <sz val="10"/>
      <name val="Arial"/>
      <family val="2"/>
    </font>
    <font>
      <b/>
      <sz val="12"/>
      <name val="Arial"/>
      <family val="2"/>
    </font>
    <font>
      <b/>
      <sz val="10"/>
      <color theme="0"/>
      <name val="Arial"/>
      <family val="2"/>
    </font>
    <font>
      <b/>
      <sz val="12"/>
      <color theme="0"/>
      <name val="Arial"/>
      <family val="2"/>
    </font>
    <font>
      <b/>
      <sz val="11"/>
      <name val="Arial"/>
      <family val="2"/>
    </font>
    <font>
      <b/>
      <sz val="10"/>
      <color indexed="8"/>
      <name val="Arial"/>
      <family val="2"/>
    </font>
    <font>
      <sz val="10"/>
      <color indexed="8"/>
      <name val="Arial"/>
      <family val="2"/>
    </font>
    <font>
      <sz val="10"/>
      <color rgb="FFFF0000"/>
      <name val="Arial"/>
      <family val="2"/>
    </font>
    <font>
      <b/>
      <u/>
      <sz val="12"/>
      <color rgb="FF0000CC"/>
      <name val="Arial"/>
      <family val="2"/>
    </font>
    <font>
      <b/>
      <sz val="10"/>
      <color indexed="9"/>
      <name val="Arial"/>
      <family val="2"/>
    </font>
    <font>
      <b/>
      <sz val="16"/>
      <name val="Arial"/>
      <family val="2"/>
    </font>
    <font>
      <sz val="10"/>
      <color theme="1"/>
      <name val="Arial"/>
      <family val="2"/>
    </font>
    <font>
      <b/>
      <sz val="10"/>
      <color theme="1"/>
      <name val="Arial"/>
      <family val="2"/>
    </font>
    <font>
      <b/>
      <u/>
      <sz val="10"/>
      <name val="Arial"/>
      <family val="2"/>
    </font>
    <font>
      <b/>
      <u/>
      <sz val="16"/>
      <name val="Arial"/>
      <family val="2"/>
    </font>
    <font>
      <u/>
      <sz val="14"/>
      <name val="Arial"/>
      <family val="2"/>
    </font>
    <font>
      <u/>
      <sz val="11"/>
      <name val="Arial"/>
      <family val="2"/>
    </font>
    <font>
      <sz val="11"/>
      <name val="Arial"/>
      <family val="2"/>
    </font>
    <font>
      <u/>
      <sz val="11"/>
      <name val="Corbel"/>
      <family val="2"/>
    </font>
    <font>
      <u/>
      <sz val="11"/>
      <color rgb="FF0000CC"/>
      <name val="Corbel"/>
      <family val="2"/>
    </font>
    <font>
      <sz val="11"/>
      <color rgb="FF0000CC"/>
      <name val="Corbel"/>
      <family val="2"/>
    </font>
    <font>
      <sz val="11"/>
      <name val="Corbel"/>
      <family val="2"/>
    </font>
    <font>
      <b/>
      <sz val="11"/>
      <color rgb="FF0000CC"/>
      <name val="Corbel"/>
      <family val="2"/>
    </font>
    <font>
      <b/>
      <u/>
      <sz val="12"/>
      <name val="Arial"/>
      <family val="2"/>
    </font>
    <font>
      <sz val="10"/>
      <color theme="0"/>
      <name val="Arial"/>
      <family val="2"/>
    </font>
    <font>
      <b/>
      <sz val="11"/>
      <name val="Calibri"/>
      <family val="2"/>
      <scheme val="minor"/>
    </font>
    <font>
      <b/>
      <u/>
      <sz val="11"/>
      <color theme="1"/>
      <name val="Calibri"/>
      <family val="2"/>
      <scheme val="minor"/>
    </font>
    <font>
      <b/>
      <sz val="14"/>
      <name val="Arial"/>
      <family val="2"/>
    </font>
    <font>
      <sz val="11"/>
      <color rgb="FFFF0000"/>
      <name val="Calibri"/>
      <family val="2"/>
      <scheme val="minor"/>
    </font>
    <font>
      <b/>
      <sz val="11"/>
      <color rgb="FFFF0000"/>
      <name val="Calibri"/>
      <family val="2"/>
      <scheme val="minor"/>
    </font>
    <font>
      <sz val="11"/>
      <color theme="1"/>
      <name val="Arial"/>
      <family val="2"/>
    </font>
    <font>
      <sz val="11"/>
      <name val="Calibri"/>
      <family val="2"/>
      <scheme val="minor"/>
    </font>
    <font>
      <b/>
      <sz val="11"/>
      <color theme="0"/>
      <name val="Calibri"/>
      <family val="2"/>
      <scheme val="minor"/>
    </font>
    <font>
      <b/>
      <sz val="11"/>
      <color indexed="10"/>
      <name val="Calibri"/>
      <family val="2"/>
      <scheme val="minor"/>
    </font>
    <font>
      <b/>
      <sz val="11"/>
      <color indexed="40"/>
      <name val="Calibri"/>
      <family val="2"/>
      <scheme val="minor"/>
    </font>
    <font>
      <b/>
      <sz val="11"/>
      <color rgb="FF0000CC"/>
      <name val="Calibri"/>
      <family val="2"/>
      <scheme val="minor"/>
    </font>
  </fonts>
  <fills count="63">
    <fill>
      <patternFill patternType="none"/>
    </fill>
    <fill>
      <patternFill patternType="gray125"/>
    </fill>
    <fill>
      <patternFill patternType="solid">
        <fgColor rgb="FFFFFF00"/>
        <bgColor indexed="64"/>
      </patternFill>
    </fill>
    <fill>
      <patternFill patternType="solid">
        <fgColor theme="0" tint="-0.249977111117893"/>
        <bgColor indexed="26"/>
      </patternFill>
    </fill>
    <fill>
      <patternFill patternType="solid">
        <fgColor theme="3"/>
        <bgColor indexed="26"/>
      </patternFill>
    </fill>
    <fill>
      <patternFill patternType="solid">
        <fgColor theme="5" tint="0.39997558519241921"/>
        <bgColor indexed="26"/>
      </patternFill>
    </fill>
    <fill>
      <patternFill patternType="solid">
        <fgColor rgb="FFC00000"/>
        <bgColor indexed="26"/>
      </patternFill>
    </fill>
    <fill>
      <patternFill patternType="solid">
        <fgColor theme="0" tint="-0.249977111117893"/>
        <bgColor indexed="64"/>
      </patternFill>
    </fill>
    <fill>
      <patternFill patternType="solid">
        <fgColor theme="4" tint="0.79998168889431442"/>
        <bgColor indexed="64"/>
      </patternFill>
    </fill>
    <fill>
      <patternFill patternType="solid">
        <fgColor theme="5" tint="0.79998168889431442"/>
        <bgColor indexed="64"/>
      </patternFill>
    </fill>
    <fill>
      <patternFill patternType="gray125">
        <bgColor theme="4" tint="0.79995117038483843"/>
      </patternFill>
    </fill>
    <fill>
      <patternFill patternType="solid">
        <fgColor indexed="9"/>
        <bgColor indexed="26"/>
      </patternFill>
    </fill>
    <fill>
      <patternFill patternType="solid">
        <fgColor theme="3" tint="-0.249977111117893"/>
        <bgColor indexed="24"/>
      </patternFill>
    </fill>
    <fill>
      <patternFill patternType="solid">
        <fgColor theme="3" tint="0.39997558519241921"/>
        <bgColor indexed="26"/>
      </patternFill>
    </fill>
    <fill>
      <patternFill patternType="gray125">
        <bgColor indexed="9"/>
      </patternFill>
    </fill>
    <fill>
      <patternFill patternType="solid">
        <fgColor theme="3" tint="0.79998168889431442"/>
        <bgColor indexed="24"/>
      </patternFill>
    </fill>
    <fill>
      <patternFill patternType="gray125">
        <fgColor indexed="26"/>
        <bgColor indexed="9"/>
      </patternFill>
    </fill>
    <fill>
      <patternFill patternType="gray125">
        <fgColor indexed="24"/>
        <bgColor theme="3" tint="0.79998168889431442"/>
      </patternFill>
    </fill>
    <fill>
      <patternFill patternType="solid">
        <fgColor theme="3" tint="0.39997558519241921"/>
        <bgColor indexed="44"/>
      </patternFill>
    </fill>
    <fill>
      <patternFill patternType="solid">
        <fgColor rgb="FFFFFF00"/>
        <bgColor indexed="26"/>
      </patternFill>
    </fill>
    <fill>
      <patternFill patternType="solid">
        <fgColor rgb="FFFFFFFF"/>
        <bgColor indexed="64"/>
      </patternFill>
    </fill>
    <fill>
      <patternFill patternType="solid">
        <fgColor theme="0" tint="-0.249977111117893"/>
        <bgColor indexed="24"/>
      </patternFill>
    </fill>
    <fill>
      <patternFill patternType="solid">
        <fgColor theme="0"/>
        <bgColor indexed="64"/>
      </patternFill>
    </fill>
    <fill>
      <patternFill patternType="solid">
        <fgColor theme="4" tint="0.59999389629810485"/>
        <bgColor indexed="64"/>
      </patternFill>
    </fill>
    <fill>
      <patternFill patternType="gray125">
        <bgColor theme="0"/>
      </patternFill>
    </fill>
    <fill>
      <patternFill patternType="gray125">
        <bgColor rgb="FFFFFF00"/>
      </patternFill>
    </fill>
    <fill>
      <patternFill patternType="solid">
        <fgColor theme="0" tint="-0.249977111117893"/>
        <bgColor indexed="44"/>
      </patternFill>
    </fill>
    <fill>
      <patternFill patternType="solid">
        <fgColor theme="5" tint="0.39997558519241921"/>
        <bgColor indexed="24"/>
      </patternFill>
    </fill>
    <fill>
      <patternFill patternType="solid">
        <fgColor theme="5" tint="0.39997558519241921"/>
        <bgColor indexed="40"/>
      </patternFill>
    </fill>
    <fill>
      <patternFill patternType="solid">
        <fgColor theme="5" tint="0.39994506668294322"/>
        <bgColor auto="1"/>
      </patternFill>
    </fill>
    <fill>
      <patternFill patternType="gray125">
        <fgColor auto="1"/>
        <bgColor theme="5" tint="0.39997558519241921"/>
      </patternFill>
    </fill>
    <fill>
      <patternFill patternType="solid">
        <fgColor theme="5" tint="0.79998168889431442"/>
        <bgColor indexed="24"/>
      </patternFill>
    </fill>
    <fill>
      <patternFill patternType="gray125">
        <fgColor auto="1"/>
        <bgColor theme="5" tint="0.79998168889431442"/>
      </patternFill>
    </fill>
    <fill>
      <patternFill patternType="gray125">
        <bgColor theme="3" tint="0.79998168889431442"/>
      </patternFill>
    </fill>
    <fill>
      <patternFill patternType="solid">
        <fgColor theme="3" tint="0.59999389629810485"/>
        <bgColor indexed="64"/>
      </patternFill>
    </fill>
    <fill>
      <patternFill patternType="solid">
        <fgColor theme="3" tint="0.79998168889431442"/>
        <bgColor indexed="64"/>
      </patternFill>
    </fill>
    <fill>
      <patternFill patternType="solid">
        <fgColor rgb="FFFFC000"/>
        <bgColor indexed="64"/>
      </patternFill>
    </fill>
    <fill>
      <patternFill patternType="solid">
        <fgColor theme="3" tint="0.39997558519241921"/>
        <bgColor indexed="24"/>
      </patternFill>
    </fill>
    <fill>
      <patternFill patternType="gray125">
        <fgColor auto="1"/>
        <bgColor theme="3" tint="0.39997558519241921"/>
      </patternFill>
    </fill>
    <fill>
      <patternFill patternType="solid">
        <fgColor theme="5" tint="0.39997558519241921"/>
        <bgColor indexed="64"/>
      </patternFill>
    </fill>
    <fill>
      <patternFill patternType="solid">
        <fgColor theme="3" tint="0.39997558519241921"/>
        <bgColor indexed="64"/>
      </patternFill>
    </fill>
    <fill>
      <patternFill patternType="solid">
        <fgColor rgb="FF00B0F0"/>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theme="3" tint="-0.249977111117893"/>
        <bgColor indexed="64"/>
      </patternFill>
    </fill>
    <fill>
      <patternFill patternType="solid">
        <fgColor theme="0" tint="-0.14999847407452621"/>
        <bgColor indexed="64"/>
      </patternFill>
    </fill>
    <fill>
      <patternFill patternType="gray125">
        <bgColor theme="3" tint="0.79995117038483843"/>
      </patternFill>
    </fill>
    <fill>
      <patternFill patternType="gray125">
        <bgColor theme="0" tint="-0.14996795556505021"/>
      </patternFill>
    </fill>
    <fill>
      <patternFill patternType="solid">
        <fgColor theme="2"/>
        <bgColor indexed="64"/>
      </patternFill>
    </fill>
    <fill>
      <patternFill patternType="gray125">
        <bgColor theme="0" tint="-0.14999847407452621"/>
      </patternFill>
    </fill>
    <fill>
      <patternFill patternType="solid">
        <fgColor rgb="FF002060"/>
        <bgColor indexed="64"/>
      </patternFill>
    </fill>
    <fill>
      <patternFill patternType="solid">
        <fgColor theme="4" tint="0.79998168889431442"/>
        <bgColor theme="4" tint="0.79998168889431442"/>
      </patternFill>
    </fill>
    <fill>
      <patternFill patternType="solid">
        <fgColor theme="7" tint="0.79998168889431442"/>
        <bgColor indexed="64"/>
      </patternFill>
    </fill>
    <fill>
      <patternFill patternType="solid">
        <fgColor theme="2" tint="-9.9978637043366805E-2"/>
        <bgColor indexed="64"/>
      </patternFill>
    </fill>
    <fill>
      <patternFill patternType="gray125">
        <bgColor rgb="FFFFC000"/>
      </patternFill>
    </fill>
    <fill>
      <patternFill patternType="lightGray">
        <bgColor rgb="FFFFC000"/>
      </patternFill>
    </fill>
    <fill>
      <patternFill patternType="solid">
        <fgColor theme="4" tint="0.79998168889431442"/>
        <bgColor indexed="24"/>
      </patternFill>
    </fill>
    <fill>
      <patternFill patternType="solid">
        <fgColor theme="9" tint="0.39997558519241921"/>
        <bgColor indexed="64"/>
      </patternFill>
    </fill>
    <fill>
      <patternFill patternType="solid">
        <fgColor theme="7" tint="0.59999389629810485"/>
        <bgColor indexed="64"/>
      </patternFill>
    </fill>
    <fill>
      <patternFill patternType="gray125">
        <bgColor theme="7" tint="0.59999389629810485"/>
      </patternFill>
    </fill>
    <fill>
      <patternFill patternType="solid">
        <fgColor theme="4" tint="-0.249977111117893"/>
        <bgColor indexed="64"/>
      </patternFill>
    </fill>
    <fill>
      <patternFill patternType="solid">
        <fgColor theme="4" tint="-0.249977111117893"/>
        <bgColor indexed="24"/>
      </patternFill>
    </fill>
    <fill>
      <patternFill patternType="solid">
        <fgColor theme="0"/>
        <bgColor indexed="26"/>
      </patternFill>
    </fill>
  </fills>
  <borders count="310">
    <border>
      <left/>
      <right/>
      <top/>
      <bottom/>
      <diagonal/>
    </border>
    <border>
      <left/>
      <right style="thin">
        <color indexed="8"/>
      </right>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medium">
        <color auto="1"/>
      </top>
      <bottom/>
      <diagonal/>
    </border>
    <border>
      <left style="thin">
        <color indexed="8"/>
      </left>
      <right/>
      <top style="medium">
        <color indexed="64"/>
      </top>
      <bottom/>
      <diagonal/>
    </border>
    <border>
      <left style="thin">
        <color indexed="64"/>
      </left>
      <right style="thin">
        <color indexed="64"/>
      </right>
      <top style="medium">
        <color indexed="64"/>
      </top>
      <bottom/>
      <diagonal/>
    </border>
    <border>
      <left style="medium">
        <color auto="1"/>
      </left>
      <right style="medium">
        <color indexed="64"/>
      </right>
      <top style="medium">
        <color indexed="64"/>
      </top>
      <bottom style="thin">
        <color auto="1"/>
      </bottom>
      <diagonal/>
    </border>
    <border>
      <left style="thin">
        <color indexed="64"/>
      </left>
      <right style="thin">
        <color indexed="64"/>
      </right>
      <top style="thin">
        <color indexed="64"/>
      </top>
      <bottom style="thin">
        <color indexed="64"/>
      </bottom>
      <diagonal/>
    </border>
    <border>
      <left/>
      <right/>
      <top style="thin">
        <color indexed="8"/>
      </top>
      <bottom style="thin">
        <color indexed="8"/>
      </bottom>
      <diagonal/>
    </border>
    <border>
      <left style="thin">
        <color indexed="64"/>
      </left>
      <right style="thin">
        <color indexed="64"/>
      </right>
      <top style="thin">
        <color indexed="64"/>
      </top>
      <bottom style="medium">
        <color indexed="64"/>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medium">
        <color rgb="FFC00000"/>
      </left>
      <right style="thin">
        <color indexed="8"/>
      </right>
      <top style="medium">
        <color rgb="FFC00000"/>
      </top>
      <bottom style="medium">
        <color rgb="FFC00000"/>
      </bottom>
      <diagonal/>
    </border>
    <border>
      <left style="thin">
        <color indexed="8"/>
      </left>
      <right style="medium">
        <color rgb="FFC00000"/>
      </right>
      <top style="medium">
        <color rgb="FFC00000"/>
      </top>
      <bottom style="medium">
        <color rgb="FFC00000"/>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indexed="64"/>
      </left>
      <right style="thin">
        <color indexed="8"/>
      </right>
      <top style="medium">
        <color indexed="64"/>
      </top>
      <bottom/>
      <diagonal/>
    </border>
    <border>
      <left style="thin">
        <color indexed="8"/>
      </left>
      <right style="medium">
        <color indexed="64"/>
      </right>
      <top style="medium">
        <color indexed="64"/>
      </top>
      <bottom/>
      <diagonal/>
    </border>
    <border>
      <left style="medium">
        <color indexed="64"/>
      </left>
      <right style="medium">
        <color indexed="64"/>
      </right>
      <top style="thin">
        <color auto="1"/>
      </top>
      <bottom/>
      <diagonal/>
    </border>
    <border>
      <left style="medium">
        <color indexed="64"/>
      </left>
      <right style="thin">
        <color indexed="8"/>
      </right>
      <top style="thin">
        <color indexed="8"/>
      </top>
      <bottom/>
      <diagonal/>
    </border>
    <border>
      <left style="thin">
        <color indexed="8"/>
      </left>
      <right style="medium">
        <color indexed="64"/>
      </right>
      <top style="thin">
        <color indexed="8"/>
      </top>
      <bottom/>
      <diagonal/>
    </border>
    <border>
      <left style="medium">
        <color indexed="64"/>
      </left>
      <right/>
      <top/>
      <bottom/>
      <diagonal/>
    </border>
    <border>
      <left/>
      <right style="medium">
        <color auto="1"/>
      </right>
      <top/>
      <bottom/>
      <diagonal/>
    </border>
    <border>
      <left style="thin">
        <color indexed="8"/>
      </left>
      <right/>
      <top style="thin">
        <color indexed="8"/>
      </top>
      <bottom/>
      <diagonal/>
    </border>
    <border>
      <left style="medium">
        <color indexed="64"/>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top style="thin">
        <color auto="1"/>
      </top>
      <bottom/>
      <diagonal/>
    </border>
    <border>
      <left style="thin">
        <color auto="1"/>
      </left>
      <right style="thin">
        <color auto="1"/>
      </right>
      <top style="medium">
        <color indexed="64"/>
      </top>
      <bottom style="thin">
        <color auto="1"/>
      </bottom>
      <diagonal/>
    </border>
    <border>
      <left style="thin">
        <color indexed="64"/>
      </left>
      <right style="medium">
        <color indexed="64"/>
      </right>
      <top style="medium">
        <color indexed="64"/>
      </top>
      <bottom style="thin">
        <color indexed="64"/>
      </bottom>
      <diagonal/>
    </border>
    <border>
      <left/>
      <right style="thin">
        <color auto="1"/>
      </right>
      <top style="medium">
        <color indexed="64"/>
      </top>
      <bottom style="thin">
        <color auto="1"/>
      </bottom>
      <diagonal/>
    </border>
    <border>
      <left/>
      <right/>
      <top style="medium">
        <color indexed="64"/>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auto="1"/>
      </top>
      <bottom style="thin">
        <color auto="1"/>
      </bottom>
      <diagonal/>
    </border>
    <border>
      <left style="medium">
        <color indexed="64"/>
      </left>
      <right style="medium">
        <color indexed="64"/>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auto="1"/>
      </top>
      <bottom style="medium">
        <color indexed="64"/>
      </bottom>
      <diagonal/>
    </border>
    <border>
      <left style="medium">
        <color indexed="64"/>
      </left>
      <right style="thin">
        <color indexed="64"/>
      </right>
      <top style="thin">
        <color indexed="64"/>
      </top>
      <bottom style="medium">
        <color indexed="64"/>
      </bottom>
      <diagonal/>
    </border>
    <border>
      <left style="thin">
        <color auto="1"/>
      </left>
      <right/>
      <top style="thin">
        <color auto="1"/>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auto="1"/>
      </left>
      <right style="thin">
        <color auto="1"/>
      </right>
      <top/>
      <bottom style="thin">
        <color auto="1"/>
      </bottom>
      <diagonal/>
    </border>
    <border>
      <left style="thin">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auto="1"/>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indexed="64"/>
      </left>
      <right style="medium">
        <color indexed="64"/>
      </right>
      <top/>
      <bottom style="thin">
        <color auto="1"/>
      </bottom>
      <diagonal/>
    </border>
    <border>
      <left style="medium">
        <color indexed="64"/>
      </left>
      <right/>
      <top style="medium">
        <color indexed="64"/>
      </top>
      <bottom style="thin">
        <color auto="1"/>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8"/>
      </left>
      <right/>
      <top/>
      <bottom/>
      <diagonal/>
    </border>
    <border>
      <left style="thin">
        <color auto="1"/>
      </left>
      <right style="thin">
        <color auto="1"/>
      </right>
      <top/>
      <bottom/>
      <diagonal/>
    </border>
    <border>
      <left style="thin">
        <color indexed="64"/>
      </left>
      <right style="thin">
        <color indexed="64"/>
      </right>
      <top/>
      <bottom style="thin">
        <color indexed="64"/>
      </bottom>
      <diagonal/>
    </border>
    <border>
      <left style="thin">
        <color indexed="8"/>
      </left>
      <right/>
      <top/>
      <bottom style="thin">
        <color indexed="8"/>
      </bottom>
      <diagonal/>
    </border>
    <border>
      <left/>
      <right/>
      <top/>
      <bottom style="thin">
        <color indexed="8"/>
      </bottom>
      <diagonal/>
    </border>
    <border>
      <left style="thin">
        <color indexed="64"/>
      </left>
      <right style="thin">
        <color auto="1"/>
      </right>
      <top/>
      <bottom style="thin">
        <color indexed="8"/>
      </bottom>
      <diagonal/>
    </border>
    <border>
      <left style="thin">
        <color auto="1"/>
      </left>
      <right style="thin">
        <color indexed="8"/>
      </right>
      <top style="thin">
        <color auto="1"/>
      </top>
      <bottom style="thin">
        <color auto="1"/>
      </bottom>
      <diagonal/>
    </border>
    <border>
      <left style="thin">
        <color indexed="8"/>
      </left>
      <right style="thin">
        <color indexed="8"/>
      </right>
      <top style="thin">
        <color auto="1"/>
      </top>
      <bottom style="thin">
        <color auto="1"/>
      </bottom>
      <diagonal/>
    </border>
    <border>
      <left/>
      <right style="thin">
        <color indexed="8"/>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8"/>
      </right>
      <top style="thin">
        <color indexed="8"/>
      </top>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thin">
        <color auto="1"/>
      </right>
      <top/>
      <bottom style="medium">
        <color indexed="64"/>
      </bottom>
      <diagonal/>
    </border>
    <border>
      <left/>
      <right style="thin">
        <color indexed="64"/>
      </right>
      <top style="thin">
        <color indexed="64"/>
      </top>
      <bottom style="thin">
        <color indexed="64"/>
      </bottom>
      <diagonal/>
    </border>
    <border>
      <left style="medium">
        <color auto="1"/>
      </left>
      <right/>
      <top/>
      <bottom style="medium">
        <color indexed="64"/>
      </bottom>
      <diagonal/>
    </border>
    <border>
      <left/>
      <right/>
      <top/>
      <bottom style="medium">
        <color auto="1"/>
      </bottom>
      <diagonal/>
    </border>
    <border>
      <left/>
      <right style="medium">
        <color auto="1"/>
      </right>
      <top/>
      <bottom style="medium">
        <color auto="1"/>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rgb="FF0070C0"/>
      </left>
      <right style="thin">
        <color rgb="FF0070C0"/>
      </right>
      <top/>
      <bottom style="thin">
        <color rgb="FF0070C0"/>
      </bottom>
      <diagonal/>
    </border>
    <border>
      <left style="thin">
        <color auto="1"/>
      </left>
      <right style="medium">
        <color indexed="64"/>
      </right>
      <top style="thin">
        <color auto="1"/>
      </top>
      <bottom/>
      <diagonal/>
    </border>
    <border>
      <left/>
      <right/>
      <top style="thin">
        <color indexed="64"/>
      </top>
      <bottom style="thin">
        <color indexed="64"/>
      </bottom>
      <diagonal/>
    </border>
    <border>
      <left/>
      <right/>
      <top/>
      <bottom style="thin">
        <color auto="1"/>
      </bottom>
      <diagonal/>
    </border>
    <border>
      <left style="thin">
        <color indexed="8"/>
      </left>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medium">
        <color indexed="64"/>
      </left>
      <right style="medium">
        <color indexed="64"/>
      </right>
      <top style="medium">
        <color indexed="64"/>
      </top>
      <bottom style="thin">
        <color indexed="8"/>
      </bottom>
      <diagonal/>
    </border>
    <border>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style="medium">
        <color indexed="64"/>
      </left>
      <right/>
      <top style="medium">
        <color indexed="64"/>
      </top>
      <bottom style="thin">
        <color indexed="8"/>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8"/>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auto="1"/>
      </left>
      <right/>
      <top style="thin">
        <color auto="1"/>
      </top>
      <bottom style="thin">
        <color auto="1"/>
      </bottom>
      <diagonal/>
    </border>
    <border>
      <left style="medium">
        <color indexed="64"/>
      </left>
      <right style="medium">
        <color indexed="64"/>
      </right>
      <top style="thin">
        <color auto="1"/>
      </top>
      <bottom style="thin">
        <color auto="1"/>
      </bottom>
      <diagonal/>
    </border>
    <border>
      <left/>
      <right style="thin">
        <color indexed="64"/>
      </right>
      <top style="thin">
        <color indexed="64"/>
      </top>
      <bottom style="medium">
        <color indexed="64"/>
      </bottom>
      <diagonal/>
    </border>
    <border>
      <left style="thin">
        <color auto="1"/>
      </left>
      <right/>
      <top style="thin">
        <color auto="1"/>
      </top>
      <bottom style="medium">
        <color indexed="64"/>
      </bottom>
      <diagonal/>
    </border>
    <border>
      <left style="thin">
        <color indexed="64"/>
      </left>
      <right style="thin">
        <color indexed="64"/>
      </right>
      <top/>
      <bottom style="thin">
        <color indexed="64"/>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indexed="64"/>
      </right>
      <top/>
      <bottom style="thin">
        <color indexed="8"/>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auto="1"/>
      </bottom>
      <diagonal/>
    </border>
    <border>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medium">
        <color indexed="64"/>
      </right>
      <top style="thin">
        <color auto="1"/>
      </top>
      <bottom style="thin">
        <color auto="1"/>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8"/>
      </top>
      <bottom style="thin">
        <color indexed="8"/>
      </bottom>
      <diagonal/>
    </border>
    <border>
      <left/>
      <right style="medium">
        <color indexed="64"/>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thin">
        <color auto="1"/>
      </left>
      <right/>
      <top style="thin">
        <color auto="1"/>
      </top>
      <bottom style="thin">
        <color auto="1"/>
      </bottom>
      <diagonal/>
    </border>
    <border>
      <left style="medium">
        <color indexed="64"/>
      </left>
      <right style="medium">
        <color indexed="64"/>
      </right>
      <top style="thin">
        <color auto="1"/>
      </top>
      <bottom style="thin">
        <color auto="1"/>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style="medium">
        <color indexed="64"/>
      </left>
      <right style="medium">
        <color indexed="64"/>
      </right>
      <top style="thin">
        <color auto="1"/>
      </top>
      <bottom style="thin">
        <color auto="1"/>
      </bottom>
      <diagonal/>
    </border>
    <border>
      <left/>
      <right/>
      <top style="thin">
        <color indexed="64"/>
      </top>
      <bottom style="thin">
        <color indexed="64"/>
      </bottom>
      <diagonal/>
    </border>
    <border>
      <left style="medium">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8"/>
      </left>
      <right/>
      <top style="thin">
        <color indexed="8"/>
      </top>
      <bottom style="thin">
        <color indexed="8"/>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diagonal/>
    </border>
    <border>
      <left style="medium">
        <color auto="1"/>
      </left>
      <right style="medium">
        <color indexed="64"/>
      </right>
      <top style="thin">
        <color auto="1"/>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auto="1"/>
      </right>
      <top style="thin">
        <color indexed="64"/>
      </top>
      <bottom/>
      <diagonal/>
    </border>
    <border>
      <left/>
      <right style="medium">
        <color auto="1"/>
      </right>
      <top/>
      <bottom style="thin">
        <color auto="1"/>
      </bottom>
      <diagonal/>
    </border>
    <border>
      <left style="medium">
        <color indexed="64"/>
      </left>
      <right/>
      <top style="thin">
        <color auto="1"/>
      </top>
      <bottom style="thin">
        <color auto="1"/>
      </bottom>
      <diagonal/>
    </border>
    <border>
      <left style="medium">
        <color auto="1"/>
      </left>
      <right/>
      <top style="thin">
        <color auto="1"/>
      </top>
      <bottom/>
      <diagonal/>
    </border>
    <border>
      <left style="medium">
        <color auto="1"/>
      </left>
      <right/>
      <top style="thin">
        <color auto="1"/>
      </top>
      <bottom/>
      <diagonal/>
    </border>
    <border>
      <left/>
      <right style="medium">
        <color indexed="64"/>
      </right>
      <top style="medium">
        <color indexed="64"/>
      </top>
      <bottom style="thin">
        <color auto="1"/>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medium">
        <color indexed="64"/>
      </left>
      <right style="thin">
        <color auto="1"/>
      </right>
      <top style="medium">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n">
        <color auto="1"/>
      </top>
      <bottom style="thin">
        <color auto="1"/>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auto="1"/>
      </left>
      <right/>
      <top style="thin">
        <color auto="1"/>
      </top>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auto="1"/>
      </left>
      <right style="thin">
        <color auto="1"/>
      </right>
      <top style="medium">
        <color indexed="64"/>
      </top>
      <bottom/>
      <diagonal/>
    </border>
    <border>
      <left style="thin">
        <color auto="1"/>
      </left>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medium">
        <color indexed="64"/>
      </left>
      <right style="thin">
        <color indexed="8"/>
      </right>
      <top style="thin">
        <color indexed="8"/>
      </top>
      <bottom/>
      <diagonal/>
    </border>
    <border>
      <left style="thin">
        <color indexed="8"/>
      </left>
      <right style="medium">
        <color indexed="64"/>
      </right>
      <top style="thin">
        <color indexed="8"/>
      </top>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8"/>
      </bottom>
      <diagonal/>
    </border>
    <border>
      <left/>
      <right/>
      <top style="thin">
        <color indexed="8"/>
      </top>
      <bottom style="thin">
        <color indexed="8"/>
      </bottom>
      <diagonal/>
    </border>
    <border>
      <left/>
      <right/>
      <top style="thin">
        <color indexed="8"/>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8"/>
      </bottom>
      <diagonal/>
    </border>
    <border>
      <left/>
      <right style="medium">
        <color indexed="64"/>
      </right>
      <top style="thin">
        <color auto="1"/>
      </top>
      <bottom style="thin">
        <color auto="1"/>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8"/>
      </bottom>
      <diagonal/>
    </border>
    <border>
      <left style="thin">
        <color auto="1"/>
      </left>
      <right style="thin">
        <color auto="1"/>
      </right>
      <top style="medium">
        <color indexed="64"/>
      </top>
      <bottom style="thin">
        <color indexed="8"/>
      </bottom>
      <diagonal/>
    </border>
    <border>
      <left style="medium">
        <color indexed="64"/>
      </left>
      <right/>
      <top style="thin">
        <color indexed="8"/>
      </top>
      <bottom style="thin">
        <color indexed="8"/>
      </bottom>
      <diagonal/>
    </border>
    <border>
      <left style="thin">
        <color auto="1"/>
      </left>
      <right style="thin">
        <color auto="1"/>
      </right>
      <top style="thin">
        <color indexed="8"/>
      </top>
      <bottom style="thin">
        <color indexed="8"/>
      </bottom>
      <diagonal/>
    </border>
    <border>
      <left style="thin">
        <color auto="1"/>
      </left>
      <right style="thin">
        <color auto="1"/>
      </right>
      <top style="thin">
        <color indexed="8"/>
      </top>
      <bottom/>
      <diagonal/>
    </border>
    <border>
      <left style="medium">
        <color indexed="64"/>
      </left>
      <right/>
      <top style="thin">
        <color indexed="8"/>
      </top>
      <bottom style="thin">
        <color indexed="8"/>
      </bottom>
      <diagonal/>
    </border>
    <border>
      <left style="thin">
        <color auto="1"/>
      </left>
      <right style="thin">
        <color auto="1"/>
      </right>
      <top style="thin">
        <color indexed="8"/>
      </top>
      <bottom style="thin">
        <color indexed="8"/>
      </bottom>
      <diagonal/>
    </border>
    <border>
      <left style="medium">
        <color indexed="64"/>
      </left>
      <right/>
      <top style="thin">
        <color indexed="8"/>
      </top>
      <bottom style="medium">
        <color indexed="64"/>
      </bottom>
      <diagonal/>
    </border>
    <border>
      <left style="thin">
        <color auto="1"/>
      </left>
      <right style="thin">
        <color auto="1"/>
      </right>
      <top style="thin">
        <color indexed="8"/>
      </top>
      <bottom style="medium">
        <color indexed="64"/>
      </bottom>
      <diagonal/>
    </border>
    <border>
      <left/>
      <right style="medium">
        <color indexed="64"/>
      </right>
      <top style="thin">
        <color auto="1"/>
      </top>
      <bottom style="medium">
        <color indexed="64"/>
      </bottom>
      <diagonal/>
    </border>
    <border>
      <left style="medium">
        <color auto="1"/>
      </left>
      <right/>
      <top style="medium">
        <color indexed="64"/>
      </top>
      <bottom style="thin">
        <color auto="1"/>
      </bottom>
      <diagonal/>
    </border>
    <border>
      <left style="thin">
        <color indexed="64"/>
      </left>
      <right style="thin">
        <color indexed="64"/>
      </right>
      <top style="thin">
        <color indexed="64"/>
      </top>
      <bottom/>
      <diagonal/>
    </border>
    <border>
      <left style="thin">
        <color auto="1"/>
      </left>
      <right/>
      <top style="thin">
        <color auto="1"/>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auto="1"/>
      </left>
      <right/>
      <top style="thin">
        <color auto="1"/>
      </top>
      <bottom style="thin">
        <color auto="1"/>
      </bottom>
      <diagonal/>
    </border>
    <border>
      <left style="medium">
        <color indexed="64"/>
      </left>
      <right/>
      <top/>
      <bottom style="thin">
        <color auto="1"/>
      </bottom>
      <diagonal/>
    </border>
    <border>
      <left style="thin">
        <color indexed="64"/>
      </left>
      <right/>
      <top style="thin">
        <color indexed="64"/>
      </top>
      <bottom/>
      <diagonal/>
    </border>
    <border>
      <left style="medium">
        <color indexed="64"/>
      </left>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style="thin">
        <color indexed="8"/>
      </left>
      <right style="thin">
        <color indexed="8"/>
      </right>
      <top style="thin">
        <color indexed="8"/>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auto="1"/>
      </left>
      <right style="thin">
        <color auto="1"/>
      </right>
      <top style="medium">
        <color auto="1"/>
      </top>
      <bottom/>
      <diagonal/>
    </border>
    <border>
      <left style="thin">
        <color auto="1"/>
      </left>
      <right/>
      <top style="medium">
        <color indexed="64"/>
      </top>
      <bottom/>
      <diagonal/>
    </border>
    <border>
      <left style="medium">
        <color indexed="64"/>
      </left>
      <right style="medium">
        <color indexed="64"/>
      </right>
      <top style="thin">
        <color indexed="64"/>
      </top>
      <bottom/>
      <diagonal/>
    </border>
    <border>
      <left style="medium">
        <color auto="1"/>
      </left>
      <right style="medium">
        <color auto="1"/>
      </right>
      <top style="medium">
        <color auto="1"/>
      </top>
      <bottom/>
      <diagonal/>
    </border>
    <border>
      <left/>
      <right style="thin">
        <color indexed="64"/>
      </right>
      <top style="medium">
        <color indexed="64"/>
      </top>
      <bottom/>
      <diagonal/>
    </border>
    <border>
      <left style="medium">
        <color indexed="64"/>
      </left>
      <right/>
      <top style="medium">
        <color indexed="64"/>
      </top>
      <bottom/>
      <diagonal/>
    </border>
    <border>
      <left/>
      <right/>
      <top style="thin">
        <color indexed="8"/>
      </top>
      <bottom/>
      <diagonal/>
    </border>
    <border>
      <left style="thin">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thin">
        <color indexed="8"/>
      </left>
      <right/>
      <top style="thin">
        <color indexed="8"/>
      </top>
      <bottom style="thin">
        <color indexed="8"/>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auto="1"/>
      </left>
      <right style="medium">
        <color indexed="64"/>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8"/>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style="thin">
        <color auto="1"/>
      </right>
      <top style="thin">
        <color indexed="64"/>
      </top>
      <bottom style="thin">
        <color indexed="64"/>
      </bottom>
      <diagonal/>
    </border>
    <border>
      <left style="thin">
        <color auto="1"/>
      </left>
      <right style="thin">
        <color auto="1"/>
      </right>
      <top style="thin">
        <color indexed="64"/>
      </top>
      <bottom style="thin">
        <color indexed="64"/>
      </bottom>
      <diagonal/>
    </border>
    <border>
      <left style="thin">
        <color auto="1"/>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auto="1"/>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auto="1"/>
      </top>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right/>
      <top style="thin">
        <color indexed="8"/>
      </top>
      <bottom style="thin">
        <color indexed="8"/>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8"/>
      </right>
      <top style="thin">
        <color indexed="8"/>
      </top>
      <bottom/>
      <diagonal/>
    </border>
    <border>
      <left/>
      <right style="thin">
        <color indexed="8"/>
      </right>
      <top/>
      <bottom style="thin">
        <color indexed="8"/>
      </bottom>
      <diagonal/>
    </border>
    <border>
      <left/>
      <right/>
      <top style="thin">
        <color indexed="8"/>
      </top>
      <bottom/>
      <diagonal/>
    </border>
    <border>
      <left/>
      <right/>
      <top/>
      <bottom style="thin">
        <color indexed="8"/>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xf numFmtId="0" fontId="7" fillId="0" borderId="0"/>
    <xf numFmtId="182" fontId="7" fillId="0" borderId="0"/>
    <xf numFmtId="44" fontId="1" fillId="0" borderId="0" applyFont="0" applyFill="0" applyBorder="0" applyAlignment="0" applyProtection="0"/>
    <xf numFmtId="0" fontId="7" fillId="0" borderId="0"/>
    <xf numFmtId="184" fontId="7" fillId="0" borderId="0"/>
    <xf numFmtId="182" fontId="7" fillId="0" borderId="0"/>
  </cellStyleXfs>
  <cellXfs count="1388">
    <xf numFmtId="0" fontId="0" fillId="0" borderId="0" xfId="0"/>
    <xf numFmtId="0" fontId="4" fillId="0" borderId="0" xfId="0" applyFont="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6" fillId="0" borderId="0" xfId="0" applyFont="1" applyAlignment="1">
      <alignment vertical="center"/>
    </xf>
    <xf numFmtId="0" fontId="0" fillId="0" borderId="0" xfId="0" applyAlignment="1">
      <alignment vertical="center"/>
    </xf>
    <xf numFmtId="9" fontId="4" fillId="0" borderId="0" xfId="4" applyFont="1" applyBorder="1" applyAlignment="1" applyProtection="1">
      <alignment vertical="center"/>
    </xf>
    <xf numFmtId="9" fontId="0" fillId="0" borderId="0" xfId="4" applyFont="1" applyProtection="1"/>
    <xf numFmtId="0" fontId="5" fillId="0" borderId="0" xfId="0" applyFont="1" applyAlignment="1">
      <alignment horizontal="right" vertical="center"/>
    </xf>
    <xf numFmtId="9" fontId="5" fillId="0" borderId="0" xfId="4" applyFont="1" applyFill="1" applyBorder="1" applyAlignment="1" applyProtection="1">
      <alignment horizontal="center" vertical="center"/>
    </xf>
    <xf numFmtId="0" fontId="9" fillId="4" borderId="4"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5" fillId="11" borderId="0" xfId="0" applyFont="1" applyFill="1" applyAlignment="1">
      <alignment horizontal="left" vertical="center"/>
    </xf>
    <xf numFmtId="164" fontId="5" fillId="11" borderId="0" xfId="2" applyNumberFormat="1" applyFont="1" applyFill="1" applyBorder="1" applyAlignment="1" applyProtection="1">
      <alignment vertical="center"/>
    </xf>
    <xf numFmtId="164" fontId="5" fillId="11" borderId="0" xfId="2" applyNumberFormat="1" applyFont="1" applyFill="1" applyAlignment="1">
      <alignment vertical="center"/>
    </xf>
    <xf numFmtId="42" fontId="5" fillId="0" borderId="0" xfId="3" applyFont="1" applyAlignment="1" applyProtection="1">
      <alignment vertical="center"/>
    </xf>
    <xf numFmtId="0" fontId="0" fillId="0" borderId="0" xfId="0" applyAlignment="1">
      <alignment horizontal="center" vertical="center"/>
    </xf>
    <xf numFmtId="44" fontId="5" fillId="0" borderId="0" xfId="2" applyFont="1" applyFill="1" applyBorder="1" applyAlignment="1" applyProtection="1">
      <alignment vertical="center"/>
    </xf>
    <xf numFmtId="165" fontId="5" fillId="0" borderId="0" xfId="0" applyNumberFormat="1" applyFont="1" applyAlignment="1">
      <alignment vertical="center"/>
    </xf>
    <xf numFmtId="164" fontId="5" fillId="0" borderId="0" xfId="0" applyNumberFormat="1" applyFont="1" applyAlignment="1">
      <alignment vertical="center" wrapText="1"/>
    </xf>
    <xf numFmtId="164" fontId="0" fillId="0" borderId="0" xfId="0" applyNumberFormat="1" applyAlignment="1">
      <alignment horizontal="center" vertical="center" wrapText="1"/>
    </xf>
    <xf numFmtId="164" fontId="5" fillId="13" borderId="13" xfId="0" applyNumberFormat="1" applyFont="1" applyFill="1" applyBorder="1" applyAlignment="1">
      <alignment horizontal="center" vertical="center" wrapText="1"/>
    </xf>
    <xf numFmtId="164" fontId="5" fillId="0" borderId="0" xfId="0" applyNumberFormat="1" applyFont="1" applyAlignment="1">
      <alignment horizontal="center" vertical="center" wrapText="1"/>
    </xf>
    <xf numFmtId="164" fontId="0" fillId="0" borderId="11" xfId="0" applyNumberFormat="1" applyBorder="1" applyAlignment="1">
      <alignment vertical="center"/>
    </xf>
    <xf numFmtId="164" fontId="7" fillId="0" borderId="11" xfId="2" applyNumberFormat="1" applyFont="1" applyFill="1" applyBorder="1" applyAlignment="1" applyProtection="1">
      <alignment vertical="center"/>
    </xf>
    <xf numFmtId="164" fontId="0" fillId="0" borderId="0" xfId="2" applyNumberFormat="1" applyFont="1" applyFill="1" applyBorder="1" applyAlignment="1" applyProtection="1">
      <alignment vertical="center"/>
    </xf>
    <xf numFmtId="166" fontId="0" fillId="0" borderId="13" xfId="1" applyNumberFormat="1" applyFont="1" applyFill="1" applyBorder="1" applyAlignment="1" applyProtection="1">
      <alignment vertical="center"/>
    </xf>
    <xf numFmtId="166" fontId="0" fillId="0" borderId="0" xfId="1" applyNumberFormat="1" applyFont="1" applyFill="1" applyBorder="1" applyAlignment="1" applyProtection="1">
      <alignment vertical="center"/>
    </xf>
    <xf numFmtId="164" fontId="5" fillId="15" borderId="11" xfId="0" applyNumberFormat="1" applyFont="1" applyFill="1" applyBorder="1" applyAlignment="1">
      <alignment vertical="center"/>
    </xf>
    <xf numFmtId="164" fontId="5" fillId="15" borderId="11" xfId="2" applyNumberFormat="1" applyFont="1" applyFill="1" applyBorder="1" applyAlignment="1" applyProtection="1">
      <alignment vertical="center"/>
    </xf>
    <xf numFmtId="164" fontId="5" fillId="15" borderId="11" xfId="2" applyNumberFormat="1" applyFont="1" applyFill="1" applyBorder="1" applyAlignment="1" applyProtection="1">
      <alignment horizontal="right" vertical="center"/>
    </xf>
    <xf numFmtId="164" fontId="5" fillId="0" borderId="0" xfId="2" applyNumberFormat="1" applyFont="1" applyFill="1" applyBorder="1" applyAlignment="1" applyProtection="1">
      <alignment vertical="center"/>
    </xf>
    <xf numFmtId="164" fontId="0" fillId="0" borderId="15" xfId="2" applyNumberFormat="1" applyFont="1" applyFill="1" applyBorder="1" applyAlignment="1" applyProtection="1">
      <alignment vertical="center"/>
    </xf>
    <xf numFmtId="166" fontId="0" fillId="0" borderId="11" xfId="1" applyNumberFormat="1" applyFont="1" applyFill="1" applyBorder="1" applyAlignment="1" applyProtection="1">
      <alignment vertical="center"/>
    </xf>
    <xf numFmtId="164" fontId="0" fillId="0" borderId="11" xfId="2" applyNumberFormat="1" applyFont="1" applyFill="1" applyBorder="1" applyAlignment="1" applyProtection="1">
      <alignment vertical="center"/>
    </xf>
    <xf numFmtId="164" fontId="5" fillId="17" borderId="11" xfId="0" applyNumberFormat="1" applyFont="1" applyFill="1" applyBorder="1" applyAlignment="1">
      <alignment vertical="center"/>
    </xf>
    <xf numFmtId="164" fontId="5" fillId="17" borderId="11" xfId="2" applyNumberFormat="1" applyFont="1" applyFill="1" applyBorder="1" applyAlignment="1" applyProtection="1">
      <alignment vertical="center"/>
    </xf>
    <xf numFmtId="164" fontId="5" fillId="17" borderId="11" xfId="2" applyNumberFormat="1" applyFont="1" applyFill="1" applyBorder="1" applyAlignment="1" applyProtection="1">
      <alignment horizontal="right" vertical="center"/>
    </xf>
    <xf numFmtId="164" fontId="11" fillId="18" borderId="15" xfId="2" applyNumberFormat="1" applyFont="1" applyFill="1" applyBorder="1" applyAlignment="1" applyProtection="1">
      <alignment vertical="center" wrapText="1"/>
    </xf>
    <xf numFmtId="164" fontId="5" fillId="0" borderId="0" xfId="2" applyNumberFormat="1" applyFont="1" applyFill="1" applyBorder="1" applyAlignment="1" applyProtection="1">
      <alignment vertical="center" wrapText="1"/>
    </xf>
    <xf numFmtId="1" fontId="0" fillId="0" borderId="0" xfId="4" applyNumberFormat="1" applyFont="1" applyProtection="1"/>
    <xf numFmtId="9" fontId="0" fillId="0" borderId="0" xfId="4" applyFont="1" applyFill="1" applyProtection="1"/>
    <xf numFmtId="164" fontId="5" fillId="3" borderId="28" xfId="0" applyNumberFormat="1" applyFont="1" applyFill="1" applyBorder="1" applyAlignment="1">
      <alignment horizontal="center" vertical="center" wrapText="1"/>
    </xf>
    <xf numFmtId="164" fontId="5" fillId="3" borderId="13" xfId="0" applyNumberFormat="1" applyFont="1" applyFill="1" applyBorder="1" applyAlignment="1">
      <alignment horizontal="center" vertical="center" wrapText="1"/>
    </xf>
    <xf numFmtId="164" fontId="5" fillId="3" borderId="29" xfId="0" applyNumberFormat="1" applyFont="1" applyFill="1" applyBorder="1" applyAlignment="1">
      <alignment horizontal="center" vertical="center" wrapText="1"/>
    </xf>
    <xf numFmtId="0" fontId="0" fillId="22" borderId="7" xfId="0" applyFill="1" applyBorder="1" applyAlignment="1">
      <alignment vertical="center"/>
    </xf>
    <xf numFmtId="167" fontId="0" fillId="0" borderId="23" xfId="2" applyNumberFormat="1" applyFont="1" applyFill="1" applyBorder="1" applyAlignment="1" applyProtection="1">
      <alignment vertical="center"/>
    </xf>
    <xf numFmtId="167" fontId="0" fillId="0" borderId="36" xfId="2" applyNumberFormat="1" applyFont="1" applyFill="1" applyBorder="1" applyAlignment="1" applyProtection="1">
      <alignment vertical="center"/>
    </xf>
    <xf numFmtId="167" fontId="0" fillId="0" borderId="24" xfId="2" applyNumberFormat="1" applyFont="1" applyFill="1" applyBorder="1" applyAlignment="1" applyProtection="1">
      <alignment vertical="center"/>
    </xf>
    <xf numFmtId="167" fontId="0" fillId="0" borderId="38" xfId="2" applyNumberFormat="1" applyFont="1" applyFill="1" applyBorder="1" applyAlignment="1" applyProtection="1">
      <alignment vertical="center"/>
    </xf>
    <xf numFmtId="167" fontId="0" fillId="0" borderId="0" xfId="2" applyNumberFormat="1" applyFont="1" applyFill="1" applyBorder="1" applyAlignment="1" applyProtection="1">
      <alignment vertical="center"/>
    </xf>
    <xf numFmtId="169" fontId="0" fillId="2" borderId="40" xfId="2" applyNumberFormat="1" applyFont="1" applyFill="1" applyBorder="1" applyAlignment="1" applyProtection="1">
      <alignment horizontal="center" vertical="center"/>
      <protection locked="0"/>
    </xf>
    <xf numFmtId="169" fontId="0" fillId="2" borderId="8" xfId="2" applyNumberFormat="1" applyFont="1" applyFill="1" applyBorder="1" applyAlignment="1" applyProtection="1">
      <alignment horizontal="center" vertical="center"/>
      <protection locked="0"/>
    </xf>
    <xf numFmtId="169" fontId="0" fillId="2" borderId="41" xfId="2" applyNumberFormat="1" applyFont="1" applyFill="1" applyBorder="1" applyAlignment="1" applyProtection="1">
      <alignment horizontal="center" vertical="center"/>
      <protection locked="0"/>
    </xf>
    <xf numFmtId="0" fontId="0" fillId="22" borderId="43" xfId="0" applyFill="1" applyBorder="1" applyAlignment="1">
      <alignment vertical="center"/>
    </xf>
    <xf numFmtId="167" fontId="0" fillId="0" borderId="40" xfId="2" applyNumberFormat="1" applyFont="1" applyFill="1" applyBorder="1" applyAlignment="1" applyProtection="1">
      <alignment vertical="center"/>
    </xf>
    <xf numFmtId="167" fontId="0" fillId="0" borderId="8" xfId="2" applyNumberFormat="1" applyFont="1" applyFill="1" applyBorder="1" applyAlignment="1" applyProtection="1">
      <alignment vertical="center"/>
    </xf>
    <xf numFmtId="167" fontId="0" fillId="0" borderId="44" xfId="2" applyNumberFormat="1" applyFont="1" applyFill="1" applyBorder="1" applyAlignment="1" applyProtection="1">
      <alignment vertical="center"/>
    </xf>
    <xf numFmtId="167" fontId="0" fillId="0" borderId="45" xfId="2" applyNumberFormat="1" applyFont="1" applyFill="1" applyBorder="1" applyAlignment="1" applyProtection="1">
      <alignment vertical="center"/>
    </xf>
    <xf numFmtId="0" fontId="5" fillId="22" borderId="43" xfId="0" applyFont="1" applyFill="1" applyBorder="1" applyAlignment="1">
      <alignment horizontal="right" vertical="center"/>
    </xf>
    <xf numFmtId="0" fontId="0" fillId="22" borderId="43" xfId="0" applyFill="1" applyBorder="1" applyAlignment="1">
      <alignment horizontal="right" vertical="center"/>
    </xf>
    <xf numFmtId="167" fontId="0" fillId="1" borderId="40" xfId="2" applyNumberFormat="1" applyFont="1" applyFill="1" applyBorder="1" applyAlignment="1" applyProtection="1">
      <alignment vertical="center"/>
      <protection hidden="1"/>
    </xf>
    <xf numFmtId="164" fontId="0" fillId="0" borderId="8" xfId="2" applyNumberFormat="1" applyFont="1" applyFill="1" applyBorder="1" applyAlignment="1" applyProtection="1">
      <alignment vertical="center"/>
    </xf>
    <xf numFmtId="164" fontId="0" fillId="0" borderId="44" xfId="2" applyNumberFormat="1" applyFont="1" applyFill="1" applyBorder="1" applyAlignment="1" applyProtection="1">
      <alignment vertical="center"/>
    </xf>
    <xf numFmtId="167" fontId="0" fillId="1" borderId="45" xfId="2" applyNumberFormat="1" applyFont="1" applyFill="1" applyBorder="1" applyAlignment="1" applyProtection="1">
      <alignment vertical="center"/>
      <protection hidden="1"/>
    </xf>
    <xf numFmtId="169" fontId="0" fillId="25" borderId="40" xfId="2" applyNumberFormat="1" applyFont="1" applyFill="1" applyBorder="1" applyAlignment="1" applyProtection="1">
      <alignment horizontal="center" vertical="center"/>
    </xf>
    <xf numFmtId="0" fontId="0" fillId="22" borderId="49" xfId="0" applyFill="1" applyBorder="1" applyAlignment="1">
      <alignment horizontal="right" vertical="center"/>
    </xf>
    <xf numFmtId="164" fontId="0" fillId="0" borderId="10" xfId="2" applyNumberFormat="1" applyFont="1" applyFill="1" applyBorder="1" applyAlignment="1" applyProtection="1">
      <alignment vertical="center"/>
    </xf>
    <xf numFmtId="167" fontId="0" fillId="1" borderId="53" xfId="2" applyNumberFormat="1" applyFont="1" applyFill="1" applyBorder="1" applyAlignment="1" applyProtection="1">
      <alignment vertical="center"/>
      <protection hidden="1"/>
    </xf>
    <xf numFmtId="167" fontId="0" fillId="0" borderId="10" xfId="2" applyNumberFormat="1" applyFont="1" applyFill="1" applyBorder="1" applyAlignment="1" applyProtection="1">
      <alignment vertical="center"/>
    </xf>
    <xf numFmtId="167" fontId="0" fillId="0" borderId="51" xfId="2" applyNumberFormat="1" applyFont="1" applyFill="1" applyBorder="1" applyAlignment="1" applyProtection="1">
      <alignment vertical="center"/>
    </xf>
    <xf numFmtId="169" fontId="0" fillId="25" borderId="50" xfId="2" applyNumberFormat="1" applyFont="1" applyFill="1" applyBorder="1" applyAlignment="1" applyProtection="1">
      <alignment horizontal="center" vertical="center"/>
    </xf>
    <xf numFmtId="169" fontId="0" fillId="2" borderId="10" xfId="2" applyNumberFormat="1" applyFont="1" applyFill="1" applyBorder="1" applyAlignment="1" applyProtection="1">
      <alignment horizontal="center" vertical="center"/>
      <protection locked="0"/>
    </xf>
    <xf numFmtId="169" fontId="0" fillId="2" borderId="52" xfId="2" applyNumberFormat="1" applyFont="1" applyFill="1" applyBorder="1" applyAlignment="1" applyProtection="1">
      <alignment horizontal="center" vertical="center"/>
      <protection locked="0"/>
    </xf>
    <xf numFmtId="167" fontId="0" fillId="0" borderId="0" xfId="2" applyNumberFormat="1" applyFont="1" applyFill="1" applyBorder="1" applyProtection="1"/>
    <xf numFmtId="169" fontId="0" fillId="2" borderId="36" xfId="2" applyNumberFormat="1" applyFont="1" applyFill="1" applyBorder="1" applyAlignment="1" applyProtection="1">
      <alignment horizontal="center" vertical="center"/>
      <protection locked="0"/>
    </xf>
    <xf numFmtId="169" fontId="0" fillId="2" borderId="37" xfId="2" applyNumberFormat="1" applyFont="1" applyFill="1" applyBorder="1" applyAlignment="1" applyProtection="1">
      <alignment horizontal="center" vertical="center"/>
      <protection locked="0"/>
    </xf>
    <xf numFmtId="0" fontId="0" fillId="22" borderId="49" xfId="0" applyFill="1" applyBorder="1" applyAlignment="1">
      <alignment vertical="center"/>
    </xf>
    <xf numFmtId="167" fontId="0" fillId="1" borderId="54" xfId="2" applyNumberFormat="1" applyFont="1" applyFill="1" applyBorder="1" applyAlignment="1" applyProtection="1">
      <alignment vertical="center"/>
      <protection hidden="1"/>
    </xf>
    <xf numFmtId="169" fontId="0" fillId="25" borderId="60" xfId="2" applyNumberFormat="1" applyFont="1" applyFill="1" applyBorder="1" applyAlignment="1" applyProtection="1">
      <alignment horizontal="center" vertical="center"/>
    </xf>
    <xf numFmtId="169" fontId="0" fillId="2" borderId="55" xfId="2" applyNumberFormat="1" applyFont="1" applyFill="1" applyBorder="1" applyAlignment="1" applyProtection="1">
      <alignment horizontal="center" vertical="center"/>
      <protection locked="0"/>
    </xf>
    <xf numFmtId="169" fontId="0" fillId="2" borderId="56" xfId="2" applyNumberFormat="1" applyFont="1" applyFill="1" applyBorder="1" applyAlignment="1" applyProtection="1">
      <alignment horizontal="center" vertical="center"/>
      <protection locked="0"/>
    </xf>
    <xf numFmtId="169" fontId="0" fillId="25" borderId="45" xfId="2" applyNumberFormat="1" applyFont="1" applyFill="1" applyBorder="1" applyAlignment="1" applyProtection="1">
      <alignment horizontal="center" vertical="center"/>
    </xf>
    <xf numFmtId="169" fontId="0" fillId="2" borderId="23" xfId="2" applyNumberFormat="1" applyFont="1" applyFill="1" applyBorder="1" applyAlignment="1" applyProtection="1">
      <alignment horizontal="center" vertical="center"/>
      <protection locked="0"/>
    </xf>
    <xf numFmtId="0" fontId="0" fillId="22" borderId="48" xfId="0" applyFill="1" applyBorder="1" applyAlignment="1">
      <alignment vertical="center"/>
    </xf>
    <xf numFmtId="0" fontId="5" fillId="22" borderId="48" xfId="0" applyFont="1" applyFill="1" applyBorder="1" applyAlignment="1">
      <alignment horizontal="right" vertical="center"/>
    </xf>
    <xf numFmtId="0" fontId="0" fillId="22" borderId="48" xfId="0" applyFill="1" applyBorder="1" applyAlignment="1">
      <alignment horizontal="right" vertical="center"/>
    </xf>
    <xf numFmtId="0" fontId="0" fillId="22" borderId="64" xfId="0" applyFill="1" applyBorder="1" applyAlignment="1">
      <alignment horizontal="right" vertical="center"/>
    </xf>
    <xf numFmtId="167" fontId="0" fillId="22" borderId="56" xfId="2" applyNumberFormat="1" applyFont="1" applyFill="1" applyBorder="1" applyAlignment="1" applyProtection="1">
      <alignment vertical="center"/>
    </xf>
    <xf numFmtId="169" fontId="0" fillId="25" borderId="23" xfId="2" applyNumberFormat="1" applyFont="1" applyFill="1" applyBorder="1" applyAlignment="1" applyProtection="1">
      <alignment horizontal="center" vertical="center"/>
    </xf>
    <xf numFmtId="0" fontId="11" fillId="22" borderId="65" xfId="0" applyFont="1" applyFill="1" applyBorder="1" applyAlignment="1">
      <alignment horizontal="center" vertical="center" wrapText="1"/>
    </xf>
    <xf numFmtId="0" fontId="0" fillId="22" borderId="66" xfId="0" applyFill="1" applyBorder="1" applyAlignment="1">
      <alignment vertical="center"/>
    </xf>
    <xf numFmtId="0" fontId="11" fillId="0" borderId="65" xfId="0" applyFont="1" applyBorder="1" applyAlignment="1">
      <alignment horizontal="center" vertical="center" wrapText="1"/>
    </xf>
    <xf numFmtId="169" fontId="0" fillId="25" borderId="67" xfId="2" applyNumberFormat="1" applyFont="1" applyFill="1" applyBorder="1" applyAlignment="1" applyProtection="1">
      <alignment horizontal="center" vertical="center"/>
    </xf>
    <xf numFmtId="169" fontId="0" fillId="2" borderId="68" xfId="2" applyNumberFormat="1" applyFont="1" applyFill="1" applyBorder="1" applyAlignment="1" applyProtection="1">
      <alignment horizontal="center" vertical="center"/>
      <protection locked="0"/>
    </xf>
    <xf numFmtId="169" fontId="0" fillId="25" borderId="68" xfId="2" applyNumberFormat="1" applyFont="1" applyFill="1" applyBorder="1" applyAlignment="1" applyProtection="1">
      <alignment horizontal="center" vertical="center"/>
    </xf>
    <xf numFmtId="169" fontId="0" fillId="25" borderId="69" xfId="2" applyNumberFormat="1" applyFont="1" applyFill="1" applyBorder="1" applyAlignment="1" applyProtection="1">
      <alignment horizontal="center" vertical="center"/>
    </xf>
    <xf numFmtId="170" fontId="0" fillId="0" borderId="0" xfId="1" applyNumberFormat="1" applyFont="1" applyFill="1" applyBorder="1" applyAlignment="1" applyProtection="1">
      <alignment vertical="center"/>
    </xf>
    <xf numFmtId="0" fontId="5" fillId="21" borderId="13" xfId="0" applyFont="1" applyFill="1" applyBorder="1" applyAlignment="1">
      <alignment horizontal="center" vertical="center" wrapText="1"/>
    </xf>
    <xf numFmtId="170" fontId="5" fillId="21" borderId="13" xfId="1" applyNumberFormat="1" applyFont="1" applyFill="1" applyBorder="1" applyAlignment="1" applyProtection="1">
      <alignment horizontal="center" vertical="center" wrapText="1"/>
    </xf>
    <xf numFmtId="0" fontId="12" fillId="21" borderId="11" xfId="0" applyFont="1" applyFill="1" applyBorder="1" applyAlignment="1">
      <alignment horizontal="center" vertical="center"/>
    </xf>
    <xf numFmtId="0" fontId="5" fillId="27" borderId="3" xfId="0" applyFont="1" applyFill="1" applyBorder="1" applyAlignment="1">
      <alignment horizontal="center" vertical="center"/>
    </xf>
    <xf numFmtId="0" fontId="12" fillId="28" borderId="2" xfId="0" applyFont="1" applyFill="1" applyBorder="1" applyAlignment="1">
      <alignment horizontal="left" vertical="center"/>
    </xf>
    <xf numFmtId="164" fontId="5" fillId="29" borderId="8" xfId="2" applyNumberFormat="1" applyFont="1" applyFill="1" applyBorder="1" applyAlignment="1">
      <alignment vertical="center"/>
    </xf>
    <xf numFmtId="164" fontId="12" fillId="30" borderId="8" xfId="2" applyNumberFormat="1" applyFont="1" applyFill="1" applyBorder="1" applyAlignment="1">
      <alignment vertical="center"/>
    </xf>
    <xf numFmtId="164" fontId="12" fillId="28" borderId="44" xfId="2" applyNumberFormat="1" applyFont="1" applyFill="1" applyBorder="1" applyAlignment="1">
      <alignment horizontal="center" vertical="center"/>
    </xf>
    <xf numFmtId="0" fontId="5" fillId="31" borderId="16" xfId="0" applyFont="1" applyFill="1" applyBorder="1" applyAlignment="1">
      <alignment horizontal="center" vertical="center" wrapText="1"/>
    </xf>
    <xf numFmtId="0" fontId="12" fillId="31" borderId="2" xfId="0" applyFont="1" applyFill="1" applyBorder="1" applyAlignment="1">
      <alignment horizontal="left" vertical="center"/>
    </xf>
    <xf numFmtId="164" fontId="12" fillId="31" borderId="8" xfId="2" applyNumberFormat="1" applyFont="1" applyFill="1" applyBorder="1" applyAlignment="1">
      <alignment horizontal="center" vertical="center"/>
    </xf>
    <xf numFmtId="164" fontId="5" fillId="32" borderId="8" xfId="2" applyNumberFormat="1" applyFont="1" applyFill="1" applyBorder="1" applyAlignment="1">
      <alignment vertical="center"/>
    </xf>
    <xf numFmtId="164" fontId="12" fillId="31" borderId="44" xfId="2" applyNumberFormat="1" applyFont="1" applyFill="1" applyBorder="1" applyAlignment="1">
      <alignment horizontal="center" vertical="center"/>
    </xf>
    <xf numFmtId="1" fontId="0" fillId="0" borderId="16" xfId="0" applyNumberFormat="1" applyBorder="1" applyAlignment="1">
      <alignment horizontal="center" vertical="center" wrapText="1"/>
    </xf>
    <xf numFmtId="171" fontId="13" fillId="0" borderId="2" xfId="0" applyNumberFormat="1" applyFont="1" applyBorder="1" applyAlignment="1">
      <alignment horizontal="left"/>
    </xf>
    <xf numFmtId="164" fontId="0" fillId="8" borderId="8" xfId="2" applyNumberFormat="1" applyFont="1" applyFill="1" applyBorder="1" applyAlignment="1">
      <alignment vertical="center"/>
    </xf>
    <xf numFmtId="164" fontId="13" fillId="33" borderId="8" xfId="2" applyNumberFormat="1" applyFont="1" applyFill="1" applyBorder="1" applyAlignment="1">
      <alignment vertical="center"/>
    </xf>
    <xf numFmtId="164" fontId="12" fillId="34" borderId="44" xfId="2" applyNumberFormat="1" applyFont="1" applyFill="1" applyBorder="1" applyAlignment="1">
      <alignment vertical="center"/>
    </xf>
    <xf numFmtId="164" fontId="0" fillId="2" borderId="75" xfId="2" applyNumberFormat="1" applyFont="1" applyFill="1" applyBorder="1" applyAlignment="1" applyProtection="1">
      <alignment vertical="center"/>
      <protection locked="0"/>
    </xf>
    <xf numFmtId="164" fontId="13" fillId="2" borderId="75" xfId="2" applyNumberFormat="1" applyFont="1" applyFill="1" applyBorder="1" applyAlignment="1" applyProtection="1">
      <alignment vertical="center"/>
      <protection locked="0"/>
    </xf>
    <xf numFmtId="172" fontId="13" fillId="2" borderId="75" xfId="1" applyNumberFormat="1" applyFont="1" applyFill="1" applyBorder="1" applyAlignment="1" applyProtection="1">
      <alignment vertical="center"/>
      <protection locked="0"/>
    </xf>
    <xf numFmtId="164" fontId="13" fillId="35" borderId="16" xfId="2" applyNumberFormat="1" applyFont="1" applyFill="1" applyBorder="1" applyAlignment="1">
      <alignment vertical="center"/>
    </xf>
    <xf numFmtId="164" fontId="12" fillId="34" borderId="76" xfId="2" applyNumberFormat="1" applyFont="1" applyFill="1" applyBorder="1" applyAlignment="1">
      <alignment vertical="center"/>
    </xf>
    <xf numFmtId="164" fontId="0" fillId="2" borderId="8" xfId="2" applyNumberFormat="1" applyFont="1" applyFill="1" applyBorder="1" applyAlignment="1" applyProtection="1">
      <alignment vertical="center"/>
      <protection locked="0"/>
    </xf>
    <xf numFmtId="164" fontId="13" fillId="2" borderId="8" xfId="2" applyNumberFormat="1" applyFont="1" applyFill="1" applyBorder="1" applyAlignment="1" applyProtection="1">
      <alignment vertical="center"/>
      <protection locked="0"/>
    </xf>
    <xf numFmtId="172" fontId="13" fillId="2" borderId="8" xfId="1" applyNumberFormat="1" applyFont="1" applyFill="1" applyBorder="1" applyAlignment="1" applyProtection="1">
      <alignment vertical="center"/>
      <protection locked="0"/>
    </xf>
    <xf numFmtId="164" fontId="13" fillId="35" borderId="3" xfId="2" applyNumberFormat="1" applyFont="1" applyFill="1" applyBorder="1" applyAlignment="1">
      <alignment vertical="center"/>
    </xf>
    <xf numFmtId="164" fontId="12" fillId="34" borderId="2" xfId="2" applyNumberFormat="1" applyFont="1" applyFill="1" applyBorder="1" applyAlignment="1">
      <alignment vertical="center"/>
    </xf>
    <xf numFmtId="164" fontId="12" fillId="32" borderId="8" xfId="2" applyNumberFormat="1" applyFont="1" applyFill="1" applyBorder="1" applyAlignment="1">
      <alignment vertical="center"/>
    </xf>
    <xf numFmtId="164" fontId="12" fillId="31" borderId="3" xfId="2" applyNumberFormat="1" applyFont="1" applyFill="1" applyBorder="1" applyAlignment="1">
      <alignment vertical="center"/>
    </xf>
    <xf numFmtId="164" fontId="12" fillId="31" borderId="77" xfId="2" applyNumberFormat="1" applyFont="1" applyFill="1" applyBorder="1" applyAlignment="1">
      <alignment horizontal="center" vertical="center"/>
    </xf>
    <xf numFmtId="164" fontId="12" fillId="31" borderId="16" xfId="2" applyNumberFormat="1" applyFont="1" applyFill="1" applyBorder="1" applyAlignment="1">
      <alignment horizontal="center" vertical="center"/>
    </xf>
    <xf numFmtId="164" fontId="0" fillId="36" borderId="8" xfId="2" applyNumberFormat="1" applyFont="1" applyFill="1" applyBorder="1" applyAlignment="1" applyProtection="1">
      <alignment vertical="center"/>
      <protection locked="0"/>
    </xf>
    <xf numFmtId="164" fontId="13" fillId="36" borderId="8" xfId="2" applyNumberFormat="1" applyFont="1" applyFill="1" applyBorder="1" applyAlignment="1" applyProtection="1">
      <alignment vertical="center"/>
      <protection locked="0"/>
    </xf>
    <xf numFmtId="172" fontId="13" fillId="36" borderId="8" xfId="1" applyNumberFormat="1" applyFont="1" applyFill="1" applyBorder="1" applyAlignment="1" applyProtection="1">
      <alignment vertical="center"/>
      <protection locked="0"/>
    </xf>
    <xf numFmtId="164" fontId="12" fillId="28" borderId="8" xfId="2" applyNumberFormat="1" applyFont="1" applyFill="1" applyBorder="1" applyAlignment="1">
      <alignment horizontal="center" vertical="center"/>
    </xf>
    <xf numFmtId="164" fontId="12" fillId="28" borderId="16" xfId="2" applyNumberFormat="1" applyFont="1" applyFill="1" applyBorder="1" applyAlignment="1">
      <alignment horizontal="center" vertical="center"/>
    </xf>
    <xf numFmtId="164" fontId="12" fillId="28" borderId="77" xfId="2" applyNumberFormat="1" applyFont="1" applyFill="1" applyBorder="1" applyAlignment="1">
      <alignment horizontal="center" vertical="center"/>
    </xf>
    <xf numFmtId="164" fontId="12" fillId="31" borderId="2" xfId="2" applyNumberFormat="1" applyFont="1" applyFill="1" applyBorder="1" applyAlignment="1">
      <alignment vertical="center"/>
    </xf>
    <xf numFmtId="171" fontId="13" fillId="22" borderId="2" xfId="0" applyNumberFormat="1" applyFont="1" applyFill="1" applyBorder="1" applyAlignment="1">
      <alignment horizontal="left"/>
    </xf>
    <xf numFmtId="164" fontId="12" fillId="34" borderId="32" xfId="2" applyNumberFormat="1" applyFont="1" applyFill="1" applyBorder="1" applyAlignment="1">
      <alignment vertical="center"/>
    </xf>
    <xf numFmtId="1" fontId="0" fillId="0" borderId="1" xfId="0" applyNumberFormat="1" applyBorder="1" applyAlignment="1">
      <alignment horizontal="center" vertical="center" wrapText="1"/>
    </xf>
    <xf numFmtId="171" fontId="13" fillId="0" borderId="32" xfId="0" applyNumberFormat="1" applyFont="1" applyBorder="1" applyAlignment="1">
      <alignment horizontal="left"/>
    </xf>
    <xf numFmtId="164" fontId="13" fillId="35" borderId="12" xfId="2" applyNumberFormat="1" applyFont="1" applyFill="1" applyBorder="1" applyAlignment="1">
      <alignment vertical="center"/>
    </xf>
    <xf numFmtId="0" fontId="5" fillId="37" borderId="79" xfId="0" applyFont="1" applyFill="1" applyBorder="1" applyAlignment="1">
      <alignment horizontal="center" vertical="center" wrapText="1"/>
    </xf>
    <xf numFmtId="0" fontId="5" fillId="18" borderId="80" xfId="0" applyFont="1" applyFill="1" applyBorder="1" applyAlignment="1">
      <alignment vertical="center"/>
    </xf>
    <xf numFmtId="173" fontId="5" fillId="18" borderId="81" xfId="2" applyNumberFormat="1" applyFont="1" applyFill="1" applyBorder="1" applyAlignment="1">
      <alignment vertical="center"/>
    </xf>
    <xf numFmtId="173" fontId="5" fillId="38" borderId="80" xfId="2" applyNumberFormat="1" applyFont="1" applyFill="1" applyBorder="1" applyAlignment="1">
      <alignment vertical="center"/>
    </xf>
    <xf numFmtId="173" fontId="5" fillId="18" borderId="82" xfId="2" applyNumberFormat="1" applyFont="1" applyFill="1" applyBorder="1" applyAlignment="1">
      <alignment vertical="center"/>
    </xf>
    <xf numFmtId="0" fontId="5" fillId="21" borderId="84" xfId="0" applyFont="1" applyFill="1" applyBorder="1" applyAlignment="1">
      <alignment horizontal="center" vertical="center" wrapText="1"/>
    </xf>
    <xf numFmtId="170" fontId="5" fillId="21" borderId="84" xfId="1" applyNumberFormat="1" applyFont="1" applyFill="1" applyBorder="1" applyAlignment="1" applyProtection="1">
      <alignment horizontal="center" vertical="center" wrapText="1"/>
    </xf>
    <xf numFmtId="0" fontId="12" fillId="21" borderId="89" xfId="0" applyFont="1" applyFill="1" applyBorder="1" applyAlignment="1">
      <alignment horizontal="center" vertical="center"/>
    </xf>
    <xf numFmtId="0" fontId="5" fillId="27" borderId="87" xfId="0" applyFont="1" applyFill="1" applyBorder="1" applyAlignment="1">
      <alignment horizontal="center" vertical="center"/>
    </xf>
    <xf numFmtId="0" fontId="12" fillId="28" borderId="85" xfId="0" applyFont="1" applyFill="1" applyBorder="1" applyAlignment="1">
      <alignment horizontal="left" vertical="center"/>
    </xf>
    <xf numFmtId="164" fontId="5" fillId="29" borderId="83" xfId="2" applyNumberFormat="1" applyFont="1" applyFill="1" applyBorder="1" applyAlignment="1">
      <alignment vertical="center"/>
    </xf>
    <xf numFmtId="164" fontId="12" fillId="30" borderId="83" xfId="2" applyNumberFormat="1" applyFont="1" applyFill="1" applyBorder="1" applyAlignment="1">
      <alignment vertical="center"/>
    </xf>
    <xf numFmtId="164" fontId="12" fillId="28" borderId="91" xfId="2" applyNumberFormat="1" applyFont="1" applyFill="1" applyBorder="1" applyAlignment="1">
      <alignment horizontal="center" vertical="center"/>
    </xf>
    <xf numFmtId="0" fontId="12" fillId="31" borderId="85" xfId="0" applyFont="1" applyFill="1" applyBorder="1" applyAlignment="1">
      <alignment horizontal="left" vertical="center"/>
    </xf>
    <xf numFmtId="164" fontId="12" fillId="31" borderId="83" xfId="2" applyNumberFormat="1" applyFont="1" applyFill="1" applyBorder="1" applyAlignment="1">
      <alignment horizontal="center" vertical="center"/>
    </xf>
    <xf numFmtId="164" fontId="5" fillId="32" borderId="83" xfId="2" applyNumberFormat="1" applyFont="1" applyFill="1" applyBorder="1" applyAlignment="1">
      <alignment vertical="center"/>
    </xf>
    <xf numFmtId="164" fontId="12" fillId="31" borderId="91" xfId="2" applyNumberFormat="1" applyFont="1" applyFill="1" applyBorder="1" applyAlignment="1">
      <alignment horizontal="center" vertical="center"/>
    </xf>
    <xf numFmtId="171" fontId="13" fillId="0" borderId="85" xfId="0" applyNumberFormat="1" applyFont="1" applyBorder="1" applyAlignment="1">
      <alignment horizontal="left"/>
    </xf>
    <xf numFmtId="164" fontId="0" fillId="8" borderId="83" xfId="2" applyNumberFormat="1" applyFont="1" applyFill="1" applyBorder="1" applyAlignment="1">
      <alignment vertical="center"/>
    </xf>
    <xf numFmtId="164" fontId="13" fillId="33" borderId="83" xfId="2" applyNumberFormat="1" applyFont="1" applyFill="1" applyBorder="1" applyAlignment="1">
      <alignment vertical="center"/>
    </xf>
    <xf numFmtId="164" fontId="12" fillId="34" borderId="91" xfId="2" applyNumberFormat="1" applyFont="1" applyFill="1" applyBorder="1" applyAlignment="1">
      <alignment vertical="center"/>
    </xf>
    <xf numFmtId="164" fontId="0" fillId="2" borderId="83" xfId="2" applyNumberFormat="1" applyFont="1" applyFill="1" applyBorder="1" applyAlignment="1" applyProtection="1">
      <alignment vertical="center"/>
      <protection locked="0"/>
    </xf>
    <xf numFmtId="164" fontId="13" fillId="2" borderId="83" xfId="2" applyNumberFormat="1" applyFont="1" applyFill="1" applyBorder="1" applyAlignment="1" applyProtection="1">
      <alignment vertical="center"/>
      <protection locked="0"/>
    </xf>
    <xf numFmtId="172" fontId="13" fillId="2" borderId="83" xfId="1" applyNumberFormat="1" applyFont="1" applyFill="1" applyBorder="1" applyAlignment="1" applyProtection="1">
      <alignment vertical="center"/>
      <protection locked="0"/>
    </xf>
    <xf numFmtId="164" fontId="13" fillId="35" borderId="87" xfId="2" applyNumberFormat="1" applyFont="1" applyFill="1" applyBorder="1" applyAlignment="1">
      <alignment vertical="center"/>
    </xf>
    <xf numFmtId="164" fontId="12" fillId="34" borderId="85" xfId="2" applyNumberFormat="1" applyFont="1" applyFill="1" applyBorder="1" applyAlignment="1">
      <alignment vertical="center"/>
    </xf>
    <xf numFmtId="164" fontId="12" fillId="32" borderId="83" xfId="2" applyNumberFormat="1" applyFont="1" applyFill="1" applyBorder="1" applyAlignment="1">
      <alignment vertical="center"/>
    </xf>
    <xf numFmtId="164" fontId="12" fillId="31" borderId="87" xfId="2" applyNumberFormat="1" applyFont="1" applyFill="1" applyBorder="1" applyAlignment="1">
      <alignment vertical="center"/>
    </xf>
    <xf numFmtId="164" fontId="0" fillId="36" borderId="83" xfId="2" applyNumberFormat="1" applyFont="1" applyFill="1" applyBorder="1" applyAlignment="1" applyProtection="1">
      <alignment vertical="center"/>
      <protection locked="0"/>
    </xf>
    <xf numFmtId="164" fontId="13" fillId="36" borderId="83" xfId="2" applyNumberFormat="1" applyFont="1" applyFill="1" applyBorder="1" applyAlignment="1" applyProtection="1">
      <alignment vertical="center"/>
      <protection locked="0"/>
    </xf>
    <xf numFmtId="172" fontId="13" fillId="36" borderId="83" xfId="1" applyNumberFormat="1" applyFont="1" applyFill="1" applyBorder="1" applyAlignment="1" applyProtection="1">
      <alignment vertical="center"/>
      <protection locked="0"/>
    </xf>
    <xf numFmtId="164" fontId="12" fillId="28" borderId="83" xfId="2" applyNumberFormat="1" applyFont="1" applyFill="1" applyBorder="1" applyAlignment="1">
      <alignment horizontal="center" vertical="center"/>
    </xf>
    <xf numFmtId="164" fontId="12" fillId="31" borderId="85" xfId="2" applyNumberFormat="1" applyFont="1" applyFill="1" applyBorder="1" applyAlignment="1">
      <alignment vertical="center"/>
    </xf>
    <xf numFmtId="171" fontId="13" fillId="22" borderId="85" xfId="0" applyNumberFormat="1" applyFont="1" applyFill="1" applyBorder="1" applyAlignment="1">
      <alignment horizontal="left"/>
    </xf>
    <xf numFmtId="171" fontId="13" fillId="36" borderId="85" xfId="0" applyNumberFormat="1" applyFont="1" applyFill="1" applyBorder="1" applyAlignment="1">
      <alignment horizontal="left"/>
    </xf>
    <xf numFmtId="164" fontId="12" fillId="34" borderId="88" xfId="2" applyNumberFormat="1" applyFont="1" applyFill="1" applyBorder="1" applyAlignment="1">
      <alignment vertical="center"/>
    </xf>
    <xf numFmtId="171" fontId="13" fillId="0" borderId="88" xfId="0" applyNumberFormat="1" applyFont="1" applyBorder="1" applyAlignment="1">
      <alignment horizontal="left"/>
    </xf>
    <xf numFmtId="164" fontId="13" fillId="35" borderId="92" xfId="2" applyNumberFormat="1" applyFont="1" applyFill="1" applyBorder="1" applyAlignment="1">
      <alignment vertical="center"/>
    </xf>
    <xf numFmtId="0" fontId="5" fillId="0" borderId="1" xfId="0" applyFont="1" applyBorder="1" applyAlignment="1">
      <alignment horizontal="right" vertical="center"/>
    </xf>
    <xf numFmtId="0" fontId="8" fillId="0" borderId="73" xfId="0" applyFont="1" applyBorder="1" applyAlignment="1">
      <alignment horizontal="center" vertical="center"/>
    </xf>
    <xf numFmtId="0" fontId="8" fillId="0" borderId="0" xfId="0" applyFont="1" applyAlignment="1">
      <alignment horizontal="center" vertical="center"/>
    </xf>
    <xf numFmtId="0" fontId="0" fillId="20" borderId="0" xfId="0" applyFill="1"/>
    <xf numFmtId="0" fontId="0" fillId="2" borderId="10" xfId="0" applyFill="1" applyBorder="1" applyAlignment="1" applyProtection="1">
      <alignment horizontal="left" vertical="center"/>
      <protection locked="0"/>
    </xf>
    <xf numFmtId="0" fontId="0" fillId="2" borderId="102" xfId="0" applyFill="1" applyBorder="1" applyAlignment="1" applyProtection="1">
      <alignment horizontal="left" vertical="center"/>
      <protection locked="0"/>
    </xf>
    <xf numFmtId="0" fontId="0" fillId="2" borderId="75" xfId="0" applyFill="1" applyBorder="1" applyAlignment="1" applyProtection="1">
      <alignment horizontal="left" vertical="center"/>
      <protection locked="0"/>
    </xf>
    <xf numFmtId="9" fontId="5" fillId="0" borderId="0" xfId="0" applyNumberFormat="1" applyFont="1" applyAlignment="1">
      <alignment vertical="center"/>
    </xf>
    <xf numFmtId="177" fontId="5" fillId="0" borderId="0" xfId="0" applyNumberFormat="1" applyFont="1" applyAlignment="1">
      <alignment vertical="center"/>
    </xf>
    <xf numFmtId="164" fontId="5" fillId="13" borderId="105" xfId="0" applyNumberFormat="1" applyFont="1" applyFill="1" applyBorder="1" applyAlignment="1">
      <alignment horizontal="center" vertical="center" wrapText="1"/>
    </xf>
    <xf numFmtId="164" fontId="5" fillId="13" borderId="90" xfId="0" applyNumberFormat="1" applyFont="1" applyFill="1" applyBorder="1" applyAlignment="1">
      <alignment horizontal="center" vertical="center" wrapText="1"/>
    </xf>
    <xf numFmtId="164" fontId="5" fillId="13" borderId="107" xfId="0" applyNumberFormat="1" applyFont="1" applyFill="1" applyBorder="1" applyAlignment="1">
      <alignment horizontal="center" vertical="center" wrapText="1"/>
    </xf>
    <xf numFmtId="164" fontId="5" fillId="3" borderId="104" xfId="0" applyNumberFormat="1" applyFont="1" applyFill="1" applyBorder="1" applyAlignment="1">
      <alignment horizontal="center" vertical="center" wrapText="1"/>
    </xf>
    <xf numFmtId="164" fontId="5" fillId="3" borderId="90" xfId="0" applyNumberFormat="1" applyFont="1" applyFill="1" applyBorder="1" applyAlignment="1">
      <alignment horizontal="center" vertical="center" wrapText="1"/>
    </xf>
    <xf numFmtId="164" fontId="5" fillId="3" borderId="35" xfId="0" applyNumberFormat="1" applyFont="1" applyFill="1" applyBorder="1" applyAlignment="1">
      <alignment horizontal="center" vertical="center" wrapText="1"/>
    </xf>
    <xf numFmtId="164" fontId="5" fillId="3" borderId="105" xfId="0" applyNumberFormat="1" applyFont="1" applyFill="1" applyBorder="1" applyAlignment="1">
      <alignment horizontal="center" vertical="center" wrapText="1"/>
    </xf>
    <xf numFmtId="164" fontId="5" fillId="3" borderId="107" xfId="0" applyNumberFormat="1" applyFont="1" applyFill="1" applyBorder="1" applyAlignment="1">
      <alignment horizontal="center" vertical="center" wrapText="1"/>
    </xf>
    <xf numFmtId="164" fontId="0" fillId="46" borderId="50" xfId="2" applyNumberFormat="1" applyFont="1" applyFill="1" applyBorder="1" applyAlignment="1" applyProtection="1">
      <alignment vertical="center"/>
    </xf>
    <xf numFmtId="164" fontId="0" fillId="1" borderId="50" xfId="2" applyNumberFormat="1" applyFont="1" applyFill="1" applyBorder="1" applyAlignment="1" applyProtection="1">
      <alignment vertical="center"/>
    </xf>
    <xf numFmtId="164" fontId="0" fillId="0" borderId="52" xfId="2" applyNumberFormat="1" applyFont="1" applyFill="1" applyBorder="1" applyAlignment="1" applyProtection="1">
      <alignment vertical="center"/>
    </xf>
    <xf numFmtId="0" fontId="8" fillId="2" borderId="110" xfId="0" applyFont="1" applyFill="1" applyBorder="1" applyAlignment="1">
      <alignment horizontal="center" vertical="center"/>
    </xf>
    <xf numFmtId="0" fontId="15" fillId="20" borderId="0" xfId="0" applyFont="1" applyFill="1" applyAlignment="1">
      <alignment horizontal="left" vertical="center" indent="2"/>
    </xf>
    <xf numFmtId="174" fontId="5" fillId="39" borderId="111" xfId="0" applyNumberFormat="1" applyFont="1" applyFill="1" applyBorder="1" applyAlignment="1">
      <alignment horizontal="center" vertical="center"/>
    </xf>
    <xf numFmtId="168" fontId="5" fillId="9" borderId="111" xfId="4" applyNumberFormat="1" applyFont="1" applyFill="1" applyBorder="1" applyAlignment="1" applyProtection="1">
      <alignment horizontal="center" vertical="center"/>
    </xf>
    <xf numFmtId="0" fontId="5" fillId="0" borderId="1" xfId="0" applyFont="1" applyBorder="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164" fontId="0" fillId="35" borderId="130" xfId="2" applyNumberFormat="1" applyFont="1" applyFill="1" applyBorder="1" applyAlignment="1" applyProtection="1">
      <alignment vertical="center"/>
    </xf>
    <xf numFmtId="164" fontId="0" fillId="2" borderId="130" xfId="2" applyNumberFormat="1" applyFont="1" applyFill="1" applyBorder="1" applyAlignment="1" applyProtection="1">
      <alignment vertical="center"/>
      <protection locked="0"/>
    </xf>
    <xf numFmtId="0" fontId="0" fillId="2" borderId="130" xfId="0" applyFill="1" applyBorder="1" applyAlignment="1" applyProtection="1">
      <alignment horizontal="left" vertical="center"/>
      <protection locked="0"/>
    </xf>
    <xf numFmtId="164" fontId="0" fillId="2" borderId="132" xfId="2" applyNumberFormat="1" applyFont="1" applyFill="1" applyBorder="1" applyAlignment="1" applyProtection="1">
      <alignment vertical="center"/>
      <protection locked="0"/>
    </xf>
    <xf numFmtId="164" fontId="0" fillId="35" borderId="19" xfId="2" applyNumberFormat="1" applyFont="1" applyFill="1" applyBorder="1" applyAlignment="1" applyProtection="1">
      <alignment vertical="center"/>
    </xf>
    <xf numFmtId="164" fontId="0" fillId="2" borderId="133" xfId="2" applyNumberFormat="1" applyFont="1" applyFill="1" applyBorder="1" applyAlignment="1" applyProtection="1">
      <alignment vertical="center"/>
      <protection locked="0"/>
    </xf>
    <xf numFmtId="164" fontId="0" fillId="35" borderId="134" xfId="2" applyNumberFormat="1" applyFont="1" applyFill="1" applyBorder="1" applyAlignment="1" applyProtection="1">
      <alignment vertical="center"/>
    </xf>
    <xf numFmtId="179" fontId="1" fillId="45" borderId="130" xfId="4" applyNumberFormat="1" applyFill="1" applyBorder="1" applyAlignment="1" applyProtection="1">
      <alignment horizontal="center" vertical="center"/>
    </xf>
    <xf numFmtId="179" fontId="1" fillId="45" borderId="37" xfId="4" applyNumberFormat="1" applyFill="1" applyBorder="1" applyAlignment="1" applyProtection="1">
      <alignment horizontal="center" vertical="center"/>
    </xf>
    <xf numFmtId="179" fontId="1" fillId="45" borderId="50" xfId="4" applyNumberFormat="1" applyFill="1" applyBorder="1" applyAlignment="1" applyProtection="1">
      <alignment horizontal="center" vertical="center"/>
    </xf>
    <xf numFmtId="179" fontId="1" fillId="45" borderId="10" xfId="4" applyNumberFormat="1" applyFill="1" applyBorder="1" applyAlignment="1" applyProtection="1">
      <alignment horizontal="center" vertical="center"/>
    </xf>
    <xf numFmtId="179" fontId="1" fillId="45" borderId="52" xfId="4" applyNumberFormat="1" applyFill="1" applyBorder="1" applyAlignment="1" applyProtection="1">
      <alignment horizontal="center" vertical="center"/>
    </xf>
    <xf numFmtId="0" fontId="0" fillId="2" borderId="135" xfId="0" applyFill="1" applyBorder="1" applyAlignment="1" applyProtection="1">
      <alignment horizontal="left" vertical="center"/>
      <protection locked="0"/>
    </xf>
    <xf numFmtId="164" fontId="0" fillId="2" borderId="10" xfId="2" applyNumberFormat="1" applyFont="1" applyFill="1" applyBorder="1" applyAlignment="1" applyProtection="1">
      <alignment vertical="center"/>
      <protection locked="0"/>
    </xf>
    <xf numFmtId="164" fontId="0" fillId="2" borderId="136" xfId="2" applyNumberFormat="1" applyFont="1" applyFill="1" applyBorder="1" applyAlignment="1" applyProtection="1">
      <alignment vertical="center"/>
      <protection locked="0"/>
    </xf>
    <xf numFmtId="164" fontId="0" fillId="35" borderId="49" xfId="2" applyNumberFormat="1" applyFont="1" applyFill="1" applyBorder="1" applyAlignment="1" applyProtection="1">
      <alignment vertical="center"/>
    </xf>
    <xf numFmtId="179" fontId="1" fillId="45" borderId="54" xfId="4" applyNumberFormat="1" applyFill="1" applyBorder="1" applyAlignment="1" applyProtection="1">
      <alignment horizontal="center" vertical="center"/>
    </xf>
    <xf numFmtId="179" fontId="1" fillId="45" borderId="75" xfId="4" applyNumberFormat="1" applyFill="1" applyBorder="1" applyAlignment="1" applyProtection="1">
      <alignment horizontal="center" vertical="center"/>
    </xf>
    <xf numFmtId="179" fontId="1" fillId="45" borderId="56" xfId="4" applyNumberFormat="1" applyFill="1" applyBorder="1" applyAlignment="1" applyProtection="1">
      <alignment horizontal="center" vertical="center"/>
    </xf>
    <xf numFmtId="164" fontId="0" fillId="2" borderId="103" xfId="2" applyNumberFormat="1" applyFont="1" applyFill="1" applyBorder="1" applyAlignment="1" applyProtection="1">
      <alignment vertical="center"/>
      <protection locked="0"/>
    </xf>
    <xf numFmtId="164" fontId="0" fillId="35" borderId="62" xfId="2" applyNumberFormat="1" applyFont="1" applyFill="1" applyBorder="1" applyAlignment="1" applyProtection="1">
      <alignment vertical="center"/>
    </xf>
    <xf numFmtId="179" fontId="1" fillId="45" borderId="138" xfId="4" applyNumberFormat="1" applyFill="1" applyBorder="1" applyAlignment="1" applyProtection="1">
      <alignment horizontal="center" vertical="center"/>
    </xf>
    <xf numFmtId="179" fontId="1" fillId="45" borderId="139" xfId="4" applyNumberFormat="1" applyFill="1" applyBorder="1" applyAlignment="1" applyProtection="1">
      <alignment horizontal="center" vertical="center"/>
    </xf>
    <xf numFmtId="179" fontId="1" fillId="45" borderId="140" xfId="4" applyNumberFormat="1" applyFill="1" applyBorder="1" applyAlignment="1" applyProtection="1">
      <alignment horizontal="center" vertical="center"/>
    </xf>
    <xf numFmtId="0" fontId="0" fillId="2" borderId="141" xfId="0" applyFill="1" applyBorder="1" applyAlignment="1" applyProtection="1">
      <alignment horizontal="left" vertical="center"/>
      <protection locked="0"/>
    </xf>
    <xf numFmtId="164" fontId="0" fillId="2" borderId="137" xfId="2" applyNumberFormat="1" applyFont="1" applyFill="1" applyBorder="1" applyAlignment="1" applyProtection="1">
      <alignment vertical="center"/>
      <protection locked="0"/>
    </xf>
    <xf numFmtId="0" fontId="0" fillId="2" borderId="137" xfId="0" applyFill="1" applyBorder="1" applyAlignment="1" applyProtection="1">
      <alignment horizontal="left" vertical="center"/>
      <protection locked="0"/>
    </xf>
    <xf numFmtId="164" fontId="0" fillId="2" borderId="142" xfId="2" applyNumberFormat="1" applyFont="1" applyFill="1" applyBorder="1" applyAlignment="1" applyProtection="1">
      <alignment vertical="center"/>
      <protection locked="0"/>
    </xf>
    <xf numFmtId="164" fontId="0" fillId="35" borderId="143" xfId="2" applyNumberFormat="1" applyFont="1" applyFill="1" applyBorder="1" applyAlignment="1" applyProtection="1">
      <alignment vertical="center"/>
    </xf>
    <xf numFmtId="179" fontId="1" fillId="45" borderId="146" xfId="4" applyNumberFormat="1" applyFill="1" applyBorder="1" applyAlignment="1" applyProtection="1">
      <alignment horizontal="center" vertical="center"/>
    </xf>
    <xf numFmtId="179" fontId="1" fillId="45" borderId="147" xfId="4" applyNumberFormat="1" applyFill="1" applyBorder="1" applyAlignment="1" applyProtection="1">
      <alignment horizontal="center" vertical="center"/>
    </xf>
    <xf numFmtId="179" fontId="1" fillId="45" borderId="148" xfId="4" applyNumberFormat="1" applyFill="1" applyBorder="1" applyAlignment="1" applyProtection="1">
      <alignment horizontal="center" vertical="center"/>
    </xf>
    <xf numFmtId="164" fontId="0" fillId="2" borderId="145" xfId="2" applyNumberFormat="1" applyFont="1" applyFill="1" applyBorder="1" applyAlignment="1" applyProtection="1">
      <alignment vertical="center"/>
      <protection locked="0"/>
    </xf>
    <xf numFmtId="164" fontId="0" fillId="35" borderId="149" xfId="2" applyNumberFormat="1" applyFont="1" applyFill="1" applyBorder="1" applyAlignment="1" applyProtection="1">
      <alignment vertical="center"/>
    </xf>
    <xf numFmtId="164" fontId="0" fillId="33" borderId="149" xfId="2" applyNumberFormat="1" applyFont="1" applyFill="1" applyBorder="1" applyAlignment="1" applyProtection="1">
      <alignment vertical="center"/>
    </xf>
    <xf numFmtId="179" fontId="1" fillId="45" borderId="155" xfId="4" applyNumberFormat="1" applyFill="1" applyBorder="1" applyAlignment="1" applyProtection="1">
      <alignment horizontal="center" vertical="center"/>
    </xf>
    <xf numFmtId="179" fontId="1" fillId="45" borderId="156" xfId="4" applyNumberFormat="1" applyFill="1" applyBorder="1" applyAlignment="1" applyProtection="1">
      <alignment horizontal="center" vertical="center"/>
    </xf>
    <xf numFmtId="179" fontId="1" fillId="45" borderId="157" xfId="4" applyNumberFormat="1" applyFill="1" applyBorder="1" applyAlignment="1" applyProtection="1">
      <alignment horizontal="center" vertical="center"/>
    </xf>
    <xf numFmtId="164" fontId="0" fillId="2" borderId="154" xfId="2" applyNumberFormat="1" applyFont="1" applyFill="1" applyBorder="1" applyAlignment="1" applyProtection="1">
      <alignment vertical="center"/>
      <protection locked="0"/>
    </xf>
    <xf numFmtId="164" fontId="0" fillId="2" borderId="158" xfId="2" applyNumberFormat="1" applyFont="1" applyFill="1" applyBorder="1" applyAlignment="1" applyProtection="1">
      <alignment vertical="center"/>
      <protection locked="0"/>
    </xf>
    <xf numFmtId="164" fontId="0" fillId="35" borderId="159" xfId="2" applyNumberFormat="1" applyFont="1" applyFill="1" applyBorder="1" applyAlignment="1" applyProtection="1">
      <alignment vertical="center"/>
    </xf>
    <xf numFmtId="179" fontId="1" fillId="45" borderId="160" xfId="4" applyNumberFormat="1" applyFill="1" applyBorder="1" applyAlignment="1" applyProtection="1">
      <alignment horizontal="center" vertical="center"/>
    </xf>
    <xf numFmtId="179" fontId="1" fillId="45" borderId="161" xfId="4" applyNumberFormat="1" applyFill="1" applyBorder="1" applyAlignment="1" applyProtection="1">
      <alignment horizontal="center" vertical="center"/>
    </xf>
    <xf numFmtId="179" fontId="1" fillId="45" borderId="162" xfId="4" applyNumberFormat="1" applyFill="1" applyBorder="1" applyAlignment="1" applyProtection="1">
      <alignment horizontal="center" vertical="center"/>
    </xf>
    <xf numFmtId="164" fontId="0" fillId="2" borderId="163" xfId="2" applyNumberFormat="1" applyFont="1" applyFill="1" applyBorder="1" applyAlignment="1" applyProtection="1">
      <alignment vertical="center"/>
      <protection locked="0"/>
    </xf>
    <xf numFmtId="179" fontId="1" fillId="45" borderId="166" xfId="4" applyNumberFormat="1" applyFill="1" applyBorder="1" applyAlignment="1" applyProtection="1">
      <alignment horizontal="center" vertical="center"/>
    </xf>
    <xf numFmtId="179" fontId="1" fillId="45" borderId="167" xfId="4" applyNumberFormat="1" applyFill="1" applyBorder="1" applyAlignment="1" applyProtection="1">
      <alignment horizontal="center" vertical="center"/>
    </xf>
    <xf numFmtId="179" fontId="1" fillId="45" borderId="168" xfId="4" applyNumberFormat="1" applyFill="1" applyBorder="1" applyAlignment="1" applyProtection="1">
      <alignment horizontal="center" vertical="center"/>
    </xf>
    <xf numFmtId="164" fontId="0" fillId="2" borderId="164" xfId="2" applyNumberFormat="1" applyFont="1" applyFill="1" applyBorder="1" applyAlignment="1" applyProtection="1">
      <alignment vertical="center"/>
      <protection locked="0"/>
    </xf>
    <xf numFmtId="0" fontId="0" fillId="2" borderId="164" xfId="0" applyFill="1" applyBorder="1" applyAlignment="1" applyProtection="1">
      <alignment horizontal="left" vertical="center"/>
      <protection locked="0"/>
    </xf>
    <xf numFmtId="164" fontId="0" fillId="2" borderId="170" xfId="2" applyNumberFormat="1" applyFont="1" applyFill="1" applyBorder="1" applyAlignment="1" applyProtection="1">
      <alignment vertical="center"/>
      <protection locked="0"/>
    </xf>
    <xf numFmtId="164" fontId="0" fillId="35" borderId="171" xfId="2" applyNumberFormat="1" applyFont="1" applyFill="1" applyBorder="1" applyAlignment="1" applyProtection="1">
      <alignment vertical="center"/>
    </xf>
    <xf numFmtId="179" fontId="1" fillId="45" borderId="131" xfId="4" applyNumberFormat="1" applyFill="1" applyBorder="1" applyAlignment="1" applyProtection="1">
      <alignment horizontal="center" vertical="center"/>
    </xf>
    <xf numFmtId="179" fontId="1" fillId="45" borderId="169" xfId="4" applyNumberFormat="1" applyFill="1" applyBorder="1" applyAlignment="1" applyProtection="1">
      <alignment horizontal="center" vertical="center"/>
    </xf>
    <xf numFmtId="179" fontId="1" fillId="45" borderId="164" xfId="4" applyNumberFormat="1" applyFill="1" applyBorder="1" applyAlignment="1" applyProtection="1">
      <alignment horizontal="center" vertical="center"/>
    </xf>
    <xf numFmtId="179" fontId="1" fillId="45" borderId="165" xfId="4" applyNumberFormat="1" applyFill="1" applyBorder="1" applyAlignment="1" applyProtection="1">
      <alignment horizontal="center" vertical="center"/>
    </xf>
    <xf numFmtId="164" fontId="0" fillId="46" borderId="174" xfId="2" applyNumberFormat="1" applyFont="1" applyFill="1" applyBorder="1" applyAlignment="1" applyProtection="1">
      <alignment vertical="center"/>
    </xf>
    <xf numFmtId="164" fontId="0" fillId="46" borderId="175" xfId="2" applyNumberFormat="1" applyFont="1" applyFill="1" applyBorder="1" applyAlignment="1" applyProtection="1">
      <alignment vertical="center"/>
    </xf>
    <xf numFmtId="179" fontId="1" fillId="45" borderId="173" xfId="4" applyNumberFormat="1" applyFill="1" applyBorder="1" applyAlignment="1" applyProtection="1">
      <alignment horizontal="center" vertical="center"/>
    </xf>
    <xf numFmtId="179" fontId="1" fillId="45" borderId="174" xfId="4" applyNumberFormat="1" applyFill="1" applyBorder="1" applyAlignment="1" applyProtection="1">
      <alignment horizontal="center" vertical="center"/>
    </xf>
    <xf numFmtId="179" fontId="1" fillId="45" borderId="175" xfId="4" applyNumberFormat="1" applyFill="1" applyBorder="1" applyAlignment="1" applyProtection="1">
      <alignment horizontal="center" vertical="center"/>
    </xf>
    <xf numFmtId="0" fontId="0" fillId="2" borderId="70" xfId="0" applyFill="1" applyBorder="1" applyAlignment="1" applyProtection="1">
      <alignment horizontal="left" vertical="center"/>
      <protection locked="0"/>
    </xf>
    <xf numFmtId="164" fontId="0" fillId="2" borderId="68" xfId="2" applyNumberFormat="1" applyFont="1" applyFill="1" applyBorder="1" applyAlignment="1" applyProtection="1">
      <alignment vertical="center"/>
      <protection locked="0"/>
    </xf>
    <xf numFmtId="0" fontId="0" fillId="2" borderId="68" xfId="0" applyFill="1" applyBorder="1" applyAlignment="1" applyProtection="1">
      <alignment horizontal="left" vertical="center"/>
      <protection locked="0"/>
    </xf>
    <xf numFmtId="164" fontId="0" fillId="2" borderId="176" xfId="2" applyNumberFormat="1" applyFont="1" applyFill="1" applyBorder="1" applyAlignment="1" applyProtection="1">
      <alignment vertical="center"/>
      <protection locked="0"/>
    </xf>
    <xf numFmtId="164" fontId="0" fillId="35" borderId="65" xfId="2" applyNumberFormat="1" applyFont="1" applyFill="1" applyBorder="1" applyAlignment="1" applyProtection="1">
      <alignment vertical="center"/>
    </xf>
    <xf numFmtId="0" fontId="0" fillId="0" borderId="0" xfId="0" applyProtection="1">
      <protection locked="0"/>
    </xf>
    <xf numFmtId="0" fontId="5" fillId="0" borderId="0" xfId="0" applyFont="1" applyAlignment="1" applyProtection="1">
      <alignment vertical="center"/>
      <protection locked="0"/>
    </xf>
    <xf numFmtId="0" fontId="0" fillId="0" borderId="0" xfId="0" applyAlignment="1" applyProtection="1">
      <alignment horizontal="left" vertical="center" wrapText="1"/>
      <protection locked="0"/>
    </xf>
    <xf numFmtId="0" fontId="0" fillId="22" borderId="0" xfId="0" applyFill="1" applyProtection="1">
      <protection locked="0"/>
    </xf>
    <xf numFmtId="0" fontId="21" fillId="22" borderId="0" xfId="0" applyFont="1" applyFill="1" applyAlignment="1" applyProtection="1">
      <alignment horizontal="center"/>
      <protection locked="0"/>
    </xf>
    <xf numFmtId="0" fontId="22" fillId="22" borderId="0" xfId="0" applyFont="1" applyFill="1" applyAlignment="1" applyProtection="1">
      <alignment horizontal="center"/>
      <protection locked="0"/>
    </xf>
    <xf numFmtId="0" fontId="23" fillId="22" borderId="0" xfId="0" applyFont="1" applyFill="1" applyProtection="1">
      <protection locked="0"/>
    </xf>
    <xf numFmtId="171" fontId="12" fillId="22" borderId="0" xfId="0" applyNumberFormat="1" applyFont="1" applyFill="1" applyAlignment="1">
      <alignment horizontal="left"/>
    </xf>
    <xf numFmtId="176" fontId="1" fillId="22" borderId="0" xfId="2" applyNumberFormat="1" applyFill="1" applyBorder="1"/>
    <xf numFmtId="176" fontId="0" fillId="22" borderId="0" xfId="0" applyNumberFormat="1" applyFill="1" applyProtection="1">
      <protection locked="0"/>
    </xf>
    <xf numFmtId="0" fontId="24" fillId="22" borderId="0" xfId="0" applyFont="1" applyFill="1" applyAlignment="1" applyProtection="1">
      <alignment horizontal="center"/>
      <protection locked="0"/>
    </xf>
    <xf numFmtId="0" fontId="0" fillId="22" borderId="0" xfId="0" applyFill="1" applyAlignment="1" applyProtection="1">
      <alignment horizontal="center"/>
      <protection locked="0"/>
    </xf>
    <xf numFmtId="176" fontId="1" fillId="22" borderId="0" xfId="2" applyNumberFormat="1" applyFill="1" applyBorder="1" applyAlignment="1">
      <alignment horizontal="center"/>
    </xf>
    <xf numFmtId="176" fontId="0" fillId="22" borderId="0" xfId="2" applyNumberFormat="1" applyFont="1" applyFill="1" applyBorder="1" applyAlignment="1">
      <alignment horizontal="center"/>
    </xf>
    <xf numFmtId="176" fontId="5" fillId="22" borderId="0" xfId="0" applyNumberFormat="1" applyFont="1" applyFill="1" applyAlignment="1" applyProtection="1">
      <alignment horizontal="center"/>
      <protection locked="0"/>
    </xf>
    <xf numFmtId="0" fontId="25" fillId="22" borderId="0" xfId="0" applyFont="1" applyFill="1" applyAlignment="1">
      <alignment vertical="center"/>
    </xf>
    <xf numFmtId="0" fontId="26" fillId="22" borderId="0" xfId="0" applyFont="1" applyFill="1" applyAlignment="1">
      <alignment vertical="center"/>
    </xf>
    <xf numFmtId="0" fontId="27" fillId="22" borderId="0" xfId="0" applyFont="1" applyFill="1" applyAlignment="1">
      <alignment vertical="center"/>
    </xf>
    <xf numFmtId="0" fontId="28" fillId="22" borderId="0" xfId="0" applyFont="1" applyFill="1" applyAlignment="1">
      <alignment horizontal="center" vertical="center"/>
    </xf>
    <xf numFmtId="0" fontId="29" fillId="22" borderId="0" xfId="0" applyFont="1" applyFill="1" applyAlignment="1">
      <alignment vertical="center"/>
    </xf>
    <xf numFmtId="0" fontId="5" fillId="22" borderId="0" xfId="0" applyFont="1" applyFill="1" applyProtection="1">
      <protection locked="0"/>
    </xf>
    <xf numFmtId="0" fontId="28" fillId="22" borderId="0" xfId="0" applyFont="1" applyFill="1" applyAlignment="1">
      <alignment vertical="center"/>
    </xf>
    <xf numFmtId="0" fontId="0" fillId="22" borderId="0" xfId="0" applyFill="1" applyAlignment="1">
      <alignment horizontal="left" vertical="center"/>
    </xf>
    <xf numFmtId="42" fontId="1" fillId="22" borderId="0" xfId="3" applyFill="1" applyBorder="1"/>
    <xf numFmtId="42" fontId="0" fillId="22" borderId="0" xfId="0" applyNumberFormat="1" applyFill="1" applyAlignment="1">
      <alignment vertical="center"/>
    </xf>
    <xf numFmtId="42" fontId="0" fillId="22" borderId="0" xfId="0" applyNumberFormat="1" applyFill="1" applyProtection="1">
      <protection locked="0"/>
    </xf>
    <xf numFmtId="0" fontId="0" fillId="22" borderId="0" xfId="0" applyFill="1" applyAlignment="1">
      <alignment horizontal="center" vertical="center"/>
    </xf>
    <xf numFmtId="42" fontId="0" fillId="22" borderId="0" xfId="3" applyFont="1" applyFill="1" applyBorder="1" applyProtection="1">
      <protection locked="0"/>
    </xf>
    <xf numFmtId="0" fontId="24" fillId="22" borderId="0" xfId="0" applyFont="1" applyFill="1" applyProtection="1">
      <protection locked="0"/>
    </xf>
    <xf numFmtId="176" fontId="5" fillId="22" borderId="0" xfId="0" applyNumberFormat="1" applyFont="1" applyFill="1" applyProtection="1">
      <protection locked="0"/>
    </xf>
    <xf numFmtId="9" fontId="0" fillId="22" borderId="0" xfId="0" applyNumberFormat="1" applyFill="1" applyAlignment="1" applyProtection="1">
      <alignment horizontal="center"/>
      <protection locked="0"/>
    </xf>
    <xf numFmtId="176" fontId="0" fillId="22" borderId="0" xfId="0" applyNumberFormat="1" applyFill="1" applyAlignment="1" applyProtection="1">
      <alignment horizontal="center"/>
      <protection locked="0"/>
    </xf>
    <xf numFmtId="0" fontId="11" fillId="22" borderId="0" xfId="0" applyFont="1" applyFill="1" applyProtection="1">
      <protection locked="0"/>
    </xf>
    <xf numFmtId="176" fontId="11" fillId="22" borderId="0" xfId="2" applyNumberFormat="1" applyFont="1" applyFill="1" applyBorder="1"/>
    <xf numFmtId="0" fontId="0" fillId="22" borderId="0" xfId="0" applyFill="1" applyAlignment="1" applyProtection="1">
      <alignment vertical="center" wrapText="1"/>
      <protection locked="0"/>
    </xf>
    <xf numFmtId="0" fontId="5" fillId="22" borderId="0" xfId="0" applyFont="1" applyFill="1" applyAlignment="1" applyProtection="1">
      <alignment horizontal="left" vertical="center" wrapText="1"/>
      <protection locked="0"/>
    </xf>
    <xf numFmtId="0" fontId="0" fillId="22" borderId="0" xfId="0" applyFill="1" applyAlignment="1" applyProtection="1">
      <alignment horizontal="left" vertical="center" wrapText="1"/>
      <protection locked="0"/>
    </xf>
    <xf numFmtId="180" fontId="0" fillId="22" borderId="0" xfId="0" applyNumberFormat="1" applyFill="1" applyProtection="1">
      <protection locked="0"/>
    </xf>
    <xf numFmtId="42" fontId="11" fillId="22" borderId="0" xfId="3" applyFont="1" applyFill="1" applyBorder="1" applyAlignment="1" applyProtection="1">
      <protection locked="0"/>
    </xf>
    <xf numFmtId="42" fontId="0" fillId="22" borderId="0" xfId="3" applyFont="1" applyFill="1" applyBorder="1" applyAlignment="1" applyProtection="1">
      <protection locked="0"/>
    </xf>
    <xf numFmtId="171" fontId="13" fillId="22" borderId="0" xfId="0" applyNumberFormat="1" applyFont="1" applyFill="1" applyAlignment="1">
      <alignment horizontal="left"/>
    </xf>
    <xf numFmtId="0" fontId="20" fillId="22" borderId="0" xfId="0" applyFont="1" applyFill="1" applyAlignment="1" applyProtection="1">
      <alignment horizontal="right"/>
      <protection locked="0"/>
    </xf>
    <xf numFmtId="176" fontId="20" fillId="22" borderId="0" xfId="2" applyNumberFormat="1" applyFont="1" applyFill="1" applyBorder="1"/>
    <xf numFmtId="0" fontId="0" fillId="22" borderId="0" xfId="0" applyFill="1" applyAlignment="1" applyProtection="1">
      <alignment horizontal="right"/>
      <protection locked="0"/>
    </xf>
    <xf numFmtId="0" fontId="11" fillId="22" borderId="0" xfId="0" applyFont="1" applyFill="1" applyAlignment="1" applyProtection="1">
      <alignment horizontal="right"/>
      <protection locked="0"/>
    </xf>
    <xf numFmtId="0" fontId="0" fillId="0" borderId="0" xfId="0" applyAlignment="1" applyProtection="1">
      <alignment horizontal="right"/>
      <protection locked="0"/>
    </xf>
    <xf numFmtId="0" fontId="0" fillId="22" borderId="0" xfId="0" applyFill="1"/>
    <xf numFmtId="0" fontId="5" fillId="22" borderId="0" xfId="0" applyFont="1" applyFill="1" applyAlignment="1">
      <alignment horizontal="center" vertical="center"/>
    </xf>
    <xf numFmtId="0" fontId="0" fillId="22" borderId="0" xfId="0" applyFill="1" applyAlignment="1">
      <alignment vertical="center"/>
    </xf>
    <xf numFmtId="0" fontId="5" fillId="22" borderId="0" xfId="0" applyFont="1" applyFill="1" applyAlignment="1">
      <alignment vertical="center"/>
    </xf>
    <xf numFmtId="0" fontId="5" fillId="22" borderId="1" xfId="0" applyFont="1" applyFill="1" applyBorder="1" applyAlignment="1">
      <alignment horizontal="center" vertical="center"/>
    </xf>
    <xf numFmtId="0" fontId="5" fillId="22" borderId="0" xfId="0" applyFont="1" applyFill="1" applyAlignment="1">
      <alignment horizontal="right" vertical="center"/>
    </xf>
    <xf numFmtId="0" fontId="15" fillId="22" borderId="0" xfId="0" applyFont="1" applyFill="1" applyAlignment="1">
      <alignment vertical="center"/>
    </xf>
    <xf numFmtId="0" fontId="9" fillId="50" borderId="164" xfId="0" applyFont="1" applyFill="1" applyBorder="1" applyAlignment="1">
      <alignment horizontal="center" vertical="center"/>
    </xf>
    <xf numFmtId="0" fontId="0" fillId="22" borderId="164" xfId="0" applyFill="1" applyBorder="1" applyAlignment="1">
      <alignment horizontal="left"/>
    </xf>
    <xf numFmtId="176" fontId="1" fillId="2" borderId="164" xfId="2" applyNumberFormat="1" applyFill="1" applyBorder="1" applyProtection="1">
      <protection locked="0"/>
    </xf>
    <xf numFmtId="0" fontId="0" fillId="22" borderId="164" xfId="0" applyFill="1" applyBorder="1" applyAlignment="1">
      <alignment horizontal="center"/>
    </xf>
    <xf numFmtId="176" fontId="1" fillId="0" borderId="164" xfId="2" applyNumberFormat="1" applyBorder="1"/>
    <xf numFmtId="0" fontId="5" fillId="22" borderId="65" xfId="0" applyFont="1" applyFill="1" applyBorder="1"/>
    <xf numFmtId="176" fontId="1" fillId="0" borderId="65" xfId="2" applyNumberFormat="1" applyBorder="1"/>
    <xf numFmtId="0" fontId="5" fillId="0" borderId="0" xfId="0" applyFont="1" applyAlignment="1" applyProtection="1">
      <alignment horizontal="right" vertical="center"/>
      <protection locked="0"/>
    </xf>
    <xf numFmtId="9" fontId="31" fillId="22" borderId="0" xfId="0" applyNumberFormat="1" applyFont="1" applyFill="1" applyAlignment="1">
      <alignment horizontal="center"/>
    </xf>
    <xf numFmtId="0" fontId="2" fillId="42" borderId="65" xfId="0" applyFont="1" applyFill="1" applyBorder="1" applyAlignment="1">
      <alignment horizontal="left" vertical="center" indent="1"/>
    </xf>
    <xf numFmtId="0" fontId="2" fillId="51" borderId="65" xfId="0" applyFont="1" applyFill="1" applyBorder="1" applyAlignment="1">
      <alignment horizontal="center" vertical="center" wrapText="1"/>
    </xf>
    <xf numFmtId="0" fontId="0" fillId="22" borderId="143" xfId="0" applyFill="1" applyBorder="1" applyAlignment="1">
      <alignment horizontal="left" indent="2"/>
    </xf>
    <xf numFmtId="181" fontId="0" fillId="22" borderId="169" xfId="0" applyNumberFormat="1" applyFill="1" applyBorder="1"/>
    <xf numFmtId="181" fontId="2" fillId="22" borderId="171" xfId="0" applyNumberFormat="1" applyFont="1" applyFill="1" applyBorder="1"/>
    <xf numFmtId="0" fontId="0" fillId="22" borderId="171" xfId="0" applyFill="1" applyBorder="1" applyAlignment="1">
      <alignment horizontal="left" indent="2"/>
    </xf>
    <xf numFmtId="181" fontId="0" fillId="22" borderId="164" xfId="0" applyNumberFormat="1" applyFill="1" applyBorder="1"/>
    <xf numFmtId="181" fontId="0" fillId="22" borderId="170" xfId="0" applyNumberFormat="1" applyFill="1" applyBorder="1"/>
    <xf numFmtId="0" fontId="0" fillId="22" borderId="178" xfId="0" applyFill="1" applyBorder="1" applyAlignment="1">
      <alignment horizontal="left" indent="2"/>
    </xf>
    <xf numFmtId="181" fontId="0" fillId="22" borderId="179" xfId="0" applyNumberFormat="1" applyFill="1" applyBorder="1"/>
    <xf numFmtId="181" fontId="2" fillId="22" borderId="180" xfId="0" applyNumberFormat="1" applyFont="1" applyFill="1" applyBorder="1"/>
    <xf numFmtId="0" fontId="2" fillId="8" borderId="65" xfId="0" applyFont="1" applyFill="1" applyBorder="1" applyAlignment="1">
      <alignment horizontal="left" indent="2"/>
    </xf>
    <xf numFmtId="181" fontId="2" fillId="22" borderId="70" xfId="0" applyNumberFormat="1" applyFont="1" applyFill="1" applyBorder="1"/>
    <xf numFmtId="181" fontId="2" fillId="22" borderId="68" xfId="0" applyNumberFormat="1" applyFont="1" applyFill="1" applyBorder="1"/>
    <xf numFmtId="181" fontId="2" fillId="22" borderId="176" xfId="0" applyNumberFormat="1" applyFont="1" applyFill="1" applyBorder="1"/>
    <xf numFmtId="181" fontId="2" fillId="22" borderId="65" xfId="0" applyNumberFormat="1" applyFont="1" applyFill="1" applyBorder="1"/>
    <xf numFmtId="0" fontId="2" fillId="0" borderId="0" xfId="0" applyFont="1" applyAlignment="1">
      <alignment horizontal="left" indent="2"/>
    </xf>
    <xf numFmtId="9" fontId="1" fillId="0" borderId="0" xfId="4" applyAlignment="1">
      <alignment horizontal="center"/>
    </xf>
    <xf numFmtId="181" fontId="2" fillId="22" borderId="0" xfId="0" applyNumberFormat="1" applyFont="1" applyFill="1"/>
    <xf numFmtId="0" fontId="32" fillId="22" borderId="0" xfId="0" applyFont="1" applyFill="1" applyAlignment="1">
      <alignment horizontal="left"/>
    </xf>
    <xf numFmtId="0" fontId="0" fillId="22" borderId="180" xfId="0" applyFill="1" applyBorder="1" applyAlignment="1">
      <alignment horizontal="left" indent="2"/>
    </xf>
    <xf numFmtId="9" fontId="1" fillId="22" borderId="0" xfId="4" applyFont="1" applyFill="1" applyAlignment="1">
      <alignment horizontal="center"/>
    </xf>
    <xf numFmtId="9" fontId="7" fillId="0" borderId="0" xfId="4" applyFont="1" applyAlignment="1">
      <alignment horizontal="center"/>
    </xf>
    <xf numFmtId="0" fontId="33" fillId="22" borderId="0" xfId="0" applyFont="1" applyFill="1"/>
    <xf numFmtId="181" fontId="0" fillId="22" borderId="172" xfId="0" applyNumberFormat="1" applyFill="1" applyBorder="1"/>
    <xf numFmtId="181" fontId="0" fillId="22" borderId="117" xfId="0" applyNumberFormat="1" applyFill="1" applyBorder="1"/>
    <xf numFmtId="181" fontId="2" fillId="22" borderId="71" xfId="0" applyNumberFormat="1" applyFont="1" applyFill="1" applyBorder="1"/>
    <xf numFmtId="0" fontId="0" fillId="22" borderId="185" xfId="0" applyFill="1" applyBorder="1" applyAlignment="1">
      <alignment horizontal="left" indent="2"/>
    </xf>
    <xf numFmtId="0" fontId="0" fillId="22" borderId="186" xfId="0" applyFill="1" applyBorder="1" applyAlignment="1">
      <alignment horizontal="left" indent="2"/>
    </xf>
    <xf numFmtId="0" fontId="2" fillId="8" borderId="66" xfId="0" applyFont="1" applyFill="1" applyBorder="1" applyAlignment="1">
      <alignment horizontal="left" indent="2"/>
    </xf>
    <xf numFmtId="0" fontId="2" fillId="51" borderId="128" xfId="0" applyFont="1" applyFill="1" applyBorder="1" applyAlignment="1">
      <alignment horizontal="center" vertical="center" wrapText="1"/>
    </xf>
    <xf numFmtId="0" fontId="0" fillId="0" borderId="164" xfId="0" applyBorder="1"/>
    <xf numFmtId="181" fontId="2" fillId="22" borderId="164" xfId="0" applyNumberFormat="1" applyFont="1" applyFill="1" applyBorder="1"/>
    <xf numFmtId="181" fontId="0" fillId="2" borderId="179" xfId="0" applyNumberFormat="1" applyFill="1" applyBorder="1"/>
    <xf numFmtId="181" fontId="0" fillId="2" borderId="117" xfId="0" applyNumberFormat="1" applyFill="1" applyBorder="1"/>
    <xf numFmtId="42" fontId="0" fillId="0" borderId="164" xfId="3" applyFont="1" applyBorder="1"/>
    <xf numFmtId="42" fontId="0" fillId="22" borderId="164" xfId="3" applyFont="1" applyFill="1" applyBorder="1"/>
    <xf numFmtId="42" fontId="2" fillId="22" borderId="164" xfId="3" applyFont="1" applyFill="1" applyBorder="1"/>
    <xf numFmtId="42" fontId="0" fillId="2" borderId="164" xfId="3" applyFont="1" applyFill="1" applyBorder="1"/>
    <xf numFmtId="181" fontId="0" fillId="2" borderId="164" xfId="0" applyNumberFormat="1" applyFill="1" applyBorder="1"/>
    <xf numFmtId="0" fontId="0" fillId="2" borderId="164" xfId="0" applyFill="1" applyBorder="1"/>
    <xf numFmtId="181" fontId="2" fillId="2" borderId="164" xfId="0" applyNumberFormat="1" applyFont="1" applyFill="1" applyBorder="1"/>
    <xf numFmtId="42" fontId="0" fillId="22" borderId="169" xfId="3" applyFont="1" applyFill="1" applyBorder="1"/>
    <xf numFmtId="42" fontId="0" fillId="22" borderId="179" xfId="3" applyFont="1" applyFill="1" applyBorder="1"/>
    <xf numFmtId="0" fontId="0" fillId="22" borderId="187" xfId="0" applyFill="1" applyBorder="1" applyAlignment="1">
      <alignment horizontal="left" indent="2"/>
    </xf>
    <xf numFmtId="181" fontId="0" fillId="0" borderId="164" xfId="0" applyNumberFormat="1" applyBorder="1"/>
    <xf numFmtId="0" fontId="0" fillId="0" borderId="164" xfId="0" applyBorder="1" applyAlignment="1">
      <alignment horizontal="center"/>
    </xf>
    <xf numFmtId="9" fontId="0" fillId="0" borderId="164" xfId="4" applyFont="1" applyBorder="1"/>
    <xf numFmtId="0" fontId="0" fillId="52" borderId="164" xfId="0" applyFill="1" applyBorder="1"/>
    <xf numFmtId="0" fontId="0" fillId="8" borderId="164" xfId="0" applyFill="1" applyBorder="1"/>
    <xf numFmtId="0" fontId="0" fillId="53" borderId="164" xfId="0" applyFill="1" applyBorder="1"/>
    <xf numFmtId="0" fontId="2" fillId="8" borderId="67" xfId="0" applyFont="1" applyFill="1" applyBorder="1" applyAlignment="1">
      <alignment horizontal="center" vertical="center"/>
    </xf>
    <xf numFmtId="0" fontId="2" fillId="53" borderId="68" xfId="0" applyFont="1" applyFill="1" applyBorder="1" applyAlignment="1">
      <alignment horizontal="center" vertical="center"/>
    </xf>
    <xf numFmtId="0" fontId="2" fillId="8" borderId="68" xfId="0" applyFont="1" applyFill="1" applyBorder="1" applyAlignment="1">
      <alignment horizontal="center" vertical="center"/>
    </xf>
    <xf numFmtId="0" fontId="2" fillId="53" borderId="69" xfId="0" applyFont="1" applyFill="1" applyBorder="1" applyAlignment="1">
      <alignment horizontal="center" vertical="center"/>
    </xf>
    <xf numFmtId="0" fontId="34" fillId="0" borderId="0" xfId="0" applyFont="1" applyAlignment="1">
      <alignment horizontal="center" vertical="center"/>
    </xf>
    <xf numFmtId="0" fontId="34" fillId="0" borderId="0" xfId="0" applyFont="1" applyAlignment="1">
      <alignment vertical="center"/>
    </xf>
    <xf numFmtId="0" fontId="3" fillId="0" borderId="0" xfId="5" applyBorder="1" applyAlignment="1" applyProtection="1">
      <alignment vertical="center"/>
    </xf>
    <xf numFmtId="0" fontId="3" fillId="0" borderId="0" xfId="5" quotePrefix="1"/>
    <xf numFmtId="0" fontId="3" fillId="0" borderId="0" xfId="5" quotePrefix="1" applyBorder="1" applyAlignment="1" applyProtection="1">
      <alignment vertical="center"/>
    </xf>
    <xf numFmtId="0" fontId="5" fillId="7" borderId="188" xfId="0" applyFont="1" applyFill="1" applyBorder="1" applyAlignment="1">
      <alignment horizontal="center" vertical="center" wrapText="1"/>
    </xf>
    <xf numFmtId="0" fontId="0" fillId="2" borderId="189" xfId="0" applyFill="1" applyBorder="1" applyAlignment="1" applyProtection="1">
      <alignment horizontal="left" vertical="center"/>
      <protection locked="0"/>
    </xf>
    <xf numFmtId="0" fontId="0" fillId="2" borderId="190" xfId="0" applyFill="1" applyBorder="1" applyAlignment="1" applyProtection="1">
      <alignment horizontal="left" vertical="center"/>
      <protection locked="0"/>
    </xf>
    <xf numFmtId="0" fontId="0" fillId="2" borderId="191" xfId="0" applyFill="1" applyBorder="1" applyAlignment="1" applyProtection="1">
      <alignment horizontal="left" vertical="center"/>
      <protection locked="0"/>
    </xf>
    <xf numFmtId="0" fontId="0" fillId="2" borderId="193" xfId="0" applyFill="1" applyBorder="1" applyAlignment="1" applyProtection="1">
      <alignment horizontal="left" vertical="center"/>
      <protection locked="0"/>
    </xf>
    <xf numFmtId="0" fontId="2" fillId="0" borderId="0" xfId="0" applyFont="1" applyAlignment="1">
      <alignment horizontal="right" indent="2"/>
    </xf>
    <xf numFmtId="0" fontId="32" fillId="22" borderId="0" xfId="0" applyFont="1" applyFill="1" applyAlignment="1">
      <alignment horizontal="right"/>
    </xf>
    <xf numFmtId="9" fontId="2" fillId="22" borderId="0" xfId="4" applyFont="1" applyFill="1" applyAlignment="1">
      <alignment horizontal="center"/>
    </xf>
    <xf numFmtId="0" fontId="5" fillId="0" borderId="0" xfId="0" applyFont="1" applyAlignment="1" applyProtection="1">
      <alignment horizontal="center" vertical="center"/>
      <protection locked="0"/>
    </xf>
    <xf numFmtId="167" fontId="0" fillId="0" borderId="142" xfId="2" applyNumberFormat="1" applyFont="1" applyFill="1" applyBorder="1" applyAlignment="1" applyProtection="1">
      <alignment vertical="center"/>
    </xf>
    <xf numFmtId="167" fontId="0" fillId="1" borderId="197" xfId="2" applyNumberFormat="1" applyFont="1" applyFill="1" applyBorder="1" applyAlignment="1" applyProtection="1">
      <alignment vertical="center"/>
      <protection hidden="1"/>
    </xf>
    <xf numFmtId="167" fontId="0" fillId="2" borderId="204" xfId="2" applyNumberFormat="1" applyFont="1" applyFill="1" applyBorder="1" applyAlignment="1" applyProtection="1">
      <alignment vertical="center"/>
      <protection locked="0"/>
    </xf>
    <xf numFmtId="173" fontId="0" fillId="0" borderId="21" xfId="2" applyNumberFormat="1" applyFont="1" applyFill="1" applyBorder="1" applyAlignment="1" applyProtection="1">
      <alignment horizontal="left" vertical="center"/>
    </xf>
    <xf numFmtId="173" fontId="0" fillId="0" borderId="178" xfId="2" applyNumberFormat="1" applyFont="1" applyFill="1" applyBorder="1" applyAlignment="1" applyProtection="1">
      <alignment horizontal="left" vertical="center"/>
    </xf>
    <xf numFmtId="173" fontId="0" fillId="0" borderId="201" xfId="2" applyNumberFormat="1" applyFont="1" applyFill="1" applyBorder="1" applyAlignment="1" applyProtection="1">
      <alignment horizontal="left" vertical="center"/>
    </xf>
    <xf numFmtId="173" fontId="0" fillId="0" borderId="195" xfId="2" applyNumberFormat="1" applyFont="1" applyFill="1" applyBorder="1" applyAlignment="1" applyProtection="1">
      <alignment horizontal="left" vertical="center"/>
    </xf>
    <xf numFmtId="164" fontId="0" fillId="35" borderId="194" xfId="2" applyNumberFormat="1" applyFont="1" applyFill="1" applyBorder="1" applyAlignment="1" applyProtection="1">
      <alignment vertical="center"/>
    </xf>
    <xf numFmtId="164" fontId="0" fillId="35" borderId="211" xfId="2" applyNumberFormat="1" applyFont="1" applyFill="1" applyBorder="1" applyAlignment="1" applyProtection="1">
      <alignment vertical="center"/>
    </xf>
    <xf numFmtId="164" fontId="0" fillId="35" borderId="213" xfId="2" applyNumberFormat="1" applyFont="1" applyFill="1" applyBorder="1" applyAlignment="1" applyProtection="1">
      <alignment vertical="center"/>
    </xf>
    <xf numFmtId="164" fontId="0" fillId="35" borderId="50" xfId="2" applyNumberFormat="1" applyFont="1" applyFill="1" applyBorder="1" applyAlignment="1" applyProtection="1">
      <alignment vertical="center"/>
    </xf>
    <xf numFmtId="164" fontId="0" fillId="35" borderId="10" xfId="2" applyNumberFormat="1" applyFont="1" applyFill="1" applyBorder="1" applyAlignment="1" applyProtection="1">
      <alignment vertical="center"/>
    </xf>
    <xf numFmtId="164" fontId="0" fillId="35" borderId="52" xfId="2" applyNumberFormat="1" applyFont="1" applyFill="1" applyBorder="1" applyAlignment="1" applyProtection="1">
      <alignment vertical="center"/>
    </xf>
    <xf numFmtId="164" fontId="0" fillId="35" borderId="205" xfId="2" applyNumberFormat="1" applyFont="1" applyFill="1" applyBorder="1" applyAlignment="1" applyProtection="1">
      <alignment vertical="center"/>
    </xf>
    <xf numFmtId="164" fontId="0" fillId="35" borderId="206" xfId="2" applyNumberFormat="1" applyFont="1" applyFill="1" applyBorder="1" applyAlignment="1" applyProtection="1">
      <alignment vertical="center"/>
    </xf>
    <xf numFmtId="164" fontId="0" fillId="35" borderId="203" xfId="2" applyNumberFormat="1" applyFont="1" applyFill="1" applyBorder="1" applyAlignment="1" applyProtection="1">
      <alignment vertical="center"/>
    </xf>
    <xf numFmtId="164" fontId="0" fillId="35" borderId="197" xfId="2" applyNumberFormat="1" applyFont="1" applyFill="1" applyBorder="1" applyAlignment="1" applyProtection="1">
      <alignment vertical="center"/>
    </xf>
    <xf numFmtId="164" fontId="0" fillId="35" borderId="190" xfId="2" applyNumberFormat="1" applyFont="1" applyFill="1" applyBorder="1" applyAlignment="1" applyProtection="1">
      <alignment vertical="center"/>
    </xf>
    <xf numFmtId="164" fontId="0" fillId="35" borderId="209" xfId="2" applyNumberFormat="1" applyFont="1" applyFill="1" applyBorder="1" applyAlignment="1" applyProtection="1">
      <alignment vertical="center"/>
    </xf>
    <xf numFmtId="164" fontId="0" fillId="45" borderId="93" xfId="2" applyNumberFormat="1" applyFont="1" applyFill="1" applyBorder="1" applyAlignment="1" applyProtection="1">
      <alignment vertical="center"/>
    </xf>
    <xf numFmtId="164" fontId="0" fillId="45" borderId="211" xfId="2" applyNumberFormat="1" applyFont="1" applyFill="1" applyBorder="1" applyAlignment="1" applyProtection="1">
      <alignment vertical="center"/>
    </xf>
    <xf numFmtId="164" fontId="0" fillId="45" borderId="212" xfId="2" applyNumberFormat="1" applyFont="1" applyFill="1" applyBorder="1" applyAlignment="1" applyProtection="1">
      <alignment vertical="center"/>
    </xf>
    <xf numFmtId="164" fontId="0" fillId="45" borderId="197" xfId="2" applyNumberFormat="1" applyFont="1" applyFill="1" applyBorder="1" applyAlignment="1" applyProtection="1">
      <alignment vertical="center"/>
    </xf>
    <xf numFmtId="164" fontId="0" fillId="45" borderId="190" xfId="2" applyNumberFormat="1" applyFont="1" applyFill="1" applyBorder="1" applyAlignment="1" applyProtection="1">
      <alignment vertical="center"/>
    </xf>
    <xf numFmtId="164" fontId="0" fillId="45" borderId="209" xfId="2" applyNumberFormat="1" applyFont="1" applyFill="1" applyBorder="1" applyAlignment="1" applyProtection="1">
      <alignment vertical="center"/>
    </xf>
    <xf numFmtId="164" fontId="0" fillId="45" borderId="193" xfId="2" applyNumberFormat="1" applyFont="1" applyFill="1" applyBorder="1" applyAlignment="1" applyProtection="1">
      <alignment vertical="center"/>
    </xf>
    <xf numFmtId="164" fontId="0" fillId="45" borderId="130" xfId="2" applyNumberFormat="1" applyFont="1" applyFill="1" applyBorder="1" applyAlignment="1" applyProtection="1">
      <alignment vertical="center"/>
    </xf>
    <xf numFmtId="164" fontId="0" fillId="45" borderId="207" xfId="2" applyNumberFormat="1" applyFont="1" applyFill="1" applyBorder="1" applyAlignment="1" applyProtection="1">
      <alignment vertical="center"/>
    </xf>
    <xf numFmtId="164" fontId="0" fillId="45" borderId="205" xfId="2" applyNumberFormat="1" applyFont="1" applyFill="1" applyBorder="1" applyAlignment="1" applyProtection="1">
      <alignment vertical="center"/>
    </xf>
    <xf numFmtId="164" fontId="0" fillId="45" borderId="206" xfId="2" applyNumberFormat="1" applyFont="1" applyFill="1" applyBorder="1" applyAlignment="1" applyProtection="1">
      <alignment vertical="center"/>
    </xf>
    <xf numFmtId="164" fontId="0" fillId="45" borderId="203" xfId="2" applyNumberFormat="1" applyFont="1" applyFill="1" applyBorder="1" applyAlignment="1" applyProtection="1">
      <alignment vertical="center"/>
    </xf>
    <xf numFmtId="178" fontId="0" fillId="0" borderId="211" xfId="4" applyNumberFormat="1" applyFont="1" applyBorder="1" applyAlignment="1">
      <alignment horizontal="center" vertical="center"/>
    </xf>
    <xf numFmtId="178" fontId="0" fillId="0" borderId="213" xfId="4" applyNumberFormat="1" applyFont="1" applyBorder="1" applyAlignment="1">
      <alignment horizontal="center" vertical="center"/>
    </xf>
    <xf numFmtId="178" fontId="0" fillId="0" borderId="206" xfId="4" applyNumberFormat="1" applyFont="1" applyBorder="1" applyAlignment="1">
      <alignment horizontal="center" vertical="center"/>
    </xf>
    <xf numFmtId="178" fontId="0" fillId="0" borderId="203" xfId="4" applyNumberFormat="1" applyFont="1" applyBorder="1" applyAlignment="1">
      <alignment horizontal="center" vertical="center"/>
    </xf>
    <xf numFmtId="178" fontId="0" fillId="0" borderId="190" xfId="4" applyNumberFormat="1" applyFont="1" applyBorder="1" applyAlignment="1">
      <alignment horizontal="center" vertical="center"/>
    </xf>
    <xf numFmtId="178" fontId="0" fillId="0" borderId="209" xfId="4" applyNumberFormat="1" applyFont="1" applyBorder="1" applyAlignment="1">
      <alignment horizontal="center" vertical="center"/>
    </xf>
    <xf numFmtId="164" fontId="0" fillId="35" borderId="137" xfId="2" applyNumberFormat="1" applyFont="1" applyFill="1" applyBorder="1" applyAlignment="1" applyProtection="1">
      <alignment vertical="center"/>
    </xf>
    <xf numFmtId="164" fontId="0" fillId="35" borderId="56" xfId="2" applyNumberFormat="1" applyFont="1" applyFill="1" applyBorder="1" applyAlignment="1" applyProtection="1">
      <alignment vertical="center"/>
    </xf>
    <xf numFmtId="164" fontId="0" fillId="0" borderId="137" xfId="2" applyNumberFormat="1" applyFont="1" applyFill="1" applyBorder="1" applyAlignment="1" applyProtection="1">
      <alignment vertical="center"/>
    </xf>
    <xf numFmtId="164" fontId="0" fillId="0" borderId="193" xfId="2" applyNumberFormat="1" applyFont="1" applyFill="1" applyBorder="1" applyAlignment="1" applyProtection="1">
      <alignment vertical="center"/>
    </xf>
    <xf numFmtId="164" fontId="0" fillId="0" borderId="130" xfId="2" applyNumberFormat="1" applyFont="1" applyFill="1" applyBorder="1" applyAlignment="1" applyProtection="1">
      <alignment vertical="center"/>
    </xf>
    <xf numFmtId="164" fontId="0" fillId="0" borderId="207" xfId="2" applyNumberFormat="1" applyFont="1" applyFill="1" applyBorder="1" applyAlignment="1" applyProtection="1">
      <alignment vertical="center"/>
    </xf>
    <xf numFmtId="178" fontId="0" fillId="0" borderId="189" xfId="4" applyNumberFormat="1" applyFont="1" applyBorder="1" applyAlignment="1">
      <alignment horizontal="center" vertical="center"/>
    </xf>
    <xf numFmtId="164" fontId="0" fillId="0" borderId="197" xfId="2" applyNumberFormat="1" applyFont="1" applyFill="1" applyBorder="1" applyAlignment="1" applyProtection="1">
      <alignment vertical="center"/>
    </xf>
    <xf numFmtId="164" fontId="0" fillId="0" borderId="190" xfId="2" applyNumberFormat="1" applyFont="1" applyFill="1" applyBorder="1" applyAlignment="1" applyProtection="1">
      <alignment vertical="center"/>
    </xf>
    <xf numFmtId="164" fontId="0" fillId="0" borderId="209" xfId="2" applyNumberFormat="1" applyFont="1" applyFill="1" applyBorder="1" applyAlignment="1" applyProtection="1">
      <alignment vertical="center"/>
    </xf>
    <xf numFmtId="178" fontId="0" fillId="0" borderId="200" xfId="4" applyNumberFormat="1" applyFont="1" applyBorder="1" applyAlignment="1">
      <alignment horizontal="center" vertical="center"/>
    </xf>
    <xf numFmtId="173" fontId="5" fillId="0" borderId="202" xfId="2" applyNumberFormat="1" applyFont="1" applyFill="1" applyBorder="1" applyAlignment="1" applyProtection="1">
      <alignment horizontal="left" vertical="center"/>
    </xf>
    <xf numFmtId="173" fontId="0" fillId="0" borderId="202" xfId="2" applyNumberFormat="1" applyFont="1" applyFill="1" applyBorder="1" applyAlignment="1" applyProtection="1">
      <alignment horizontal="right" vertical="center"/>
    </xf>
    <xf numFmtId="164" fontId="0" fillId="46" borderId="197" xfId="2" applyNumberFormat="1" applyFont="1" applyFill="1" applyBorder="1" applyAlignment="1" applyProtection="1">
      <alignment vertical="center"/>
    </xf>
    <xf numFmtId="164" fontId="0" fillId="47" borderId="200" xfId="2" applyNumberFormat="1" applyFont="1" applyFill="1" applyBorder="1" applyAlignment="1" applyProtection="1">
      <alignment vertical="center"/>
    </xf>
    <xf numFmtId="164" fontId="0" fillId="45" borderId="192" xfId="2" applyNumberFormat="1" applyFont="1" applyFill="1" applyBorder="1" applyAlignment="1" applyProtection="1">
      <alignment vertical="center"/>
    </xf>
    <xf numFmtId="164" fontId="0" fillId="1" borderId="197" xfId="2" applyNumberFormat="1" applyFont="1" applyFill="1" applyBorder="1" applyAlignment="1" applyProtection="1">
      <alignment vertical="center"/>
    </xf>
    <xf numFmtId="178" fontId="0" fillId="1" borderId="200" xfId="4" applyNumberFormat="1" applyFont="1" applyFill="1" applyBorder="1" applyAlignment="1">
      <alignment horizontal="center" vertical="center"/>
    </xf>
    <xf numFmtId="178" fontId="0" fillId="1" borderId="190" xfId="4" applyNumberFormat="1" applyFont="1" applyFill="1" applyBorder="1" applyAlignment="1">
      <alignment horizontal="center" vertical="center"/>
    </xf>
    <xf numFmtId="178" fontId="0" fillId="1" borderId="209" xfId="4" applyNumberFormat="1" applyFont="1" applyFill="1" applyBorder="1" applyAlignment="1">
      <alignment horizontal="center" vertical="center"/>
    </xf>
    <xf numFmtId="173" fontId="0" fillId="0" borderId="214" xfId="2" applyNumberFormat="1" applyFont="1" applyFill="1" applyBorder="1" applyAlignment="1" applyProtection="1">
      <alignment horizontal="right" vertical="center"/>
    </xf>
    <xf numFmtId="164" fontId="0" fillId="47" borderId="199" xfId="2" applyNumberFormat="1" applyFont="1" applyFill="1" applyBorder="1" applyAlignment="1" applyProtection="1">
      <alignment vertical="center"/>
    </xf>
    <xf numFmtId="164" fontId="0" fillId="45" borderId="10" xfId="2" applyNumberFormat="1" applyFont="1" applyFill="1" applyBorder="1" applyAlignment="1" applyProtection="1">
      <alignment vertical="center"/>
    </xf>
    <xf numFmtId="164" fontId="0" fillId="45" borderId="204" xfId="2" applyNumberFormat="1" applyFont="1" applyFill="1" applyBorder="1" applyAlignment="1" applyProtection="1">
      <alignment vertical="center"/>
    </xf>
    <xf numFmtId="178" fontId="0" fillId="1" borderId="199" xfId="4" applyNumberFormat="1" applyFont="1" applyFill="1" applyBorder="1" applyAlignment="1">
      <alignment horizontal="center" vertical="center"/>
    </xf>
    <xf numFmtId="178" fontId="0" fillId="1" borderId="10" xfId="4" applyNumberFormat="1" applyFont="1" applyFill="1" applyBorder="1" applyAlignment="1">
      <alignment horizontal="center" vertical="center"/>
    </xf>
    <xf numFmtId="178" fontId="0" fillId="1" borderId="52" xfId="4" applyNumberFormat="1" applyFont="1" applyFill="1" applyBorder="1" applyAlignment="1">
      <alignment horizontal="center" vertical="center"/>
    </xf>
    <xf numFmtId="173" fontId="0" fillId="0" borderId="0" xfId="2" applyNumberFormat="1" applyFont="1" applyFill="1" applyBorder="1" applyAlignment="1" applyProtection="1">
      <alignment horizontal="left" vertical="center"/>
    </xf>
    <xf numFmtId="164" fontId="0" fillId="46" borderId="193" xfId="2" applyNumberFormat="1" applyFont="1" applyFill="1" applyBorder="1" applyAlignment="1" applyProtection="1">
      <alignment vertical="center"/>
    </xf>
    <xf numFmtId="164" fontId="0" fillId="35" borderId="207" xfId="2" applyNumberFormat="1" applyFont="1" applyFill="1" applyBorder="1" applyAlignment="1" applyProtection="1">
      <alignment vertical="center"/>
    </xf>
    <xf numFmtId="164" fontId="0" fillId="47" borderId="189" xfId="2" applyNumberFormat="1" applyFont="1" applyFill="1" applyBorder="1" applyAlignment="1" applyProtection="1">
      <alignment vertical="center"/>
    </xf>
    <xf numFmtId="164" fontId="0" fillId="45" borderId="132" xfId="2" applyNumberFormat="1" applyFont="1" applyFill="1" applyBorder="1" applyAlignment="1" applyProtection="1">
      <alignment vertical="center"/>
    </xf>
    <xf numFmtId="164" fontId="0" fillId="1" borderId="193" xfId="2" applyNumberFormat="1" applyFont="1" applyFill="1" applyBorder="1" applyAlignment="1" applyProtection="1">
      <alignment vertical="center"/>
    </xf>
    <xf numFmtId="164" fontId="0" fillId="35" borderId="54" xfId="2" applyNumberFormat="1" applyFont="1" applyFill="1" applyBorder="1" applyAlignment="1" applyProtection="1">
      <alignment vertical="center"/>
    </xf>
    <xf numFmtId="164" fontId="0" fillId="1" borderId="94" xfId="2" applyNumberFormat="1" applyFont="1" applyFill="1" applyBorder="1" applyAlignment="1" applyProtection="1">
      <alignment vertical="center"/>
    </xf>
    <xf numFmtId="164" fontId="0" fillId="0" borderId="112" xfId="2" applyNumberFormat="1" applyFont="1" applyFill="1" applyBorder="1" applyAlignment="1" applyProtection="1">
      <alignment vertical="center"/>
    </xf>
    <xf numFmtId="164" fontId="0" fillId="0" borderId="96" xfId="2" applyNumberFormat="1" applyFont="1" applyFill="1" applyBorder="1" applyAlignment="1" applyProtection="1">
      <alignment vertical="center"/>
    </xf>
    <xf numFmtId="164" fontId="0" fillId="35" borderId="189" xfId="2" applyNumberFormat="1" applyFont="1" applyFill="1" applyBorder="1" applyAlignment="1" applyProtection="1">
      <alignment vertical="center"/>
    </xf>
    <xf numFmtId="173" fontId="0" fillId="0" borderId="215" xfId="2" applyNumberFormat="1" applyFont="1" applyFill="1" applyBorder="1" applyAlignment="1" applyProtection="1">
      <alignment horizontal="left" vertical="center"/>
    </xf>
    <xf numFmtId="173" fontId="0" fillId="0" borderId="198" xfId="2" applyNumberFormat="1" applyFont="1" applyFill="1" applyBorder="1" applyAlignment="1" applyProtection="1">
      <alignment horizontal="left" vertical="center"/>
    </xf>
    <xf numFmtId="173" fontId="5" fillId="0" borderId="198" xfId="2" applyNumberFormat="1" applyFont="1" applyFill="1" applyBorder="1" applyAlignment="1" applyProtection="1">
      <alignment horizontal="left" vertical="center"/>
    </xf>
    <xf numFmtId="173" fontId="0" fillId="0" borderId="198" xfId="2" applyNumberFormat="1" applyFont="1" applyFill="1" applyBorder="1" applyAlignment="1" applyProtection="1">
      <alignment horizontal="right" vertical="center"/>
    </xf>
    <xf numFmtId="173" fontId="0" fillId="0" borderId="64" xfId="2" applyNumberFormat="1" applyFont="1" applyFill="1" applyBorder="1" applyAlignment="1" applyProtection="1">
      <alignment horizontal="right" vertical="center"/>
    </xf>
    <xf numFmtId="164" fontId="0" fillId="46" borderId="205" xfId="2" applyNumberFormat="1" applyFont="1" applyFill="1" applyBorder="1" applyAlignment="1" applyProtection="1">
      <alignment vertical="center"/>
    </xf>
    <xf numFmtId="164" fontId="0" fillId="35" borderId="193" xfId="2" applyNumberFormat="1" applyFont="1" applyFill="1" applyBorder="1" applyAlignment="1" applyProtection="1">
      <alignment vertical="center"/>
    </xf>
    <xf numFmtId="164" fontId="0" fillId="35" borderId="132" xfId="2" applyNumberFormat="1" applyFont="1" applyFill="1" applyBorder="1" applyAlignment="1" applyProtection="1">
      <alignment vertical="center"/>
    </xf>
    <xf numFmtId="164" fontId="0" fillId="35" borderId="192" xfId="2" applyNumberFormat="1" applyFont="1" applyFill="1" applyBorder="1" applyAlignment="1" applyProtection="1">
      <alignment vertical="center"/>
    </xf>
    <xf numFmtId="164" fontId="0" fillId="35" borderId="204" xfId="2" applyNumberFormat="1" applyFont="1" applyFill="1" applyBorder="1" applyAlignment="1" applyProtection="1">
      <alignment vertical="center"/>
    </xf>
    <xf numFmtId="164" fontId="0" fillId="0" borderId="141" xfId="2" applyNumberFormat="1" applyFont="1" applyFill="1" applyBorder="1" applyAlignment="1" applyProtection="1">
      <alignment vertical="center"/>
    </xf>
    <xf numFmtId="164" fontId="0" fillId="0" borderId="200" xfId="2" applyNumberFormat="1" applyFont="1" applyFill="1" applyBorder="1" applyAlignment="1" applyProtection="1">
      <alignment vertical="center"/>
    </xf>
    <xf numFmtId="164" fontId="0" fillId="1" borderId="200" xfId="2" applyNumberFormat="1" applyFont="1" applyFill="1" applyBorder="1" applyAlignment="1" applyProtection="1">
      <alignment vertical="center"/>
    </xf>
    <xf numFmtId="164" fontId="0" fillId="47" borderId="118" xfId="2" applyNumberFormat="1" applyFont="1" applyFill="1" applyBorder="1" applyAlignment="1" applyProtection="1">
      <alignment vertical="center"/>
    </xf>
    <xf numFmtId="164" fontId="0" fillId="45" borderId="208" xfId="2" applyNumberFormat="1" applyFont="1" applyFill="1" applyBorder="1" applyAlignment="1" applyProtection="1">
      <alignment vertical="center"/>
    </xf>
    <xf numFmtId="164" fontId="0" fillId="47" borderId="197" xfId="2" applyNumberFormat="1" applyFont="1" applyFill="1" applyBorder="1" applyAlignment="1" applyProtection="1">
      <alignment vertical="center"/>
    </xf>
    <xf numFmtId="164" fontId="0" fillId="47" borderId="50" xfId="2" applyNumberFormat="1" applyFont="1" applyFill="1" applyBorder="1" applyAlignment="1" applyProtection="1">
      <alignment vertical="center"/>
    </xf>
    <xf numFmtId="164" fontId="0" fillId="45" borderId="52" xfId="2" applyNumberFormat="1" applyFont="1" applyFill="1" applyBorder="1" applyAlignment="1" applyProtection="1">
      <alignment vertical="center"/>
    </xf>
    <xf numFmtId="164" fontId="0" fillId="0" borderId="142" xfId="2" applyNumberFormat="1" applyFont="1" applyFill="1" applyBorder="1" applyAlignment="1" applyProtection="1">
      <alignment vertical="center"/>
    </xf>
    <xf numFmtId="164" fontId="0" fillId="0" borderId="192" xfId="2" applyNumberFormat="1" applyFont="1" applyFill="1" applyBorder="1" applyAlignment="1" applyProtection="1">
      <alignment vertical="center"/>
    </xf>
    <xf numFmtId="178" fontId="0" fillId="0" borderId="120" xfId="4" applyNumberFormat="1" applyFont="1" applyBorder="1" applyAlignment="1">
      <alignment horizontal="center" vertical="center"/>
    </xf>
    <xf numFmtId="178" fontId="0" fillId="0" borderId="193" xfId="4" applyNumberFormat="1" applyFont="1" applyBorder="1" applyAlignment="1">
      <alignment horizontal="center" vertical="center"/>
    </xf>
    <xf numFmtId="178" fontId="0" fillId="0" borderId="130" xfId="4" applyNumberFormat="1" applyFont="1" applyBorder="1" applyAlignment="1">
      <alignment horizontal="center" vertical="center"/>
    </xf>
    <xf numFmtId="178" fontId="0" fillId="0" borderId="207" xfId="4" applyNumberFormat="1" applyFont="1" applyBorder="1" applyAlignment="1">
      <alignment horizontal="center" vertical="center"/>
    </xf>
    <xf numFmtId="178" fontId="0" fillId="0" borderId="197" xfId="4" applyNumberFormat="1" applyFont="1" applyBorder="1" applyAlignment="1">
      <alignment horizontal="center" vertical="center"/>
    </xf>
    <xf numFmtId="178" fontId="0" fillId="1" borderId="197" xfId="4" applyNumberFormat="1" applyFont="1" applyFill="1" applyBorder="1" applyAlignment="1">
      <alignment horizontal="center" vertical="center"/>
    </xf>
    <xf numFmtId="178" fontId="0" fillId="1" borderId="50" xfId="4" applyNumberFormat="1" applyFont="1" applyFill="1" applyBorder="1" applyAlignment="1">
      <alignment horizontal="center" vertical="center"/>
    </xf>
    <xf numFmtId="0" fontId="0" fillId="2" borderId="197" xfId="0" applyFill="1" applyBorder="1" applyAlignment="1" applyProtection="1">
      <alignment horizontal="left" vertical="center"/>
      <protection locked="0"/>
    </xf>
    <xf numFmtId="0" fontId="0" fillId="2" borderId="204" xfId="0" applyFill="1" applyBorder="1" applyAlignment="1" applyProtection="1">
      <alignment horizontal="left" vertical="center"/>
      <protection locked="0"/>
    </xf>
    <xf numFmtId="164" fontId="5" fillId="13" borderId="217" xfId="0" applyNumberFormat="1" applyFont="1" applyFill="1" applyBorder="1" applyAlignment="1">
      <alignment horizontal="center" vertical="center" wrapText="1"/>
    </xf>
    <xf numFmtId="164" fontId="5" fillId="13" borderId="218" xfId="0" applyNumberFormat="1" applyFont="1" applyFill="1" applyBorder="1" applyAlignment="1">
      <alignment horizontal="center" vertical="center" wrapText="1"/>
    </xf>
    <xf numFmtId="0" fontId="5" fillId="7" borderId="219" xfId="0" applyFont="1" applyFill="1" applyBorder="1" applyAlignment="1">
      <alignment horizontal="center" vertical="center" wrapText="1"/>
    </xf>
    <xf numFmtId="0" fontId="5" fillId="7" borderId="217" xfId="0" applyFont="1" applyFill="1" applyBorder="1" applyAlignment="1">
      <alignment horizontal="center" vertical="center" wrapText="1"/>
    </xf>
    <xf numFmtId="0" fontId="5" fillId="7" borderId="220" xfId="0" applyFont="1" applyFill="1" applyBorder="1" applyAlignment="1">
      <alignment horizontal="center" vertical="center" wrapText="1"/>
    </xf>
    <xf numFmtId="0" fontId="5" fillId="3" borderId="216" xfId="0" applyFont="1" applyFill="1" applyBorder="1" applyAlignment="1">
      <alignment horizontal="center" vertical="center"/>
    </xf>
    <xf numFmtId="0" fontId="5" fillId="3" borderId="217" xfId="0" applyFont="1" applyFill="1" applyBorder="1" applyAlignment="1">
      <alignment horizontal="center" vertical="center"/>
    </xf>
    <xf numFmtId="0" fontId="5" fillId="7" borderId="218" xfId="0" applyFont="1" applyFill="1" applyBorder="1" applyAlignment="1">
      <alignment horizontal="center" vertical="center" wrapText="1"/>
    </xf>
    <xf numFmtId="179" fontId="1" fillId="45" borderId="190" xfId="4" applyNumberFormat="1" applyFill="1" applyBorder="1" applyAlignment="1" applyProtection="1">
      <alignment horizontal="center" vertical="center"/>
    </xf>
    <xf numFmtId="164" fontId="0" fillId="2" borderId="190" xfId="2" applyNumberFormat="1" applyFont="1" applyFill="1" applyBorder="1" applyAlignment="1" applyProtection="1">
      <alignment vertical="center"/>
      <protection locked="0"/>
    </xf>
    <xf numFmtId="164" fontId="0" fillId="35" borderId="200" xfId="2" applyNumberFormat="1" applyFont="1" applyFill="1" applyBorder="1" applyAlignment="1" applyProtection="1">
      <alignment vertical="center"/>
    </xf>
    <xf numFmtId="173" fontId="0" fillId="0" borderId="188" xfId="2" applyNumberFormat="1" applyFont="1" applyFill="1" applyBorder="1" applyAlignment="1" applyProtection="1">
      <alignment horizontal="left" vertical="center"/>
    </xf>
    <xf numFmtId="173" fontId="0" fillId="0" borderId="196" xfId="2" applyNumberFormat="1" applyFont="1" applyFill="1" applyBorder="1" applyAlignment="1" applyProtection="1">
      <alignment horizontal="left" vertical="center"/>
    </xf>
    <xf numFmtId="173" fontId="5" fillId="0" borderId="196" xfId="2" applyNumberFormat="1" applyFont="1" applyFill="1" applyBorder="1" applyAlignment="1" applyProtection="1">
      <alignment horizontal="left" vertical="center"/>
    </xf>
    <xf numFmtId="173" fontId="0" fillId="0" borderId="196" xfId="2" applyNumberFormat="1" applyFont="1" applyFill="1" applyBorder="1" applyAlignment="1" applyProtection="1">
      <alignment horizontal="right" vertical="center"/>
    </xf>
    <xf numFmtId="173" fontId="0" fillId="0" borderId="221" xfId="2" applyNumberFormat="1" applyFont="1" applyFill="1" applyBorder="1" applyAlignment="1" applyProtection="1">
      <alignment horizontal="right" vertical="center"/>
    </xf>
    <xf numFmtId="179" fontId="1" fillId="45" borderId="200" xfId="4" applyNumberFormat="1" applyFill="1" applyBorder="1" applyAlignment="1" applyProtection="1">
      <alignment horizontal="center" vertical="center"/>
    </xf>
    <xf numFmtId="164" fontId="0" fillId="35" borderId="199" xfId="2" applyNumberFormat="1" applyFont="1" applyFill="1" applyBorder="1" applyAlignment="1" applyProtection="1">
      <alignment vertical="center"/>
    </xf>
    <xf numFmtId="179" fontId="1" fillId="45" borderId="189" xfId="4" applyNumberFormat="1" applyFill="1" applyBorder="1" applyAlignment="1" applyProtection="1">
      <alignment horizontal="center" vertical="center"/>
    </xf>
    <xf numFmtId="179" fontId="1" fillId="45" borderId="207" xfId="4" applyNumberFormat="1" applyFill="1" applyBorder="1" applyAlignment="1" applyProtection="1">
      <alignment horizontal="center" vertical="center"/>
    </xf>
    <xf numFmtId="179" fontId="1" fillId="45" borderId="209" xfId="4" applyNumberFormat="1" applyFill="1" applyBorder="1" applyAlignment="1" applyProtection="1">
      <alignment horizontal="center" vertical="center"/>
    </xf>
    <xf numFmtId="179" fontId="1" fillId="45" borderId="199" xfId="4" applyNumberFormat="1" applyFill="1" applyBorder="1" applyAlignment="1" applyProtection="1">
      <alignment horizontal="center" vertical="center"/>
    </xf>
    <xf numFmtId="164" fontId="0" fillId="2" borderId="207" xfId="2" applyNumberFormat="1" applyFont="1" applyFill="1" applyBorder="1" applyAlignment="1" applyProtection="1">
      <alignment vertical="center"/>
      <protection locked="0"/>
    </xf>
    <xf numFmtId="164" fontId="0" fillId="2" borderId="209" xfId="2" applyNumberFormat="1" applyFont="1" applyFill="1" applyBorder="1" applyAlignment="1" applyProtection="1">
      <alignment vertical="center"/>
      <protection locked="0"/>
    </xf>
    <xf numFmtId="164" fontId="0" fillId="2" borderId="52" xfId="2" applyNumberFormat="1" applyFont="1" applyFill="1" applyBorder="1" applyAlignment="1" applyProtection="1">
      <alignment vertical="center"/>
      <protection locked="0"/>
    </xf>
    <xf numFmtId="164" fontId="0" fillId="35" borderId="188" xfId="2" applyNumberFormat="1" applyFont="1" applyFill="1" applyBorder="1" applyAlignment="1" applyProtection="1">
      <alignment vertical="center"/>
    </xf>
    <xf numFmtId="164" fontId="0" fillId="35" borderId="196" xfId="2" applyNumberFormat="1" applyFont="1" applyFill="1" applyBorder="1" applyAlignment="1" applyProtection="1">
      <alignment vertical="center"/>
    </xf>
    <xf numFmtId="164" fontId="0" fillId="33" borderId="196" xfId="2" applyNumberFormat="1" applyFont="1" applyFill="1" applyBorder="1" applyAlignment="1" applyProtection="1">
      <alignment vertical="center"/>
    </xf>
    <xf numFmtId="164" fontId="0" fillId="35" borderId="221" xfId="2" applyNumberFormat="1" applyFont="1" applyFill="1" applyBorder="1" applyAlignment="1" applyProtection="1">
      <alignment vertical="center"/>
    </xf>
    <xf numFmtId="173" fontId="0" fillId="0" borderId="222" xfId="2" applyNumberFormat="1" applyFont="1" applyFill="1" applyBorder="1" applyAlignment="1" applyProtection="1">
      <alignment horizontal="left" vertical="center"/>
    </xf>
    <xf numFmtId="173" fontId="5" fillId="0" borderId="223" xfId="2" applyNumberFormat="1" applyFont="1" applyFill="1" applyBorder="1" applyAlignment="1" applyProtection="1">
      <alignment horizontal="left" vertical="center"/>
    </xf>
    <xf numFmtId="173" fontId="0" fillId="0" borderId="223" xfId="2" applyNumberFormat="1" applyFont="1" applyFill="1" applyBorder="1" applyAlignment="1" applyProtection="1">
      <alignment horizontal="right" vertical="center"/>
    </xf>
    <xf numFmtId="173" fontId="0" fillId="0" borderId="224" xfId="2" applyNumberFormat="1" applyFont="1" applyFill="1" applyBorder="1" applyAlignment="1" applyProtection="1">
      <alignment horizontal="right" vertical="center"/>
    </xf>
    <xf numFmtId="173" fontId="0" fillId="0" borderId="71" xfId="2" applyNumberFormat="1" applyFont="1" applyFill="1" applyBorder="1" applyAlignment="1" applyProtection="1">
      <alignment horizontal="left" vertical="center"/>
    </xf>
    <xf numFmtId="164" fontId="0" fillId="35" borderId="67" xfId="2" applyNumberFormat="1" applyFont="1" applyFill="1" applyBorder="1" applyAlignment="1" applyProtection="1">
      <alignment vertical="center"/>
    </xf>
    <xf numFmtId="0" fontId="0" fillId="2" borderId="93" xfId="0" applyFill="1" applyBorder="1" applyAlignment="1" applyProtection="1">
      <alignment horizontal="left" vertical="center"/>
      <protection locked="0"/>
    </xf>
    <xf numFmtId="0" fontId="0" fillId="2" borderId="211" xfId="0" applyFill="1" applyBorder="1" applyAlignment="1" applyProtection="1">
      <alignment horizontal="left" vertical="center"/>
      <protection locked="0"/>
    </xf>
    <xf numFmtId="167" fontId="7" fillId="0" borderId="0" xfId="2" applyNumberFormat="1" applyFont="1" applyFill="1" applyBorder="1" applyAlignment="1" applyProtection="1">
      <alignment vertical="center"/>
    </xf>
    <xf numFmtId="0" fontId="0" fillId="2" borderId="226" xfId="0" applyFill="1" applyBorder="1" applyAlignment="1" applyProtection="1">
      <alignment horizontal="left" vertical="center"/>
      <protection locked="0"/>
    </xf>
    <xf numFmtId="0" fontId="0" fillId="2" borderId="228" xfId="0" applyFill="1" applyBorder="1" applyAlignment="1" applyProtection="1">
      <alignment horizontal="left" vertical="center"/>
      <protection locked="0"/>
    </xf>
    <xf numFmtId="167" fontId="0" fillId="2" borderId="228" xfId="2" applyNumberFormat="1" applyFont="1" applyFill="1" applyBorder="1" applyAlignment="1" applyProtection="1">
      <alignment vertical="center"/>
      <protection locked="0"/>
    </xf>
    <xf numFmtId="167" fontId="0" fillId="2" borderId="209" xfId="2" applyNumberFormat="1" applyFont="1" applyFill="1" applyBorder="1" applyAlignment="1" applyProtection="1">
      <alignment vertical="center"/>
      <protection locked="0"/>
    </xf>
    <xf numFmtId="167" fontId="0" fillId="2" borderId="229" xfId="2" applyNumberFormat="1" applyFont="1" applyFill="1" applyBorder="1" applyAlignment="1" applyProtection="1">
      <alignment vertical="center"/>
      <protection locked="0"/>
    </xf>
    <xf numFmtId="42" fontId="0" fillId="22" borderId="0" xfId="0" applyNumberFormat="1" applyFill="1"/>
    <xf numFmtId="1" fontId="0" fillId="0" borderId="0" xfId="0" applyNumberFormat="1"/>
    <xf numFmtId="1" fontId="0" fillId="22" borderId="0" xfId="0" applyNumberFormat="1" applyFill="1"/>
    <xf numFmtId="164" fontId="0" fillId="0" borderId="0" xfId="2" applyNumberFormat="1" applyFont="1" applyFill="1" applyBorder="1" applyAlignment="1">
      <alignment vertical="center"/>
    </xf>
    <xf numFmtId="0" fontId="5" fillId="3" borderId="230" xfId="0" applyFont="1" applyFill="1" applyBorder="1" applyAlignment="1">
      <alignment horizontal="center" vertical="center" wrapText="1"/>
    </xf>
    <xf numFmtId="164" fontId="5" fillId="0" borderId="223" xfId="2" applyNumberFormat="1" applyFont="1" applyFill="1" applyBorder="1" applyAlignment="1" applyProtection="1">
      <alignment vertical="center"/>
    </xf>
    <xf numFmtId="9" fontId="1" fillId="0" borderId="231" xfId="4" applyBorder="1" applyAlignment="1" applyProtection="1">
      <alignment horizontal="center"/>
    </xf>
    <xf numFmtId="164" fontId="5" fillId="2" borderId="232" xfId="0" applyNumberFormat="1" applyFont="1" applyFill="1" applyBorder="1" applyAlignment="1">
      <alignment horizontal="center" vertical="center"/>
    </xf>
    <xf numFmtId="0" fontId="5" fillId="3" borderId="233" xfId="0" applyFont="1" applyFill="1" applyBorder="1" applyAlignment="1">
      <alignment horizontal="center" vertical="center" wrapText="1"/>
    </xf>
    <xf numFmtId="0" fontId="9" fillId="5" borderId="234" xfId="0" applyFont="1" applyFill="1" applyBorder="1" applyAlignment="1">
      <alignment horizontal="center" vertical="center" wrapText="1"/>
    </xf>
    <xf numFmtId="0" fontId="9" fillId="6" borderId="130" xfId="0" applyFont="1" applyFill="1" applyBorder="1" applyAlignment="1">
      <alignment horizontal="center" vertical="center" wrapText="1"/>
    </xf>
    <xf numFmtId="0" fontId="9" fillId="6" borderId="230" xfId="0" applyFont="1" applyFill="1" applyBorder="1" applyAlignment="1">
      <alignment horizontal="center" vertical="center" wrapText="1"/>
    </xf>
    <xf numFmtId="0" fontId="5" fillId="2" borderId="130" xfId="0" applyFont="1" applyFill="1" applyBorder="1" applyAlignment="1">
      <alignment horizontal="center" vertical="center"/>
    </xf>
    <xf numFmtId="0" fontId="5" fillId="0" borderId="235" xfId="0" applyFont="1" applyBorder="1" applyAlignment="1">
      <alignment horizontal="left" vertical="center"/>
    </xf>
    <xf numFmtId="164" fontId="0" fillId="8" borderId="190" xfId="2" applyNumberFormat="1" applyFont="1" applyFill="1" applyBorder="1" applyAlignment="1" applyProtection="1">
      <alignment vertical="center"/>
    </xf>
    <xf numFmtId="164" fontId="5" fillId="8" borderId="190" xfId="2" applyNumberFormat="1" applyFont="1" applyFill="1" applyBorder="1" applyAlignment="1" applyProtection="1">
      <alignment vertical="center"/>
    </xf>
    <xf numFmtId="164" fontId="0" fillId="9" borderId="236" xfId="2" applyNumberFormat="1" applyFont="1" applyFill="1" applyBorder="1" applyAlignment="1" applyProtection="1">
      <alignment vertical="center"/>
    </xf>
    <xf numFmtId="164" fontId="0" fillId="9" borderId="190" xfId="2" applyNumberFormat="1" applyFont="1" applyFill="1" applyBorder="1" applyAlignment="1" applyProtection="1">
      <alignment vertical="center"/>
    </xf>
    <xf numFmtId="164" fontId="0" fillId="9" borderId="223" xfId="2" applyNumberFormat="1" applyFont="1" applyFill="1" applyBorder="1" applyAlignment="1" applyProtection="1">
      <alignment vertical="center"/>
    </xf>
    <xf numFmtId="164" fontId="5" fillId="9" borderId="190" xfId="2" applyNumberFormat="1" applyFont="1" applyFill="1" applyBorder="1" applyAlignment="1" applyProtection="1">
      <alignment vertical="center"/>
    </xf>
    <xf numFmtId="164" fontId="5" fillId="2" borderId="190" xfId="0" applyNumberFormat="1" applyFont="1" applyFill="1" applyBorder="1" applyAlignment="1">
      <alignment horizontal="center" vertical="center"/>
    </xf>
    <xf numFmtId="164" fontId="0" fillId="9" borderId="237" xfId="2" applyNumberFormat="1" applyFont="1" applyFill="1" applyBorder="1" applyAlignment="1" applyProtection="1">
      <alignment vertical="center"/>
    </xf>
    <xf numFmtId="164" fontId="5" fillId="9" borderId="232" xfId="2" applyNumberFormat="1" applyFont="1" applyFill="1" applyBorder="1" applyAlignment="1" applyProtection="1">
      <alignment vertical="center"/>
    </xf>
    <xf numFmtId="0" fontId="5" fillId="0" borderId="238" xfId="0" applyFont="1" applyBorder="1" applyAlignment="1">
      <alignment horizontal="left" vertical="center"/>
    </xf>
    <xf numFmtId="164" fontId="0" fillId="8" borderId="232" xfId="2" applyNumberFormat="1" applyFont="1" applyFill="1" applyBorder="1" applyAlignment="1" applyProtection="1">
      <alignment vertical="center"/>
    </xf>
    <xf numFmtId="164" fontId="0" fillId="10" borderId="232" xfId="2" applyNumberFormat="1" applyFont="1" applyFill="1" applyBorder="1" applyAlignment="1" applyProtection="1">
      <alignment vertical="center"/>
    </xf>
    <xf numFmtId="164" fontId="5" fillId="8" borderId="232" xfId="2" applyNumberFormat="1" applyFont="1" applyFill="1" applyBorder="1" applyAlignment="1" applyProtection="1">
      <alignment vertical="center"/>
    </xf>
    <xf numFmtId="164" fontId="0" fillId="9" borderId="239" xfId="2" applyNumberFormat="1" applyFont="1" applyFill="1" applyBorder="1" applyAlignment="1" applyProtection="1">
      <alignment vertical="center"/>
    </xf>
    <xf numFmtId="0" fontId="5" fillId="3" borderId="240" xfId="0" applyFont="1" applyFill="1" applyBorder="1" applyAlignment="1">
      <alignment horizontal="center" vertical="center"/>
    </xf>
    <xf numFmtId="164" fontId="5" fillId="3" borderId="228" xfId="2" applyNumberFormat="1" applyFont="1" applyFill="1" applyBorder="1" applyAlignment="1" applyProtection="1">
      <alignment vertical="center"/>
    </xf>
    <xf numFmtId="164" fontId="5" fillId="3" borderId="241" xfId="2" applyNumberFormat="1" applyFont="1" applyFill="1" applyBorder="1" applyAlignment="1" applyProtection="1">
      <alignment vertical="center"/>
    </xf>
    <xf numFmtId="9" fontId="5" fillId="7" borderId="242" xfId="4" applyFont="1" applyFill="1" applyBorder="1" applyAlignment="1" applyProtection="1">
      <alignment horizontal="center" vertical="center"/>
    </xf>
    <xf numFmtId="167" fontId="0" fillId="54" borderId="67" xfId="2" applyNumberFormat="1" applyFont="1" applyFill="1" applyBorder="1" applyAlignment="1" applyProtection="1">
      <alignment vertical="center"/>
      <protection hidden="1"/>
    </xf>
    <xf numFmtId="167" fontId="0" fillId="54" borderId="68" xfId="2" applyNumberFormat="1" applyFont="1" applyFill="1" applyBorder="1" applyAlignment="1" applyProtection="1">
      <alignment vertical="center"/>
      <protection hidden="1"/>
    </xf>
    <xf numFmtId="167" fontId="0" fillId="54" borderId="69" xfId="2" applyNumberFormat="1" applyFont="1" applyFill="1" applyBorder="1" applyAlignment="1" applyProtection="1">
      <alignment vertical="center"/>
      <protection hidden="1"/>
    </xf>
    <xf numFmtId="0" fontId="0" fillId="22" borderId="243" xfId="0" applyFill="1" applyBorder="1" applyAlignment="1">
      <alignment vertical="center"/>
    </xf>
    <xf numFmtId="167" fontId="0" fillId="1" borderId="225" xfId="2" applyNumberFormat="1" applyFont="1" applyFill="1" applyBorder="1" applyAlignment="1" applyProtection="1">
      <alignment vertical="center"/>
      <protection hidden="1"/>
    </xf>
    <xf numFmtId="164" fontId="0" fillId="0" borderId="244" xfId="2" applyNumberFormat="1" applyFont="1" applyFill="1" applyBorder="1" applyAlignment="1" applyProtection="1">
      <alignment vertical="center"/>
    </xf>
    <xf numFmtId="164" fontId="0" fillId="0" borderId="245" xfId="2" applyNumberFormat="1" applyFont="1" applyFill="1" applyBorder="1" applyAlignment="1" applyProtection="1">
      <alignment vertical="center"/>
    </xf>
    <xf numFmtId="167" fontId="0" fillId="54" borderId="193" xfId="2" applyNumberFormat="1" applyFont="1" applyFill="1" applyBorder="1" applyAlignment="1" applyProtection="1">
      <alignment vertical="center"/>
      <protection hidden="1"/>
    </xf>
    <xf numFmtId="167" fontId="0" fillId="55" borderId="246" xfId="2" applyNumberFormat="1" applyFont="1" applyFill="1" applyBorder="1" applyAlignment="1" applyProtection="1">
      <alignment vertical="center"/>
    </xf>
    <xf numFmtId="167" fontId="0" fillId="55" borderId="247" xfId="2" applyNumberFormat="1" applyFont="1" applyFill="1" applyBorder="1" applyAlignment="1" applyProtection="1">
      <alignment vertical="center"/>
    </xf>
    <xf numFmtId="167" fontId="0" fillId="54" borderId="226" xfId="2" applyNumberFormat="1" applyFont="1" applyFill="1" applyBorder="1" applyAlignment="1" applyProtection="1">
      <alignment vertical="center"/>
      <protection hidden="1"/>
    </xf>
    <xf numFmtId="167" fontId="0" fillId="55" borderId="228" xfId="2" applyNumberFormat="1" applyFont="1" applyFill="1" applyBorder="1" applyAlignment="1" applyProtection="1">
      <alignment vertical="center"/>
    </xf>
    <xf numFmtId="167" fontId="0" fillId="55" borderId="229" xfId="2" applyNumberFormat="1" applyFont="1" applyFill="1" applyBorder="1" applyAlignment="1" applyProtection="1">
      <alignment vertical="center"/>
    </xf>
    <xf numFmtId="0" fontId="0" fillId="2" borderId="232" xfId="0" applyFill="1" applyBorder="1" applyAlignment="1" applyProtection="1">
      <alignment horizontal="left" vertical="center"/>
      <protection locked="0"/>
    </xf>
    <xf numFmtId="167" fontId="0" fillId="2" borderId="232" xfId="2" applyNumberFormat="1" applyFont="1" applyFill="1" applyBorder="1" applyAlignment="1" applyProtection="1">
      <alignment vertical="center"/>
      <protection locked="0"/>
    </xf>
    <xf numFmtId="167" fontId="0" fillId="2" borderId="251" xfId="2" applyNumberFormat="1" applyFont="1" applyFill="1" applyBorder="1" applyAlignment="1" applyProtection="1">
      <alignment vertical="center"/>
      <protection locked="0"/>
    </xf>
    <xf numFmtId="0" fontId="0" fillId="2" borderId="246" xfId="0" applyFill="1" applyBorder="1" applyAlignment="1" applyProtection="1">
      <alignment horizontal="left" vertical="center"/>
      <protection locked="0"/>
    </xf>
    <xf numFmtId="167" fontId="0" fillId="2" borderId="246" xfId="2" applyNumberFormat="1" applyFont="1" applyFill="1" applyBorder="1" applyAlignment="1" applyProtection="1">
      <alignment vertical="center"/>
      <protection locked="0"/>
    </xf>
    <xf numFmtId="167" fontId="0" fillId="2" borderId="250" xfId="2" applyNumberFormat="1" applyFont="1" applyFill="1" applyBorder="1" applyAlignment="1" applyProtection="1">
      <alignment vertical="center"/>
      <protection locked="0"/>
    </xf>
    <xf numFmtId="167" fontId="0" fillId="2" borderId="247" xfId="2" applyNumberFormat="1" applyFont="1" applyFill="1" applyBorder="1" applyAlignment="1" applyProtection="1">
      <alignment vertical="center"/>
      <protection locked="0"/>
    </xf>
    <xf numFmtId="167" fontId="7" fillId="35" borderId="243" xfId="2" applyNumberFormat="1" applyFont="1" applyFill="1" applyBorder="1" applyAlignment="1" applyProtection="1">
      <alignment vertical="center"/>
    </xf>
    <xf numFmtId="167" fontId="7" fillId="35" borderId="198" xfId="2" applyNumberFormat="1" applyFont="1" applyFill="1" applyBorder="1" applyAlignment="1" applyProtection="1">
      <alignment vertical="center"/>
    </xf>
    <xf numFmtId="167" fontId="7" fillId="35" borderId="252" xfId="2" applyNumberFormat="1" applyFont="1" applyFill="1" applyBorder="1" applyAlignment="1" applyProtection="1">
      <alignment vertical="center"/>
    </xf>
    <xf numFmtId="167" fontId="7" fillId="35" borderId="64" xfId="2" applyNumberFormat="1" applyFont="1" applyFill="1" applyBorder="1" applyAlignment="1" applyProtection="1">
      <alignment vertical="center"/>
    </xf>
    <xf numFmtId="167" fontId="7" fillId="35" borderId="99" xfId="2" applyNumberFormat="1" applyFont="1" applyFill="1" applyBorder="1" applyAlignment="1" applyProtection="1">
      <alignment vertical="center"/>
    </xf>
    <xf numFmtId="0" fontId="0" fillId="2" borderId="250" xfId="0" applyFill="1" applyBorder="1" applyAlignment="1" applyProtection="1">
      <alignment horizontal="left" vertical="center"/>
      <protection locked="0"/>
    </xf>
    <xf numFmtId="0" fontId="35" fillId="2" borderId="197" xfId="0" applyFont="1" applyFill="1" applyBorder="1" applyAlignment="1" applyProtection="1">
      <alignment horizontal="left" vertical="center"/>
      <protection locked="0"/>
    </xf>
    <xf numFmtId="0" fontId="35" fillId="2" borderId="232" xfId="0" applyFont="1" applyFill="1" applyBorder="1" applyAlignment="1" applyProtection="1">
      <alignment horizontal="left" vertical="center"/>
      <protection locked="0"/>
    </xf>
    <xf numFmtId="0" fontId="0" fillId="2" borderId="251" xfId="0" applyFill="1" applyBorder="1" applyAlignment="1" applyProtection="1">
      <alignment horizontal="left" vertical="center"/>
      <protection locked="0"/>
    </xf>
    <xf numFmtId="0" fontId="14" fillId="2" borderId="197" xfId="0" applyFont="1" applyFill="1" applyBorder="1" applyAlignment="1" applyProtection="1">
      <alignment horizontal="left" vertical="center"/>
      <protection locked="0"/>
    </xf>
    <xf numFmtId="0" fontId="14" fillId="2" borderId="232" xfId="0" applyFont="1" applyFill="1" applyBorder="1" applyAlignment="1" applyProtection="1">
      <alignment horizontal="left" vertical="center"/>
      <protection locked="0"/>
    </xf>
    <xf numFmtId="167" fontId="7" fillId="2" borderId="232" xfId="2" applyNumberFormat="1" applyFont="1" applyFill="1" applyBorder="1" applyAlignment="1" applyProtection="1">
      <alignment vertical="center"/>
      <protection locked="0"/>
    </xf>
    <xf numFmtId="0" fontId="0" fillId="2" borderId="232" xfId="0" applyFill="1" applyBorder="1"/>
    <xf numFmtId="42" fontId="0" fillId="2" borderId="232" xfId="3" applyFont="1" applyFill="1" applyBorder="1" applyProtection="1"/>
    <xf numFmtId="0" fontId="14" fillId="2" borderId="232" xfId="0" applyFont="1" applyFill="1" applyBorder="1"/>
    <xf numFmtId="181" fontId="0" fillId="22" borderId="232" xfId="0" applyNumberFormat="1" applyFill="1" applyBorder="1"/>
    <xf numFmtId="0" fontId="0" fillId="22" borderId="197" xfId="0" applyFill="1" applyBorder="1" applyAlignment="1">
      <alignment horizontal="left" indent="2"/>
    </xf>
    <xf numFmtId="181" fontId="2" fillId="22" borderId="209" xfId="0" applyNumberFormat="1" applyFont="1" applyFill="1" applyBorder="1"/>
    <xf numFmtId="0" fontId="0" fillId="22" borderId="54" xfId="0" applyFill="1" applyBorder="1" applyAlignment="1">
      <alignment horizontal="left" indent="2"/>
    </xf>
    <xf numFmtId="181" fontId="0" fillId="22" borderId="137" xfId="0" applyNumberFormat="1" applyFill="1" applyBorder="1"/>
    <xf numFmtId="181" fontId="2" fillId="22" borderId="56" xfId="0" applyNumberFormat="1" applyFont="1" applyFill="1" applyBorder="1"/>
    <xf numFmtId="0" fontId="2" fillId="42" borderId="67" xfId="0" applyFont="1" applyFill="1" applyBorder="1" applyAlignment="1">
      <alignment horizontal="left" vertical="center" indent="1"/>
    </xf>
    <xf numFmtId="0" fontId="2" fillId="51" borderId="68" xfId="0" applyFont="1" applyFill="1" applyBorder="1" applyAlignment="1">
      <alignment horizontal="center" vertical="center" wrapText="1"/>
    </xf>
    <xf numFmtId="0" fontId="32" fillId="51" borderId="68" xfId="0" applyFont="1" applyFill="1" applyBorder="1" applyAlignment="1">
      <alignment horizontal="center" vertical="center" wrapText="1"/>
    </xf>
    <xf numFmtId="0" fontId="2" fillId="51" borderId="69" xfId="0" applyFont="1" applyFill="1" applyBorder="1" applyAlignment="1">
      <alignment horizontal="center" vertical="center" wrapText="1"/>
    </xf>
    <xf numFmtId="0" fontId="0" fillId="22" borderId="225" xfId="0" applyFill="1" applyBorder="1" applyAlignment="1">
      <alignment horizontal="left" indent="2"/>
    </xf>
    <xf numFmtId="181" fontId="0" fillId="22" borderId="244" xfId="0" applyNumberFormat="1" applyFill="1" applyBorder="1"/>
    <xf numFmtId="181" fontId="2" fillId="22" borderId="249" xfId="0" applyNumberFormat="1" applyFont="1" applyFill="1" applyBorder="1"/>
    <xf numFmtId="0" fontId="2" fillId="8" borderId="67" xfId="0" applyFont="1" applyFill="1" applyBorder="1" applyAlignment="1">
      <alignment horizontal="left" indent="2"/>
    </xf>
    <xf numFmtId="181" fontId="36" fillId="22" borderId="68" xfId="0" applyNumberFormat="1" applyFont="1" applyFill="1" applyBorder="1"/>
    <xf numFmtId="181" fontId="32" fillId="22" borderId="68" xfId="0" applyNumberFormat="1" applyFont="1" applyFill="1" applyBorder="1"/>
    <xf numFmtId="181" fontId="32" fillId="22" borderId="69" xfId="0" applyNumberFormat="1" applyFont="1" applyFill="1" applyBorder="1"/>
    <xf numFmtId="0" fontId="32" fillId="8" borderId="67" xfId="0" applyFont="1" applyFill="1" applyBorder="1" applyAlignment="1">
      <alignment horizontal="left" indent="2"/>
    </xf>
    <xf numFmtId="0" fontId="0" fillId="22" borderId="232" xfId="0" applyFill="1" applyBorder="1"/>
    <xf numFmtId="181" fontId="36" fillId="22" borderId="69" xfId="0" applyNumberFormat="1" applyFont="1" applyFill="1" applyBorder="1"/>
    <xf numFmtId="174" fontId="0" fillId="35" borderId="19" xfId="0" applyNumberFormat="1" applyFill="1" applyBorder="1" applyAlignment="1">
      <alignment horizontal="right" vertical="center"/>
    </xf>
    <xf numFmtId="174" fontId="0" fillId="35" borderId="195" xfId="0" applyNumberFormat="1" applyFill="1" applyBorder="1" applyAlignment="1">
      <alignment horizontal="right" vertical="center"/>
    </xf>
    <xf numFmtId="174" fontId="0" fillId="35" borderId="178" xfId="0" applyNumberFormat="1" applyFill="1" applyBorder="1" applyAlignment="1">
      <alignment horizontal="right" vertical="center"/>
    </xf>
    <xf numFmtId="174" fontId="0" fillId="35" borderId="143" xfId="0" applyNumberFormat="1" applyFill="1" applyBorder="1" applyAlignment="1">
      <alignment horizontal="right" vertical="center"/>
    </xf>
    <xf numFmtId="164" fontId="37" fillId="8" borderId="8" xfId="2" applyNumberFormat="1" applyFont="1" applyFill="1" applyBorder="1" applyAlignment="1">
      <alignment vertical="center"/>
    </xf>
    <xf numFmtId="181" fontId="0" fillId="22" borderId="142" xfId="0" applyNumberFormat="1" applyFill="1" applyBorder="1"/>
    <xf numFmtId="181" fontId="0" fillId="22" borderId="251" xfId="0" applyNumberFormat="1" applyFill="1" applyBorder="1"/>
    <xf numFmtId="181" fontId="0" fillId="22" borderId="253" xfId="0" applyNumberFormat="1" applyFill="1" applyBorder="1"/>
    <xf numFmtId="181" fontId="2" fillId="22" borderId="19" xfId="0" applyNumberFormat="1" applyFont="1" applyFill="1" applyBorder="1"/>
    <xf numFmtId="181" fontId="2" fillId="22" borderId="143" xfId="0" applyNumberFormat="1" applyFont="1" applyFill="1" applyBorder="1"/>
    <xf numFmtId="181" fontId="2" fillId="22" borderId="57" xfId="0" applyNumberFormat="1" applyFont="1" applyFill="1" applyBorder="1"/>
    <xf numFmtId="181" fontId="32" fillId="22" borderId="176" xfId="0" applyNumberFormat="1" applyFont="1" applyFill="1" applyBorder="1"/>
    <xf numFmtId="164" fontId="19" fillId="0" borderId="223" xfId="2" applyNumberFormat="1" applyFont="1" applyFill="1" applyBorder="1" applyAlignment="1" applyProtection="1">
      <alignment vertical="center"/>
    </xf>
    <xf numFmtId="183" fontId="8" fillId="0" borderId="0" xfId="0" applyNumberFormat="1" applyFont="1" applyAlignment="1">
      <alignment horizontal="center" vertical="center"/>
    </xf>
    <xf numFmtId="2" fontId="5" fillId="9" borderId="111" xfId="4" applyNumberFormat="1" applyFont="1" applyFill="1" applyBorder="1" applyAlignment="1" applyProtection="1">
      <alignment horizontal="center" vertical="center"/>
    </xf>
    <xf numFmtId="0" fontId="0" fillId="0" borderId="8" xfId="0" applyBorder="1" applyAlignment="1" applyProtection="1">
      <alignment horizontal="center" vertical="center"/>
      <protection locked="0"/>
    </xf>
    <xf numFmtId="0" fontId="14" fillId="0" borderId="8" xfId="0" applyFont="1" applyBorder="1" applyAlignment="1" applyProtection="1">
      <alignment horizontal="left" vertical="center"/>
      <protection locked="0"/>
    </xf>
    <xf numFmtId="0" fontId="0" fillId="0" borderId="83" xfId="0" applyBorder="1" applyAlignment="1" applyProtection="1">
      <alignment horizontal="center" vertical="center"/>
      <protection locked="0"/>
    </xf>
    <xf numFmtId="0" fontId="0" fillId="0" borderId="83" xfId="0" applyBorder="1" applyAlignment="1" applyProtection="1">
      <alignment horizontal="left" vertical="center"/>
      <protection locked="0"/>
    </xf>
    <xf numFmtId="0" fontId="14" fillId="0" borderId="83" xfId="0" applyFont="1" applyBorder="1" applyAlignment="1" applyProtection="1">
      <alignment horizontal="left" vertical="center"/>
      <protection locked="0"/>
    </xf>
    <xf numFmtId="169" fontId="0" fillId="25" borderId="141" xfId="2" applyNumberFormat="1" applyFont="1" applyFill="1" applyBorder="1" applyAlignment="1" applyProtection="1">
      <alignment horizontal="center" vertical="center"/>
    </xf>
    <xf numFmtId="169" fontId="0" fillId="2" borderId="137" xfId="2" applyNumberFormat="1" applyFont="1" applyFill="1" applyBorder="1" applyAlignment="1" applyProtection="1">
      <alignment horizontal="center" vertical="center"/>
      <protection locked="0"/>
    </xf>
    <xf numFmtId="0" fontId="0" fillId="0" borderId="195" xfId="0" applyBorder="1" applyAlignment="1">
      <alignment vertical="center"/>
    </xf>
    <xf numFmtId="0" fontId="0" fillId="0" borderId="178" xfId="0" applyBorder="1" applyAlignment="1">
      <alignment vertical="center"/>
    </xf>
    <xf numFmtId="0" fontId="0" fillId="22" borderId="254" xfId="0" applyFill="1" applyBorder="1" applyAlignment="1">
      <alignment vertical="center"/>
    </xf>
    <xf numFmtId="0" fontId="0" fillId="22" borderId="252" xfId="0" applyFill="1" applyBorder="1" applyAlignment="1">
      <alignment vertical="center"/>
    </xf>
    <xf numFmtId="0" fontId="0" fillId="22" borderId="19" xfId="0" applyFill="1" applyBorder="1" applyAlignment="1">
      <alignment vertical="center"/>
    </xf>
    <xf numFmtId="0" fontId="0" fillId="22" borderId="195" xfId="0" applyFill="1" applyBorder="1" applyAlignment="1">
      <alignment vertical="center"/>
    </xf>
    <xf numFmtId="167" fontId="0" fillId="0" borderId="137" xfId="2" applyNumberFormat="1" applyFont="1" applyFill="1" applyBorder="1" applyAlignment="1" applyProtection="1">
      <alignment vertical="center"/>
    </xf>
    <xf numFmtId="167" fontId="0" fillId="0" borderId="232" xfId="2" applyNumberFormat="1" applyFont="1" applyFill="1" applyBorder="1" applyAlignment="1" applyProtection="1">
      <alignment vertical="center"/>
    </xf>
    <xf numFmtId="167" fontId="0" fillId="0" borderId="54" xfId="2" applyNumberFormat="1" applyFont="1" applyFill="1" applyBorder="1" applyAlignment="1" applyProtection="1">
      <alignment vertical="center"/>
    </xf>
    <xf numFmtId="167" fontId="0" fillId="1" borderId="193" xfId="2" applyNumberFormat="1" applyFont="1" applyFill="1" applyBorder="1" applyAlignment="1" applyProtection="1">
      <alignment vertical="center"/>
      <protection hidden="1"/>
    </xf>
    <xf numFmtId="167" fontId="0" fillId="0" borderId="246" xfId="2" applyNumberFormat="1" applyFont="1" applyFill="1" applyBorder="1" applyAlignment="1" applyProtection="1">
      <alignment vertical="center"/>
    </xf>
    <xf numFmtId="167" fontId="0" fillId="0" borderId="207" xfId="2" applyNumberFormat="1" applyFont="1" applyFill="1" applyBorder="1" applyAlignment="1" applyProtection="1">
      <alignment vertical="center"/>
    </xf>
    <xf numFmtId="167" fontId="0" fillId="0" borderId="209" xfId="2" applyNumberFormat="1" applyFont="1" applyFill="1" applyBorder="1" applyAlignment="1" applyProtection="1">
      <alignment vertical="center"/>
    </xf>
    <xf numFmtId="167" fontId="0" fillId="1" borderId="94" xfId="2" applyNumberFormat="1" applyFont="1" applyFill="1" applyBorder="1" applyAlignment="1" applyProtection="1">
      <alignment vertical="center"/>
      <protection hidden="1"/>
    </xf>
    <xf numFmtId="167" fontId="0" fillId="0" borderId="228" xfId="2" applyNumberFormat="1" applyFont="1" applyFill="1" applyBorder="1" applyAlignment="1" applyProtection="1">
      <alignment vertical="center"/>
    </xf>
    <xf numFmtId="167" fontId="0" fillId="0" borderId="250" xfId="2" applyNumberFormat="1" applyFont="1" applyFill="1" applyBorder="1" applyAlignment="1" applyProtection="1">
      <alignment vertical="center"/>
    </xf>
    <xf numFmtId="167" fontId="0" fillId="0" borderId="251" xfId="2" applyNumberFormat="1" applyFont="1" applyFill="1" applyBorder="1" applyAlignment="1" applyProtection="1">
      <alignment vertical="center"/>
    </xf>
    <xf numFmtId="167" fontId="0" fillId="0" borderId="204" xfId="2" applyNumberFormat="1" applyFont="1" applyFill="1" applyBorder="1" applyAlignment="1" applyProtection="1">
      <alignment vertical="center"/>
    </xf>
    <xf numFmtId="164" fontId="5" fillId="15" borderId="258" xfId="0" applyNumberFormat="1" applyFont="1" applyFill="1" applyBorder="1" applyAlignment="1">
      <alignment vertical="center"/>
    </xf>
    <xf numFmtId="164" fontId="5" fillId="17" borderId="258" xfId="2" applyNumberFormat="1" applyFont="1" applyFill="1" applyBorder="1" applyAlignment="1" applyProtection="1">
      <alignment vertical="center"/>
    </xf>
    <xf numFmtId="164" fontId="5" fillId="15" borderId="258" xfId="2" applyNumberFormat="1" applyFont="1" applyFill="1" applyBorder="1" applyAlignment="1" applyProtection="1">
      <alignment vertical="center"/>
    </xf>
    <xf numFmtId="164" fontId="5" fillId="15" borderId="258" xfId="2" applyNumberFormat="1" applyFont="1" applyFill="1" applyBorder="1" applyAlignment="1" applyProtection="1">
      <alignment horizontal="right" vertical="center"/>
    </xf>
    <xf numFmtId="164" fontId="11" fillId="18" borderId="139" xfId="2" applyNumberFormat="1" applyFont="1" applyFill="1" applyBorder="1" applyAlignment="1" applyProtection="1">
      <alignment vertical="center" wrapText="1"/>
    </xf>
    <xf numFmtId="164" fontId="5" fillId="0" borderId="232" xfId="2" applyNumberFormat="1" applyFont="1" applyFill="1" applyBorder="1" applyAlignment="1" applyProtection="1">
      <alignment vertical="center"/>
    </xf>
    <xf numFmtId="164" fontId="5" fillId="0" borderId="232" xfId="2" applyNumberFormat="1" applyFont="1" applyFill="1" applyBorder="1" applyAlignment="1" applyProtection="1">
      <alignment horizontal="right" vertical="center"/>
    </xf>
    <xf numFmtId="164" fontId="5" fillId="56" borderId="11" xfId="0" applyNumberFormat="1" applyFont="1" applyFill="1" applyBorder="1" applyAlignment="1">
      <alignment vertical="center"/>
    </xf>
    <xf numFmtId="164" fontId="5" fillId="8" borderId="232" xfId="2" applyNumberFormat="1" applyFont="1" applyFill="1" applyBorder="1" applyAlignment="1" applyProtection="1">
      <alignment horizontal="right" vertical="center"/>
    </xf>
    <xf numFmtId="1" fontId="5" fillId="0" borderId="232" xfId="2" applyNumberFormat="1" applyFont="1" applyFill="1" applyBorder="1" applyAlignment="1" applyProtection="1">
      <alignment vertical="center"/>
    </xf>
    <xf numFmtId="174" fontId="1" fillId="35" borderId="19" xfId="0" applyNumberFormat="1" applyFont="1" applyFill="1" applyBorder="1" applyAlignment="1">
      <alignment horizontal="right" vertical="center"/>
    </xf>
    <xf numFmtId="174" fontId="1" fillId="35" borderId="195" xfId="0" applyNumberFormat="1" applyFont="1" applyFill="1" applyBorder="1" applyAlignment="1">
      <alignment horizontal="right" vertical="center"/>
    </xf>
    <xf numFmtId="174" fontId="1" fillId="35" borderId="178" xfId="0" applyNumberFormat="1" applyFont="1" applyFill="1" applyBorder="1" applyAlignment="1">
      <alignment horizontal="right" vertical="center"/>
    </xf>
    <xf numFmtId="167" fontId="38" fillId="35" borderId="243" xfId="2" applyNumberFormat="1" applyFont="1" applyFill="1" applyBorder="1" applyAlignment="1" applyProtection="1">
      <alignment vertical="center"/>
    </xf>
    <xf numFmtId="167" fontId="38" fillId="35" borderId="198" xfId="2" applyNumberFormat="1" applyFont="1" applyFill="1" applyBorder="1" applyAlignment="1" applyProtection="1">
      <alignment vertical="center"/>
    </xf>
    <xf numFmtId="167" fontId="38" fillId="35" borderId="64" xfId="2" applyNumberFormat="1" applyFont="1" applyFill="1" applyBorder="1" applyAlignment="1" applyProtection="1">
      <alignment vertical="center"/>
    </xf>
    <xf numFmtId="167" fontId="38" fillId="35" borderId="252" xfId="2" applyNumberFormat="1" applyFont="1" applyFill="1" applyBorder="1" applyAlignment="1" applyProtection="1">
      <alignment vertical="center"/>
    </xf>
    <xf numFmtId="167" fontId="38" fillId="35" borderId="99" xfId="2" applyNumberFormat="1" applyFont="1" applyFill="1" applyBorder="1" applyAlignment="1" applyProtection="1">
      <alignment vertical="center"/>
    </xf>
    <xf numFmtId="0" fontId="38" fillId="2" borderId="232" xfId="0" applyFont="1" applyFill="1" applyBorder="1" applyAlignment="1" applyProtection="1">
      <alignment horizontal="left" vertical="center"/>
      <protection locked="0"/>
    </xf>
    <xf numFmtId="167" fontId="38" fillId="2" borderId="232" xfId="2" applyNumberFormat="1" applyFont="1" applyFill="1" applyBorder="1" applyAlignment="1" applyProtection="1">
      <alignment vertical="center"/>
      <protection locked="0"/>
    </xf>
    <xf numFmtId="181" fontId="0" fillId="0" borderId="0" xfId="0" applyNumberFormat="1"/>
    <xf numFmtId="181" fontId="32" fillId="22" borderId="65" xfId="0" applyNumberFormat="1" applyFont="1" applyFill="1" applyBorder="1"/>
    <xf numFmtId="181" fontId="0" fillId="22" borderId="163" xfId="0" applyNumberFormat="1" applyFill="1" applyBorder="1"/>
    <xf numFmtId="0" fontId="0" fillId="22" borderId="259" xfId="0" applyFill="1" applyBorder="1" applyAlignment="1">
      <alignment horizontal="left" indent="2"/>
    </xf>
    <xf numFmtId="181" fontId="0" fillId="22" borderId="260" xfId="0" applyNumberFormat="1" applyFill="1" applyBorder="1"/>
    <xf numFmtId="181" fontId="2" fillId="22" borderId="69" xfId="0" applyNumberFormat="1" applyFont="1" applyFill="1" applyBorder="1"/>
    <xf numFmtId="174" fontId="0" fillId="35" borderId="264" xfId="0" applyNumberFormat="1" applyFill="1" applyBorder="1" applyAlignment="1">
      <alignment horizontal="right" vertical="center"/>
    </xf>
    <xf numFmtId="9" fontId="5" fillId="11" borderId="0" xfId="4" applyFont="1" applyFill="1" applyBorder="1" applyAlignment="1" applyProtection="1">
      <alignment horizontal="center" vertical="center"/>
    </xf>
    <xf numFmtId="167" fontId="0" fillId="20" borderId="0" xfId="0" applyNumberFormat="1" applyFill="1"/>
    <xf numFmtId="164" fontId="5" fillId="3" borderId="268" xfId="2" applyNumberFormat="1" applyFont="1" applyFill="1" applyBorder="1" applyAlignment="1" applyProtection="1">
      <alignment vertical="center"/>
    </xf>
    <xf numFmtId="164" fontId="5" fillId="2" borderId="269" xfId="0" applyNumberFormat="1" applyFont="1" applyFill="1" applyBorder="1" applyAlignment="1">
      <alignment vertical="center"/>
    </xf>
    <xf numFmtId="9" fontId="5" fillId="0" borderId="232" xfId="4" applyFont="1" applyBorder="1" applyAlignment="1">
      <alignment horizontal="center" vertical="center"/>
    </xf>
    <xf numFmtId="164" fontId="5" fillId="11" borderId="232" xfId="2" applyNumberFormat="1" applyFont="1" applyFill="1" applyBorder="1" applyAlignment="1" applyProtection="1">
      <alignment horizontal="center" vertical="center"/>
    </xf>
    <xf numFmtId="9" fontId="2" fillId="0" borderId="232" xfId="4" applyFont="1" applyBorder="1" applyAlignment="1">
      <alignment horizontal="center" vertical="center"/>
    </xf>
    <xf numFmtId="167" fontId="0" fillId="0" borderId="193" xfId="2" applyNumberFormat="1" applyFont="1" applyFill="1" applyBorder="1" applyAlignment="1" applyProtection="1">
      <alignment vertical="center"/>
    </xf>
    <xf numFmtId="167" fontId="0" fillId="0" borderId="130" xfId="2" applyNumberFormat="1" applyFont="1" applyFill="1" applyBorder="1" applyAlignment="1" applyProtection="1">
      <alignment vertical="center"/>
    </xf>
    <xf numFmtId="167" fontId="0" fillId="0" borderId="197" xfId="2" applyNumberFormat="1" applyFont="1" applyFill="1" applyBorder="1" applyAlignment="1" applyProtection="1">
      <alignment vertical="center"/>
    </xf>
    <xf numFmtId="167" fontId="0" fillId="0" borderId="229" xfId="2" applyNumberFormat="1" applyFont="1" applyFill="1" applyBorder="1" applyAlignment="1" applyProtection="1">
      <alignment vertical="center"/>
    </xf>
    <xf numFmtId="167" fontId="0" fillId="0" borderId="56" xfId="2" applyNumberFormat="1" applyFont="1" applyFill="1" applyBorder="1" applyAlignment="1" applyProtection="1">
      <alignment vertical="center"/>
    </xf>
    <xf numFmtId="174" fontId="2" fillId="20" borderId="0" xfId="0" applyNumberFormat="1" applyFont="1" applyFill="1"/>
    <xf numFmtId="42" fontId="0" fillId="0" borderId="0" xfId="3" applyFont="1"/>
    <xf numFmtId="174" fontId="0" fillId="35" borderId="271" xfId="0" applyNumberFormat="1" applyFill="1" applyBorder="1" applyAlignment="1">
      <alignment horizontal="right" vertical="center"/>
    </xf>
    <xf numFmtId="174" fontId="1" fillId="35" borderId="143" xfId="0" applyNumberFormat="1" applyFont="1" applyFill="1" applyBorder="1" applyAlignment="1">
      <alignment horizontal="right" vertical="center"/>
    </xf>
    <xf numFmtId="167" fontId="0" fillId="2" borderId="130" xfId="2" applyNumberFormat="1" applyFont="1" applyFill="1" applyBorder="1" applyAlignment="1" applyProtection="1">
      <alignment vertical="center"/>
      <protection locked="0"/>
    </xf>
    <xf numFmtId="167" fontId="0" fillId="2" borderId="207" xfId="2" applyNumberFormat="1" applyFont="1" applyFill="1" applyBorder="1" applyAlignment="1" applyProtection="1">
      <alignment vertical="center"/>
      <protection locked="0"/>
    </xf>
    <xf numFmtId="0" fontId="38" fillId="2" borderId="192" xfId="0" applyFont="1" applyFill="1" applyBorder="1" applyAlignment="1" applyProtection="1">
      <alignment horizontal="left" vertical="center"/>
      <protection locked="0"/>
    </xf>
    <xf numFmtId="0" fontId="0" fillId="2" borderId="192" xfId="0" applyFill="1" applyBorder="1" applyAlignment="1" applyProtection="1">
      <alignment horizontal="left" vertical="center"/>
      <protection locked="0"/>
    </xf>
    <xf numFmtId="0" fontId="14" fillId="2" borderId="192" xfId="0" applyFont="1" applyFill="1" applyBorder="1" applyAlignment="1" applyProtection="1">
      <alignment horizontal="left" vertical="center"/>
      <protection locked="0"/>
    </xf>
    <xf numFmtId="167" fontId="7" fillId="2" borderId="209" xfId="2" applyNumberFormat="1" applyFont="1" applyFill="1" applyBorder="1" applyAlignment="1" applyProtection="1">
      <alignment vertical="center"/>
      <protection locked="0"/>
    </xf>
    <xf numFmtId="0" fontId="5" fillId="0" borderId="0" xfId="9" applyFont="1" applyAlignment="1">
      <alignment vertical="center"/>
    </xf>
    <xf numFmtId="0" fontId="5" fillId="0" borderId="0" xfId="9" applyFont="1" applyAlignment="1">
      <alignment horizontal="center" vertical="center"/>
    </xf>
    <xf numFmtId="0" fontId="7" fillId="0" borderId="0" xfId="9" applyAlignment="1">
      <alignment vertical="center"/>
    </xf>
    <xf numFmtId="184" fontId="4" fillId="0" borderId="0" xfId="10" applyFont="1" applyAlignment="1">
      <alignment vertical="center"/>
    </xf>
    <xf numFmtId="0" fontId="5" fillId="0" borderId="1" xfId="9" applyFont="1" applyBorder="1" applyAlignment="1">
      <alignment horizontal="right" vertical="center"/>
    </xf>
    <xf numFmtId="0" fontId="8" fillId="2" borderId="272" xfId="9" applyFont="1" applyFill="1" applyBorder="1" applyAlignment="1" applyProtection="1">
      <alignment horizontal="center" vertical="center"/>
      <protection locked="0"/>
    </xf>
    <xf numFmtId="0" fontId="8" fillId="0" borderId="73" xfId="9" applyFont="1" applyBorder="1" applyAlignment="1">
      <alignment horizontal="center" vertical="center"/>
    </xf>
    <xf numFmtId="0" fontId="8" fillId="0" borderId="0" xfId="9" applyFont="1" applyAlignment="1">
      <alignment horizontal="center" vertical="center"/>
    </xf>
    <xf numFmtId="184" fontId="0" fillId="0" borderId="0" xfId="10" applyFont="1"/>
    <xf numFmtId="0" fontId="5" fillId="0" borderId="0" xfId="9" applyFont="1" applyAlignment="1">
      <alignment horizontal="right" vertical="center"/>
    </xf>
    <xf numFmtId="0" fontId="7" fillId="20" borderId="0" xfId="9" applyFill="1"/>
    <xf numFmtId="0" fontId="7" fillId="20" borderId="0" xfId="9" applyFill="1" applyAlignment="1">
      <alignment horizontal="left" vertical="center"/>
    </xf>
    <xf numFmtId="174" fontId="5" fillId="20" borderId="0" xfId="9" applyNumberFormat="1" applyFont="1" applyFill="1" applyAlignment="1">
      <alignment horizontal="right" vertical="center"/>
    </xf>
    <xf numFmtId="0" fontId="7" fillId="20" borderId="267" xfId="9" applyFill="1" applyBorder="1"/>
    <xf numFmtId="0" fontId="7" fillId="20" borderId="273" xfId="9" applyFill="1" applyBorder="1"/>
    <xf numFmtId="0" fontId="7" fillId="20" borderId="274" xfId="9" applyFill="1" applyBorder="1"/>
    <xf numFmtId="0" fontId="7" fillId="20" borderId="30" xfId="9" applyFill="1" applyBorder="1"/>
    <xf numFmtId="0" fontId="7" fillId="20" borderId="31" xfId="9" applyFill="1" applyBorder="1"/>
    <xf numFmtId="0" fontId="15" fillId="0" borderId="0" xfId="9" applyFont="1" applyAlignment="1">
      <alignment horizontal="left" vertical="center" indent="2"/>
    </xf>
    <xf numFmtId="0" fontId="15" fillId="0" borderId="0" xfId="9" applyFont="1" applyAlignment="1">
      <alignment vertical="center"/>
    </xf>
    <xf numFmtId="0" fontId="15" fillId="0" borderId="30" xfId="9" applyFont="1" applyBorder="1" applyAlignment="1">
      <alignment vertical="center"/>
    </xf>
    <xf numFmtId="174" fontId="7" fillId="39" borderId="232" xfId="9" applyNumberFormat="1" applyFill="1" applyBorder="1" applyAlignment="1">
      <alignment horizontal="center" vertical="center"/>
    </xf>
    <xf numFmtId="168" fontId="5" fillId="9" borderId="232" xfId="10" applyNumberFormat="1" applyFont="1" applyFill="1" applyBorder="1" applyAlignment="1">
      <alignment horizontal="center" vertical="center"/>
    </xf>
    <xf numFmtId="0" fontId="5" fillId="7" borderId="260" xfId="9" applyFont="1" applyFill="1" applyBorder="1" applyAlignment="1">
      <alignment horizontal="center" vertical="center" wrapText="1"/>
    </xf>
    <xf numFmtId="0" fontId="5" fillId="7" borderId="261" xfId="9" applyFont="1" applyFill="1" applyBorder="1" applyAlignment="1">
      <alignment horizontal="center" vertical="center" wrapText="1"/>
    </xf>
    <xf numFmtId="0" fontId="5" fillId="7" borderId="275" xfId="9" applyFont="1" applyFill="1" applyBorder="1" applyAlignment="1">
      <alignment horizontal="center" vertical="center" wrapText="1"/>
    </xf>
    <xf numFmtId="0" fontId="16" fillId="40" borderId="226" xfId="9" applyFont="1" applyFill="1" applyBorder="1" applyAlignment="1">
      <alignment horizontal="center" vertical="center"/>
    </xf>
    <xf numFmtId="0" fontId="16" fillId="40" borderId="204" xfId="9" applyFont="1" applyFill="1" applyBorder="1" applyAlignment="1">
      <alignment horizontal="center" vertical="center"/>
    </xf>
    <xf numFmtId="0" fontId="16" fillId="41" borderId="226" xfId="9" applyFont="1" applyFill="1" applyBorder="1" applyAlignment="1">
      <alignment horizontal="center" vertical="center"/>
    </xf>
    <xf numFmtId="0" fontId="16" fillId="41" borderId="229" xfId="9" applyFont="1" applyFill="1" applyBorder="1" applyAlignment="1">
      <alignment horizontal="center" vertical="center"/>
    </xf>
    <xf numFmtId="0" fontId="16" fillId="42" borderId="199" xfId="9" applyFont="1" applyFill="1" applyBorder="1" applyAlignment="1">
      <alignment horizontal="center" vertical="center"/>
    </xf>
    <xf numFmtId="0" fontId="16" fillId="42" borderId="204" xfId="9" applyFont="1" applyFill="1" applyBorder="1" applyAlignment="1">
      <alignment horizontal="center" vertical="center"/>
    </xf>
    <xf numFmtId="0" fontId="16" fillId="42" borderId="229" xfId="9" applyFont="1" applyFill="1" applyBorder="1" applyAlignment="1">
      <alignment horizontal="center" vertical="center"/>
    </xf>
    <xf numFmtId="0" fontId="16" fillId="40" borderId="259" xfId="9" applyFont="1" applyFill="1" applyBorder="1" applyAlignment="1">
      <alignment horizontal="center" vertical="center"/>
    </xf>
    <xf numFmtId="0" fontId="16" fillId="40" borderId="275" xfId="9" applyFont="1" applyFill="1" applyBorder="1" applyAlignment="1">
      <alignment horizontal="center" vertical="center"/>
    </xf>
    <xf numFmtId="0" fontId="16" fillId="41" borderId="259" xfId="9" applyFont="1" applyFill="1" applyBorder="1" applyAlignment="1">
      <alignment horizontal="center" vertical="center"/>
    </xf>
    <xf numFmtId="0" fontId="16" fillId="41" borderId="275" xfId="9" applyFont="1" applyFill="1" applyBorder="1" applyAlignment="1">
      <alignment horizontal="center" vertical="center"/>
    </xf>
    <xf numFmtId="0" fontId="16" fillId="42" borderId="259" xfId="9" applyFont="1" applyFill="1" applyBorder="1" applyAlignment="1">
      <alignment horizontal="center" vertical="center"/>
    </xf>
    <xf numFmtId="0" fontId="16" fillId="42" borderId="275" xfId="9" applyFont="1" applyFill="1" applyBorder="1" applyAlignment="1">
      <alignment horizontal="center" vertical="center"/>
    </xf>
    <xf numFmtId="0" fontId="7" fillId="2" borderId="255" xfId="9" applyFill="1" applyBorder="1" applyAlignment="1" applyProtection="1">
      <alignment horizontal="left" vertical="center"/>
      <protection locked="0"/>
    </xf>
    <xf numFmtId="0" fontId="7" fillId="2" borderId="246" xfId="9" applyFill="1" applyBorder="1" applyAlignment="1" applyProtection="1">
      <alignment horizontal="left" vertical="center"/>
      <protection locked="0"/>
    </xf>
    <xf numFmtId="0" fontId="7" fillId="2" borderId="246" xfId="9" applyFill="1" applyBorder="1" applyProtection="1">
      <protection locked="0"/>
    </xf>
    <xf numFmtId="0" fontId="7" fillId="2" borderId="250" xfId="9" applyFill="1" applyBorder="1" applyProtection="1">
      <protection locked="0"/>
    </xf>
    <xf numFmtId="167" fontId="0" fillId="2" borderId="232" xfId="11" applyNumberFormat="1" applyFont="1" applyFill="1" applyBorder="1" applyAlignment="1" applyProtection="1">
      <alignment vertical="center"/>
      <protection locked="0"/>
    </xf>
    <xf numFmtId="167" fontId="0" fillId="2" borderId="246" xfId="11" applyNumberFormat="1" applyFont="1" applyFill="1" applyBorder="1" applyAlignment="1" applyProtection="1">
      <alignment vertical="center"/>
      <protection locked="0"/>
    </xf>
    <xf numFmtId="167" fontId="0" fillId="2" borderId="250" xfId="11" applyNumberFormat="1" applyFont="1" applyFill="1" applyBorder="1" applyAlignment="1" applyProtection="1">
      <alignment vertical="center"/>
      <protection locked="0"/>
    </xf>
    <xf numFmtId="174" fontId="7" fillId="35" borderId="19" xfId="9" applyNumberFormat="1" applyFill="1" applyBorder="1" applyAlignment="1">
      <alignment horizontal="right" vertical="center"/>
    </xf>
    <xf numFmtId="174" fontId="7" fillId="0" borderId="19" xfId="9" applyNumberFormat="1" applyBorder="1" applyAlignment="1">
      <alignment horizontal="right" vertical="center"/>
    </xf>
    <xf numFmtId="9" fontId="7" fillId="2" borderId="193" xfId="9" applyNumberFormat="1" applyFill="1" applyBorder="1" applyAlignment="1" applyProtection="1">
      <alignment horizontal="center" vertical="center"/>
      <protection locked="0"/>
    </xf>
    <xf numFmtId="174" fontId="7" fillId="0" borderId="250" xfId="9" applyNumberFormat="1" applyBorder="1" applyAlignment="1">
      <alignment horizontal="right" vertical="center"/>
    </xf>
    <xf numFmtId="174" fontId="7" fillId="0" borderId="247" xfId="9" applyNumberFormat="1" applyBorder="1" applyAlignment="1">
      <alignment horizontal="right" vertical="center"/>
    </xf>
    <xf numFmtId="184" fontId="0" fillId="2" borderId="255" xfId="10" applyFont="1" applyFill="1" applyBorder="1" applyAlignment="1" applyProtection="1">
      <alignment horizontal="center" vertical="center"/>
      <protection locked="0"/>
    </xf>
    <xf numFmtId="9" fontId="7" fillId="39" borderId="19" xfId="9" applyNumberFormat="1" applyFill="1" applyBorder="1" applyAlignment="1">
      <alignment horizontal="center" vertical="center"/>
    </xf>
    <xf numFmtId="0" fontId="5" fillId="27" borderId="232" xfId="9" applyFont="1" applyFill="1" applyBorder="1" applyAlignment="1">
      <alignment horizontal="center" vertical="center"/>
    </xf>
    <xf numFmtId="0" fontId="12" fillId="28" borderId="232" xfId="9" applyFont="1" applyFill="1" applyBorder="1" applyAlignment="1">
      <alignment horizontal="left" vertical="center"/>
    </xf>
    <xf numFmtId="164" fontId="12" fillId="28" borderId="232" xfId="11" applyNumberFormat="1" applyFont="1" applyFill="1" applyBorder="1" applyAlignment="1">
      <alignment horizontal="center" vertical="center"/>
    </xf>
    <xf numFmtId="184" fontId="18" fillId="0" borderId="94" xfId="10" applyFont="1" applyBorder="1" applyAlignment="1">
      <alignment horizontal="center" vertical="center"/>
    </xf>
    <xf numFmtId="174" fontId="7" fillId="43" borderId="95" xfId="9" applyNumberFormat="1" applyFill="1" applyBorder="1" applyAlignment="1">
      <alignment horizontal="right" vertical="center"/>
    </xf>
    <xf numFmtId="174" fontId="7" fillId="43" borderId="96" xfId="9" applyNumberFormat="1" applyFill="1" applyBorder="1" applyAlignment="1">
      <alignment horizontal="right" vertical="center"/>
    </xf>
    <xf numFmtId="184" fontId="18" fillId="0" borderId="97" xfId="10" applyFont="1" applyBorder="1" applyAlignment="1">
      <alignment horizontal="center" vertical="center"/>
    </xf>
    <xf numFmtId="9" fontId="7" fillId="22" borderId="193" xfId="9" applyNumberFormat="1" applyFill="1" applyBorder="1" applyAlignment="1">
      <alignment horizontal="center" vertical="center"/>
    </xf>
    <xf numFmtId="174" fontId="7" fillId="39" borderId="246" xfId="9" applyNumberFormat="1" applyFill="1" applyBorder="1" applyAlignment="1">
      <alignment horizontal="right" vertical="center"/>
    </xf>
    <xf numFmtId="9" fontId="7" fillId="22" borderId="246" xfId="9" applyNumberFormat="1" applyFill="1" applyBorder="1" applyAlignment="1">
      <alignment horizontal="center" vertical="center"/>
    </xf>
    <xf numFmtId="184" fontId="0" fillId="22" borderId="246" xfId="10" applyFont="1" applyFill="1" applyBorder="1" applyAlignment="1">
      <alignment horizontal="center" vertical="center"/>
    </xf>
    <xf numFmtId="174" fontId="7" fillId="39" borderId="247" xfId="9" applyNumberFormat="1" applyFill="1" applyBorder="1" applyAlignment="1">
      <alignment horizontal="right" vertical="center"/>
    </xf>
    <xf numFmtId="0" fontId="7" fillId="2" borderId="200" xfId="9" applyFill="1" applyBorder="1" applyAlignment="1" applyProtection="1">
      <alignment horizontal="left" vertical="center"/>
      <protection locked="0"/>
    </xf>
    <xf numFmtId="0" fontId="7" fillId="2" borderId="232" xfId="9" applyFill="1" applyBorder="1" applyAlignment="1" applyProtection="1">
      <alignment horizontal="left" vertical="center"/>
      <protection locked="0"/>
    </xf>
    <xf numFmtId="0" fontId="7" fillId="2" borderId="232" xfId="9" applyFill="1" applyBorder="1" applyProtection="1">
      <protection locked="0"/>
    </xf>
    <xf numFmtId="0" fontId="7" fillId="2" borderId="192" xfId="9" applyFill="1" applyBorder="1" applyProtection="1">
      <protection locked="0"/>
    </xf>
    <xf numFmtId="167" fontId="0" fillId="2" borderId="192" xfId="11" applyNumberFormat="1" applyFont="1" applyFill="1" applyBorder="1" applyAlignment="1" applyProtection="1">
      <alignment vertical="center"/>
      <protection locked="0"/>
    </xf>
    <xf numFmtId="174" fontId="7" fillId="35" borderId="195" xfId="9" applyNumberFormat="1" applyFill="1" applyBorder="1" applyAlignment="1">
      <alignment horizontal="right" vertical="center"/>
    </xf>
    <xf numFmtId="174" fontId="7" fillId="0" borderId="195" xfId="9" applyNumberFormat="1" applyBorder="1" applyAlignment="1">
      <alignment horizontal="right" vertical="center"/>
    </xf>
    <xf numFmtId="9" fontId="7" fillId="2" borderId="197" xfId="9" applyNumberFormat="1" applyFill="1" applyBorder="1" applyAlignment="1" applyProtection="1">
      <alignment horizontal="center" vertical="center"/>
      <protection locked="0"/>
    </xf>
    <xf numFmtId="174" fontId="7" fillId="0" borderId="192" xfId="9" applyNumberFormat="1" applyBorder="1" applyAlignment="1">
      <alignment horizontal="right" vertical="center"/>
    </xf>
    <xf numFmtId="174" fontId="7" fillId="0" borderId="209" xfId="9" applyNumberFormat="1" applyBorder="1" applyAlignment="1">
      <alignment horizontal="right" vertical="center"/>
    </xf>
    <xf numFmtId="184" fontId="0" fillId="2" borderId="200" xfId="10" applyFont="1" applyFill="1" applyBorder="1" applyAlignment="1" applyProtection="1">
      <alignment horizontal="center" vertical="center"/>
      <protection locked="0"/>
    </xf>
    <xf numFmtId="9" fontId="7" fillId="39" borderId="195" xfId="9" applyNumberFormat="1" applyFill="1" applyBorder="1" applyAlignment="1">
      <alignment horizontal="center" vertical="center"/>
    </xf>
    <xf numFmtId="0" fontId="5" fillId="31" borderId="232" xfId="9" applyFont="1" applyFill="1" applyBorder="1" applyAlignment="1">
      <alignment horizontal="center" vertical="center" wrapText="1"/>
    </xf>
    <xf numFmtId="0" fontId="12" fillId="31" borderId="232" xfId="9" applyFont="1" applyFill="1" applyBorder="1" applyAlignment="1">
      <alignment horizontal="left" vertical="center"/>
    </xf>
    <xf numFmtId="164" fontId="12" fillId="31" borderId="232" xfId="11" applyNumberFormat="1" applyFont="1" applyFill="1" applyBorder="1" applyAlignment="1">
      <alignment horizontal="center" vertical="center"/>
    </xf>
    <xf numFmtId="1" fontId="7" fillId="0" borderId="232" xfId="9" applyNumberFormat="1" applyBorder="1" applyAlignment="1">
      <alignment horizontal="center" vertical="center" wrapText="1"/>
    </xf>
    <xf numFmtId="171" fontId="13" fillId="0" borderId="232" xfId="9" applyNumberFormat="1" applyFont="1" applyBorder="1" applyAlignment="1">
      <alignment horizontal="left"/>
    </xf>
    <xf numFmtId="164" fontId="0" fillId="2" borderId="232" xfId="11" applyNumberFormat="1" applyFont="1" applyFill="1" applyBorder="1" applyAlignment="1" applyProtection="1">
      <alignment vertical="center"/>
      <protection locked="0"/>
    </xf>
    <xf numFmtId="0" fontId="7" fillId="20" borderId="99" xfId="9" applyFill="1" applyBorder="1"/>
    <xf numFmtId="0" fontId="7" fillId="20" borderId="100" xfId="9" applyFill="1" applyBorder="1"/>
    <xf numFmtId="0" fontId="7" fillId="20" borderId="101" xfId="9" applyFill="1" applyBorder="1"/>
    <xf numFmtId="164" fontId="12" fillId="31" borderId="232" xfId="11" applyNumberFormat="1" applyFont="1" applyFill="1" applyBorder="1" applyAlignment="1" applyProtection="1">
      <alignment horizontal="center" vertical="center"/>
      <protection locked="0"/>
    </xf>
    <xf numFmtId="0" fontId="7" fillId="2" borderId="199" xfId="9" applyFill="1" applyBorder="1" applyAlignment="1" applyProtection="1">
      <alignment horizontal="left" vertical="center"/>
      <protection locked="0"/>
    </xf>
    <xf numFmtId="0" fontId="7" fillId="2" borderId="228" xfId="9" applyFill="1" applyBorder="1" applyAlignment="1" applyProtection="1">
      <alignment horizontal="left" vertical="center"/>
      <protection locked="0"/>
    </xf>
    <xf numFmtId="0" fontId="7" fillId="2" borderId="228" xfId="9" applyFill="1" applyBorder="1" applyProtection="1">
      <protection locked="0"/>
    </xf>
    <xf numFmtId="0" fontId="7" fillId="2" borderId="204" xfId="9" applyFill="1" applyBorder="1" applyProtection="1">
      <protection locked="0"/>
    </xf>
    <xf numFmtId="167" fontId="0" fillId="2" borderId="228" xfId="11" applyNumberFormat="1" applyFont="1" applyFill="1" applyBorder="1" applyAlignment="1" applyProtection="1">
      <alignment vertical="center"/>
      <protection locked="0"/>
    </xf>
    <xf numFmtId="167" fontId="0" fillId="2" borderId="204" xfId="11" applyNumberFormat="1" applyFont="1" applyFill="1" applyBorder="1" applyAlignment="1" applyProtection="1">
      <alignment vertical="center"/>
      <protection locked="0"/>
    </xf>
    <xf numFmtId="174" fontId="7" fillId="35" borderId="178" xfId="9" applyNumberFormat="1" applyFill="1" applyBorder="1" applyAlignment="1">
      <alignment horizontal="right" vertical="center"/>
    </xf>
    <xf numFmtId="174" fontId="7" fillId="0" borderId="178" xfId="9" applyNumberFormat="1" applyBorder="1" applyAlignment="1">
      <alignment horizontal="right" vertical="center"/>
    </xf>
    <xf numFmtId="9" fontId="7" fillId="2" borderId="226" xfId="9" applyNumberFormat="1" applyFill="1" applyBorder="1" applyAlignment="1" applyProtection="1">
      <alignment horizontal="center" vertical="center"/>
      <protection locked="0"/>
    </xf>
    <xf numFmtId="174" fontId="7" fillId="0" borderId="204" xfId="9" applyNumberFormat="1" applyBorder="1" applyAlignment="1">
      <alignment horizontal="right" vertical="center"/>
    </xf>
    <xf numFmtId="174" fontId="7" fillId="0" borderId="229" xfId="9" applyNumberFormat="1" applyBorder="1" applyAlignment="1">
      <alignment horizontal="right" vertical="center"/>
    </xf>
    <xf numFmtId="184" fontId="0" fillId="2" borderId="199" xfId="10" applyFont="1" applyFill="1" applyBorder="1" applyAlignment="1" applyProtection="1">
      <alignment horizontal="center" vertical="center"/>
      <protection locked="0"/>
    </xf>
    <xf numFmtId="9" fontId="7" fillId="39" borderId="178" xfId="9" applyNumberFormat="1" applyFill="1" applyBorder="1" applyAlignment="1">
      <alignment horizontal="center" vertical="center"/>
    </xf>
    <xf numFmtId="0" fontId="7" fillId="2" borderId="266" xfId="9" applyFill="1" applyBorder="1" applyAlignment="1" applyProtection="1">
      <alignment horizontal="left" vertical="center"/>
      <protection locked="0"/>
    </xf>
    <xf numFmtId="0" fontId="7" fillId="2" borderId="262" xfId="9" applyFill="1" applyBorder="1" applyAlignment="1" applyProtection="1">
      <alignment horizontal="left" vertical="center"/>
      <protection locked="0"/>
    </xf>
    <xf numFmtId="0" fontId="7" fillId="2" borderId="262" xfId="9" applyFill="1" applyBorder="1" applyProtection="1">
      <protection locked="0"/>
    </xf>
    <xf numFmtId="0" fontId="7" fillId="2" borderId="263" xfId="9" applyFill="1" applyBorder="1" applyProtection="1">
      <protection locked="0"/>
    </xf>
    <xf numFmtId="174" fontId="7" fillId="35" borderId="265" xfId="9" applyNumberFormat="1" applyFill="1" applyBorder="1" applyAlignment="1">
      <alignment horizontal="right" vertical="center"/>
    </xf>
    <xf numFmtId="174" fontId="7" fillId="0" borderId="265" xfId="9" applyNumberFormat="1" applyBorder="1" applyAlignment="1">
      <alignment horizontal="right" vertical="center"/>
    </xf>
    <xf numFmtId="0" fontId="7" fillId="2" borderId="118" xfId="9" applyFill="1" applyBorder="1" applyAlignment="1" applyProtection="1">
      <alignment horizontal="left" vertical="center"/>
      <protection locked="0"/>
    </xf>
    <xf numFmtId="0" fontId="7" fillId="2" borderId="256" xfId="9" applyFill="1" applyBorder="1" applyAlignment="1" applyProtection="1">
      <alignment horizontal="left" vertical="center"/>
      <protection locked="0"/>
    </xf>
    <xf numFmtId="0" fontId="7" fillId="2" borderId="256" xfId="9" applyFill="1" applyBorder="1" applyProtection="1">
      <protection locked="0"/>
    </xf>
    <xf numFmtId="0" fontId="7" fillId="2" borderId="257" xfId="9" applyFill="1" applyBorder="1" applyProtection="1">
      <protection locked="0"/>
    </xf>
    <xf numFmtId="174" fontId="7" fillId="35" borderId="276" xfId="9" applyNumberFormat="1" applyFill="1" applyBorder="1" applyAlignment="1">
      <alignment horizontal="right" vertical="center"/>
    </xf>
    <xf numFmtId="174" fontId="7" fillId="0" borderId="276" xfId="9" applyNumberFormat="1" applyBorder="1" applyAlignment="1">
      <alignment horizontal="right" vertical="center"/>
    </xf>
    <xf numFmtId="9" fontId="7" fillId="2" borderId="259" xfId="9" applyNumberFormat="1" applyFill="1" applyBorder="1" applyAlignment="1" applyProtection="1">
      <alignment horizontal="center" vertical="center"/>
      <protection locked="0"/>
    </xf>
    <xf numFmtId="174" fontId="7" fillId="0" borderId="257" xfId="9" applyNumberFormat="1" applyBorder="1" applyAlignment="1">
      <alignment horizontal="right" vertical="center"/>
    </xf>
    <xf numFmtId="174" fontId="7" fillId="0" borderId="275" xfId="9" applyNumberFormat="1" applyBorder="1" applyAlignment="1">
      <alignment horizontal="right" vertical="center"/>
    </xf>
    <xf numFmtId="184" fontId="0" fillId="2" borderId="118" xfId="10" applyFont="1" applyFill="1" applyBorder="1" applyAlignment="1" applyProtection="1">
      <alignment horizontal="center" vertical="center"/>
      <protection locked="0"/>
    </xf>
    <xf numFmtId="174" fontId="8" fillId="39" borderId="65" xfId="9" applyNumberFormat="1" applyFont="1" applyFill="1" applyBorder="1" applyAlignment="1">
      <alignment horizontal="right" vertical="center"/>
    </xf>
    <xf numFmtId="184" fontId="19" fillId="9" borderId="67" xfId="10" applyFont="1" applyFill="1" applyBorder="1" applyAlignment="1">
      <alignment horizontal="center" vertical="center"/>
    </xf>
    <xf numFmtId="174" fontId="8" fillId="39" borderId="69" xfId="9" applyNumberFormat="1" applyFont="1" applyFill="1" applyBorder="1" applyAlignment="1">
      <alignment horizontal="right" vertical="center"/>
    </xf>
    <xf numFmtId="184" fontId="19" fillId="9" borderId="106" xfId="10" applyFont="1" applyFill="1" applyBorder="1" applyAlignment="1">
      <alignment horizontal="center" vertical="center"/>
    </xf>
    <xf numFmtId="0" fontId="7" fillId="2" borderId="141" xfId="9" applyFill="1" applyBorder="1" applyAlignment="1" applyProtection="1">
      <alignment horizontal="left" vertical="center"/>
      <protection locked="0"/>
    </xf>
    <xf numFmtId="0" fontId="7" fillId="2" borderId="137" xfId="9" applyFill="1" applyBorder="1" applyAlignment="1" applyProtection="1">
      <alignment horizontal="left" vertical="center"/>
      <protection locked="0"/>
    </xf>
    <xf numFmtId="0" fontId="7" fillId="2" borderId="137" xfId="9" applyFill="1" applyBorder="1" applyProtection="1">
      <protection locked="0"/>
    </xf>
    <xf numFmtId="0" fontId="7" fillId="2" borderId="142" xfId="9" applyFill="1" applyBorder="1" applyProtection="1">
      <protection locked="0"/>
    </xf>
    <xf numFmtId="174" fontId="7" fillId="20" borderId="0" xfId="9" applyNumberFormat="1" applyFill="1"/>
    <xf numFmtId="174" fontId="8" fillId="39" borderId="137" xfId="9" applyNumberFormat="1" applyFont="1" applyFill="1" applyBorder="1" applyAlignment="1">
      <alignment horizontal="right" vertical="center"/>
    </xf>
    <xf numFmtId="0" fontId="7" fillId="20" borderId="0" xfId="9" applyFill="1" applyAlignment="1">
      <alignment horizontal="center" vertical="center"/>
    </xf>
    <xf numFmtId="0" fontId="5" fillId="37" borderId="232" xfId="9" applyFont="1" applyFill="1" applyBorder="1" applyAlignment="1">
      <alignment horizontal="center" vertical="center" wrapText="1"/>
    </xf>
    <xf numFmtId="0" fontId="5" fillId="18" borderId="232" xfId="9" applyFont="1" applyFill="1" applyBorder="1" applyAlignment="1">
      <alignment horizontal="left" vertical="center"/>
    </xf>
    <xf numFmtId="164" fontId="5" fillId="37" borderId="232" xfId="9" applyNumberFormat="1" applyFont="1" applyFill="1" applyBorder="1" applyAlignment="1">
      <alignment horizontal="center" vertical="center" wrapText="1"/>
    </xf>
    <xf numFmtId="175" fontId="7" fillId="20" borderId="0" xfId="9" applyNumberFormat="1" applyFill="1"/>
    <xf numFmtId="176" fontId="7" fillId="0" borderId="0" xfId="11" applyNumberFormat="1"/>
    <xf numFmtId="176" fontId="7" fillId="20" borderId="0" xfId="9" applyNumberFormat="1" applyFill="1"/>
    <xf numFmtId="9" fontId="1" fillId="0" borderId="0" xfId="4"/>
    <xf numFmtId="164" fontId="5" fillId="0" borderId="0" xfId="4" applyNumberFormat="1" applyFont="1" applyAlignment="1">
      <alignment vertical="center"/>
    </xf>
    <xf numFmtId="42" fontId="0" fillId="22" borderId="0" xfId="3" applyFont="1" applyFill="1"/>
    <xf numFmtId="167" fontId="0" fillId="0" borderId="247" xfId="2" applyNumberFormat="1" applyFont="1" applyFill="1" applyBorder="1" applyAlignment="1" applyProtection="1">
      <alignment vertical="center"/>
    </xf>
    <xf numFmtId="164" fontId="0" fillId="0" borderId="232" xfId="2" applyNumberFormat="1" applyFont="1" applyFill="1" applyBorder="1" applyAlignment="1" applyProtection="1">
      <alignment vertical="center"/>
    </xf>
    <xf numFmtId="167" fontId="0" fillId="1" borderId="259" xfId="2" applyNumberFormat="1" applyFont="1" applyFill="1" applyBorder="1" applyAlignment="1" applyProtection="1">
      <alignment vertical="center"/>
      <protection hidden="1"/>
    </xf>
    <xf numFmtId="164" fontId="0" fillId="0" borderId="269" xfId="2" applyNumberFormat="1" applyFont="1" applyFill="1" applyBorder="1" applyAlignment="1" applyProtection="1">
      <alignment vertical="center"/>
    </xf>
    <xf numFmtId="164" fontId="0" fillId="0" borderId="275" xfId="2" applyNumberFormat="1" applyFont="1" applyFill="1" applyBorder="1" applyAlignment="1" applyProtection="1">
      <alignment vertical="center"/>
    </xf>
    <xf numFmtId="167" fontId="0" fillId="1" borderId="226" xfId="2" applyNumberFormat="1" applyFont="1" applyFill="1" applyBorder="1" applyAlignment="1" applyProtection="1">
      <alignment vertical="center"/>
      <protection hidden="1"/>
    </xf>
    <xf numFmtId="164" fontId="0" fillId="0" borderId="228" xfId="2" applyNumberFormat="1" applyFont="1" applyFill="1" applyBorder="1" applyAlignment="1" applyProtection="1">
      <alignment vertical="center"/>
    </xf>
    <xf numFmtId="164" fontId="0" fillId="0" borderId="229" xfId="2" applyNumberFormat="1" applyFont="1" applyFill="1" applyBorder="1" applyAlignment="1" applyProtection="1">
      <alignment vertical="center"/>
    </xf>
    <xf numFmtId="167" fontId="0" fillId="22" borderId="137" xfId="2" applyNumberFormat="1" applyFont="1" applyFill="1" applyBorder="1" applyAlignment="1" applyProtection="1">
      <alignment vertical="center"/>
    </xf>
    <xf numFmtId="167" fontId="0" fillId="22" borderId="277" xfId="2" applyNumberFormat="1" applyFont="1" applyFill="1" applyBorder="1" applyAlignment="1" applyProtection="1">
      <alignment vertical="center"/>
    </xf>
    <xf numFmtId="167" fontId="0" fillId="22" borderId="278" xfId="2" applyNumberFormat="1" applyFont="1" applyFill="1" applyBorder="1" applyAlignment="1" applyProtection="1">
      <alignment vertical="center"/>
    </xf>
    <xf numFmtId="9" fontId="7" fillId="0" borderId="232" xfId="4" applyFont="1" applyFill="1" applyBorder="1" applyAlignment="1" applyProtection="1">
      <alignment horizontal="center" vertical="center"/>
    </xf>
    <xf numFmtId="0" fontId="2" fillId="52" borderId="0" xfId="0" applyFont="1" applyFill="1" applyAlignment="1">
      <alignment horizontal="center"/>
    </xf>
    <xf numFmtId="164" fontId="5" fillId="3" borderId="232" xfId="0" applyNumberFormat="1" applyFont="1" applyFill="1" applyBorder="1" applyAlignment="1">
      <alignment horizontal="center" vertical="center" wrapText="1"/>
    </xf>
    <xf numFmtId="167" fontId="0" fillId="0" borderId="279" xfId="2" applyNumberFormat="1" applyFont="1" applyFill="1" applyBorder="1" applyAlignment="1" applyProtection="1">
      <alignment vertical="center"/>
    </xf>
    <xf numFmtId="9" fontId="0" fillId="1" borderId="40" xfId="2" applyNumberFormat="1" applyFont="1" applyFill="1" applyBorder="1" applyAlignment="1" applyProtection="1">
      <alignment vertical="center"/>
      <protection hidden="1"/>
    </xf>
    <xf numFmtId="9" fontId="0" fillId="1" borderId="8" xfId="2" applyNumberFormat="1" applyFont="1" applyFill="1" applyBorder="1" applyAlignment="1" applyProtection="1">
      <alignment vertical="center"/>
      <protection hidden="1"/>
    </xf>
    <xf numFmtId="9" fontId="0" fillId="1" borderId="41" xfId="2" applyNumberFormat="1" applyFont="1" applyFill="1" applyBorder="1" applyAlignment="1" applyProtection="1">
      <alignment vertical="center"/>
      <protection hidden="1"/>
    </xf>
    <xf numFmtId="9" fontId="0" fillId="1" borderId="205" xfId="2" applyNumberFormat="1" applyFont="1" applyFill="1" applyBorder="1" applyAlignment="1" applyProtection="1">
      <alignment vertical="center"/>
      <protection hidden="1"/>
    </xf>
    <xf numFmtId="9" fontId="0" fillId="1" borderId="206" xfId="2" applyNumberFormat="1" applyFont="1" applyFill="1" applyBorder="1" applyAlignment="1" applyProtection="1">
      <alignment vertical="center"/>
      <protection hidden="1"/>
    </xf>
    <xf numFmtId="9" fontId="0" fillId="1" borderId="203" xfId="2" applyNumberFormat="1" applyFont="1" applyFill="1" applyBorder="1" applyAlignment="1" applyProtection="1">
      <alignment vertical="center"/>
      <protection hidden="1"/>
    </xf>
    <xf numFmtId="9" fontId="0" fillId="1" borderId="197" xfId="2" applyNumberFormat="1" applyFont="1" applyFill="1" applyBorder="1" applyAlignment="1" applyProtection="1">
      <alignment vertical="center"/>
      <protection hidden="1"/>
    </xf>
    <xf numFmtId="9" fontId="0" fillId="1" borderId="190" xfId="2" applyNumberFormat="1" applyFont="1" applyFill="1" applyBorder="1" applyAlignment="1" applyProtection="1">
      <alignment vertical="center"/>
      <protection hidden="1"/>
    </xf>
    <xf numFmtId="9" fontId="0" fillId="1" borderId="192" xfId="2" applyNumberFormat="1" applyFont="1" applyFill="1" applyBorder="1" applyAlignment="1" applyProtection="1">
      <alignment vertical="center"/>
      <protection hidden="1"/>
    </xf>
    <xf numFmtId="0" fontId="0" fillId="57" borderId="0" xfId="0" applyFill="1"/>
    <xf numFmtId="0" fontId="5" fillId="58" borderId="238" xfId="0" applyFont="1" applyFill="1" applyBorder="1" applyAlignment="1">
      <alignment horizontal="left" vertical="center"/>
    </xf>
    <xf numFmtId="164" fontId="0" fillId="58" borderId="232" xfId="2" applyNumberFormat="1" applyFont="1" applyFill="1" applyBorder="1" applyAlignment="1" applyProtection="1">
      <alignment vertical="center"/>
    </xf>
    <xf numFmtId="164" fontId="0" fillId="59" borderId="232" xfId="2" applyNumberFormat="1" applyFont="1" applyFill="1" applyBorder="1" applyAlignment="1" applyProtection="1">
      <alignment vertical="center"/>
    </xf>
    <xf numFmtId="164" fontId="5" fillId="58" borderId="232" xfId="2" applyNumberFormat="1" applyFont="1" applyFill="1" applyBorder="1" applyAlignment="1" applyProtection="1">
      <alignment vertical="center"/>
    </xf>
    <xf numFmtId="164" fontId="0" fillId="58" borderId="239" xfId="2" applyNumberFormat="1" applyFont="1" applyFill="1" applyBorder="1" applyAlignment="1" applyProtection="1">
      <alignment vertical="center"/>
    </xf>
    <xf numFmtId="164" fontId="0" fillId="58" borderId="237" xfId="2" applyNumberFormat="1" applyFont="1" applyFill="1" applyBorder="1" applyAlignment="1" applyProtection="1">
      <alignment vertical="center"/>
    </xf>
    <xf numFmtId="164" fontId="0" fillId="58" borderId="190" xfId="2" applyNumberFormat="1" applyFont="1" applyFill="1" applyBorder="1" applyAlignment="1" applyProtection="1">
      <alignment vertical="center"/>
    </xf>
    <xf numFmtId="164" fontId="0" fillId="58" borderId="223" xfId="2" applyNumberFormat="1" applyFont="1" applyFill="1" applyBorder="1" applyAlignment="1" applyProtection="1">
      <alignment vertical="center"/>
    </xf>
    <xf numFmtId="167" fontId="0" fillId="0" borderId="284" xfId="2" applyNumberFormat="1" applyFont="1" applyFill="1" applyBorder="1" applyAlignment="1" applyProtection="1">
      <alignment vertical="center"/>
    </xf>
    <xf numFmtId="167" fontId="0" fillId="0" borderId="285" xfId="2" applyNumberFormat="1" applyFont="1" applyFill="1" applyBorder="1" applyAlignment="1" applyProtection="1">
      <alignment vertical="center"/>
    </xf>
    <xf numFmtId="167" fontId="0" fillId="0" borderId="286" xfId="2" applyNumberFormat="1" applyFont="1" applyFill="1" applyBorder="1" applyAlignment="1" applyProtection="1">
      <alignment vertical="center"/>
    </xf>
    <xf numFmtId="167" fontId="0" fillId="1" borderId="284" xfId="2" applyNumberFormat="1" applyFont="1" applyFill="1" applyBorder="1" applyAlignment="1" applyProtection="1">
      <alignment vertical="center"/>
      <protection hidden="1"/>
    </xf>
    <xf numFmtId="167" fontId="0" fillId="1" borderId="287" xfId="2" applyNumberFormat="1" applyFont="1" applyFill="1" applyBorder="1" applyAlignment="1" applyProtection="1">
      <alignment vertical="center"/>
      <protection hidden="1"/>
    </xf>
    <xf numFmtId="167" fontId="0" fillId="22" borderId="228" xfId="2" applyNumberFormat="1" applyFont="1" applyFill="1" applyBorder="1" applyAlignment="1" applyProtection="1">
      <alignment vertical="center"/>
    </xf>
    <xf numFmtId="167" fontId="0" fillId="22" borderId="229" xfId="2" applyNumberFormat="1" applyFont="1" applyFill="1" applyBorder="1" applyAlignment="1" applyProtection="1">
      <alignment vertical="center"/>
    </xf>
    <xf numFmtId="164" fontId="0" fillId="0" borderId="290" xfId="2" applyNumberFormat="1" applyFont="1" applyFill="1" applyBorder="1" applyAlignment="1" applyProtection="1">
      <alignment vertical="center"/>
    </xf>
    <xf numFmtId="164" fontId="0" fillId="0" borderId="257" xfId="2" applyNumberFormat="1" applyFont="1" applyFill="1" applyBorder="1" applyAlignment="1" applyProtection="1">
      <alignment vertical="center"/>
    </xf>
    <xf numFmtId="9" fontId="0" fillId="1" borderId="287" xfId="2" applyNumberFormat="1" applyFont="1" applyFill="1" applyBorder="1" applyAlignment="1" applyProtection="1">
      <alignment vertical="center"/>
      <protection hidden="1"/>
    </xf>
    <xf numFmtId="9" fontId="0" fillId="1" borderId="290" xfId="2" applyNumberFormat="1" applyFont="1" applyFill="1" applyBorder="1" applyAlignment="1" applyProtection="1">
      <alignment vertical="center"/>
      <protection hidden="1"/>
    </xf>
    <xf numFmtId="9" fontId="0" fillId="1" borderId="291" xfId="2" applyNumberFormat="1" applyFont="1" applyFill="1" applyBorder="1" applyAlignment="1" applyProtection="1">
      <alignment vertical="center"/>
      <protection hidden="1"/>
    </xf>
    <xf numFmtId="167" fontId="0" fillId="0" borderId="290" xfId="2" applyNumberFormat="1" applyFont="1" applyFill="1" applyBorder="1" applyAlignment="1" applyProtection="1">
      <alignment vertical="center"/>
    </xf>
    <xf numFmtId="167" fontId="0" fillId="0" borderId="292" xfId="2" applyNumberFormat="1" applyFont="1" applyFill="1" applyBorder="1" applyAlignment="1" applyProtection="1">
      <alignment vertical="center"/>
    </xf>
    <xf numFmtId="167" fontId="0" fillId="54" borderId="94" xfId="2" applyNumberFormat="1" applyFont="1" applyFill="1" applyBorder="1" applyAlignment="1" applyProtection="1">
      <alignment vertical="center"/>
      <protection hidden="1"/>
    </xf>
    <xf numFmtId="167" fontId="0" fillId="54" borderId="112" xfId="2" applyNumberFormat="1" applyFont="1" applyFill="1" applyBorder="1" applyAlignment="1" applyProtection="1">
      <alignment vertical="center"/>
      <protection hidden="1"/>
    </xf>
    <xf numFmtId="167" fontId="0" fillId="54" borderId="96" xfId="2" applyNumberFormat="1" applyFont="1" applyFill="1" applyBorder="1" applyAlignment="1" applyProtection="1">
      <alignment vertical="center"/>
      <protection hidden="1"/>
    </xf>
    <xf numFmtId="168" fontId="0" fillId="2" borderId="97" xfId="2" applyNumberFormat="1" applyFont="1" applyFill="1" applyBorder="1" applyAlignment="1" applyProtection="1">
      <alignment horizontal="center" vertical="center"/>
    </xf>
    <xf numFmtId="167" fontId="0" fillId="1" borderId="112" xfId="2" applyNumberFormat="1" applyFont="1" applyFill="1" applyBorder="1" applyAlignment="1" applyProtection="1">
      <alignment vertical="center"/>
    </xf>
    <xf numFmtId="167" fontId="0" fillId="1" borderId="96" xfId="2" applyNumberFormat="1" applyFont="1" applyFill="1" applyBorder="1" applyAlignment="1" applyProtection="1">
      <alignment vertical="center"/>
    </xf>
    <xf numFmtId="167" fontId="0" fillId="24" borderId="112" xfId="2" applyNumberFormat="1" applyFont="1" applyFill="1" applyBorder="1" applyAlignment="1" applyProtection="1">
      <alignment vertical="center"/>
    </xf>
    <xf numFmtId="167" fontId="0" fillId="1" borderId="112" xfId="2" applyNumberFormat="1" applyFont="1" applyFill="1" applyBorder="1" applyAlignment="1" applyProtection="1">
      <alignment vertical="center"/>
      <protection hidden="1"/>
    </xf>
    <xf numFmtId="167" fontId="0" fillId="1" borderId="96" xfId="2" applyNumberFormat="1" applyFont="1" applyFill="1" applyBorder="1" applyAlignment="1" applyProtection="1">
      <alignment vertical="center"/>
      <protection hidden="1"/>
    </xf>
    <xf numFmtId="167" fontId="0" fillId="22" borderId="246" xfId="2" applyNumberFormat="1" applyFont="1" applyFill="1" applyBorder="1" applyAlignment="1" applyProtection="1">
      <alignment vertical="center"/>
    </xf>
    <xf numFmtId="167" fontId="0" fillId="22" borderId="247" xfId="2" applyNumberFormat="1" applyFont="1" applyFill="1" applyBorder="1" applyAlignment="1" applyProtection="1">
      <alignment vertical="center"/>
    </xf>
    <xf numFmtId="167" fontId="0" fillId="22" borderId="250" xfId="2" applyNumberFormat="1" applyFont="1" applyFill="1" applyBorder="1" applyAlignment="1" applyProtection="1">
      <alignment vertical="center"/>
    </xf>
    <xf numFmtId="167" fontId="0" fillId="22" borderId="204" xfId="2" applyNumberFormat="1" applyFont="1" applyFill="1" applyBorder="1" applyAlignment="1" applyProtection="1">
      <alignment vertical="center"/>
    </xf>
    <xf numFmtId="0" fontId="0" fillId="0" borderId="39" xfId="0" applyBorder="1" applyAlignment="1">
      <alignment vertical="center"/>
    </xf>
    <xf numFmtId="0" fontId="0" fillId="0" borderId="46" xfId="0" applyBorder="1" applyAlignment="1">
      <alignment vertical="center"/>
    </xf>
    <xf numFmtId="0" fontId="0" fillId="0" borderId="46" xfId="0" applyBorder="1" applyAlignment="1">
      <alignment horizontal="right" vertical="center"/>
    </xf>
    <xf numFmtId="0" fontId="32" fillId="22" borderId="57" xfId="0" applyFont="1" applyFill="1" applyBorder="1" applyAlignment="1">
      <alignment horizontal="center" vertical="center" wrapText="1"/>
    </xf>
    <xf numFmtId="0" fontId="0" fillId="0" borderId="19" xfId="0" applyBorder="1" applyAlignment="1">
      <alignment vertical="center"/>
    </xf>
    <xf numFmtId="0" fontId="0" fillId="0" borderId="109" xfId="0" applyBorder="1" applyAlignment="1">
      <alignment vertical="center"/>
    </xf>
    <xf numFmtId="0" fontId="0" fillId="22" borderId="289" xfId="0" applyFill="1" applyBorder="1" applyAlignment="1">
      <alignment horizontal="right" vertical="center"/>
    </xf>
    <xf numFmtId="0" fontId="0" fillId="22" borderId="178" xfId="0" applyFill="1" applyBorder="1" applyAlignment="1">
      <alignment vertical="center"/>
    </xf>
    <xf numFmtId="0" fontId="0" fillId="22" borderId="99" xfId="0" applyFill="1" applyBorder="1" applyAlignment="1">
      <alignment vertical="center"/>
    </xf>
    <xf numFmtId="0" fontId="32" fillId="0" borderId="65" xfId="0" applyFont="1" applyBorder="1" applyAlignment="1">
      <alignment horizontal="center" vertical="center" wrapText="1"/>
    </xf>
    <xf numFmtId="0" fontId="0" fillId="0" borderId="71" xfId="0" applyBorder="1" applyAlignment="1">
      <alignment vertical="center"/>
    </xf>
    <xf numFmtId="0" fontId="40" fillId="0" borderId="0" xfId="0" applyFont="1" applyAlignment="1">
      <alignment vertical="center"/>
    </xf>
    <xf numFmtId="0" fontId="32" fillId="0" borderId="0" xfId="0" applyFont="1" applyAlignment="1">
      <alignment vertical="center"/>
    </xf>
    <xf numFmtId="0" fontId="32" fillId="0" borderId="0" xfId="0" applyFont="1" applyAlignment="1">
      <alignment horizontal="center" vertical="center"/>
    </xf>
    <xf numFmtId="0" fontId="41" fillId="0" borderId="0" xfId="0" applyFont="1" applyAlignment="1">
      <alignment vertical="center"/>
    </xf>
    <xf numFmtId="3" fontId="40" fillId="0" borderId="0" xfId="4" applyNumberFormat="1" applyFont="1" applyBorder="1" applyAlignment="1" applyProtection="1">
      <alignment vertical="center"/>
    </xf>
    <xf numFmtId="9" fontId="40" fillId="0" borderId="0" xfId="4" applyFont="1" applyBorder="1" applyAlignment="1" applyProtection="1">
      <alignment vertical="center"/>
    </xf>
    <xf numFmtId="0" fontId="32" fillId="0" borderId="0" xfId="0" applyFont="1" applyAlignment="1">
      <alignment horizontal="right" vertical="center"/>
    </xf>
    <xf numFmtId="0" fontId="42" fillId="20" borderId="0" xfId="0" applyFont="1" applyFill="1" applyAlignment="1">
      <alignment horizontal="left" vertical="center" indent="2"/>
    </xf>
    <xf numFmtId="164" fontId="32" fillId="0" borderId="0" xfId="0" applyNumberFormat="1" applyFont="1" applyAlignment="1">
      <alignment horizontal="center" vertical="center" wrapText="1"/>
    </xf>
    <xf numFmtId="164" fontId="39" fillId="60" borderId="296" xfId="0" applyNumberFormat="1" applyFont="1" applyFill="1" applyBorder="1" applyAlignment="1">
      <alignment horizontal="center" vertical="center" wrapText="1"/>
    </xf>
    <xf numFmtId="164" fontId="39" fillId="60" borderId="297" xfId="0" applyNumberFormat="1" applyFont="1" applyFill="1" applyBorder="1" applyAlignment="1">
      <alignment horizontal="center" vertical="center" wrapText="1"/>
    </xf>
    <xf numFmtId="164" fontId="39" fillId="60" borderId="298" xfId="0" applyNumberFormat="1" applyFont="1" applyFill="1" applyBorder="1" applyAlignment="1">
      <alignment horizontal="center" vertical="center" wrapText="1"/>
    </xf>
    <xf numFmtId="164" fontId="32" fillId="7" borderId="99" xfId="0" applyNumberFormat="1" applyFont="1" applyFill="1" applyBorder="1" applyAlignment="1">
      <alignment horizontal="center" vertical="center" wrapText="1"/>
    </xf>
    <xf numFmtId="164" fontId="32" fillId="7" borderId="297" xfId="0" applyNumberFormat="1" applyFont="1" applyFill="1" applyBorder="1" applyAlignment="1">
      <alignment horizontal="center" vertical="center" wrapText="1"/>
    </xf>
    <xf numFmtId="164" fontId="32" fillId="7" borderId="101" xfId="0" applyNumberFormat="1" applyFont="1" applyFill="1" applyBorder="1" applyAlignment="1">
      <alignment horizontal="center" vertical="center" wrapText="1"/>
    </xf>
    <xf numFmtId="164" fontId="32" fillId="3" borderId="296" xfId="0" applyNumberFormat="1" applyFont="1" applyFill="1" applyBorder="1" applyAlignment="1">
      <alignment horizontal="center" vertical="center" wrapText="1"/>
    </xf>
    <xf numFmtId="164" fontId="32" fillId="3" borderId="297" xfId="0" applyNumberFormat="1" applyFont="1" applyFill="1" applyBorder="1" applyAlignment="1">
      <alignment horizontal="center" vertical="center" wrapText="1"/>
    </xf>
    <xf numFmtId="164" fontId="32" fillId="3" borderId="298" xfId="0" applyNumberFormat="1" applyFont="1" applyFill="1" applyBorder="1" applyAlignment="1">
      <alignment horizontal="center" vertical="center" wrapText="1"/>
    </xf>
    <xf numFmtId="164" fontId="32" fillId="13" borderId="25" xfId="0" applyNumberFormat="1" applyFont="1" applyFill="1" applyBorder="1" applyAlignment="1">
      <alignment horizontal="center" vertical="center" wrapText="1"/>
    </xf>
    <xf numFmtId="164" fontId="32" fillId="13" borderId="4" xfId="0" applyNumberFormat="1" applyFont="1" applyFill="1" applyBorder="1" applyAlignment="1">
      <alignment horizontal="center" vertical="center" wrapText="1"/>
    </xf>
    <xf numFmtId="164" fontId="32" fillId="13" borderId="26" xfId="0" applyNumberFormat="1" applyFont="1" applyFill="1" applyBorder="1" applyAlignment="1">
      <alignment horizontal="center" vertical="center" wrapText="1"/>
    </xf>
    <xf numFmtId="169" fontId="32" fillId="23" borderId="42" xfId="0" applyNumberFormat="1" applyFont="1" applyFill="1" applyBorder="1" applyAlignment="1">
      <alignment horizontal="center"/>
    </xf>
    <xf numFmtId="169" fontId="32" fillId="23" borderId="47" xfId="0" applyNumberFormat="1" applyFont="1" applyFill="1" applyBorder="1" applyAlignment="1">
      <alignment horizontal="center"/>
    </xf>
    <xf numFmtId="0" fontId="32" fillId="22" borderId="43" xfId="0" applyFont="1" applyFill="1" applyBorder="1" applyAlignment="1">
      <alignment horizontal="right" vertical="center"/>
    </xf>
    <xf numFmtId="0" fontId="32" fillId="0" borderId="46" xfId="0" applyFont="1" applyBorder="1" applyAlignment="1">
      <alignment horizontal="left" vertical="center"/>
    </xf>
    <xf numFmtId="169" fontId="32" fillId="24" borderId="47" xfId="0" applyNumberFormat="1" applyFont="1" applyFill="1" applyBorder="1" applyAlignment="1">
      <alignment horizontal="center"/>
    </xf>
    <xf numFmtId="169" fontId="32" fillId="23" borderId="59" xfId="0" applyNumberFormat="1" applyFont="1" applyFill="1" applyBorder="1" applyAlignment="1">
      <alignment horizontal="center"/>
    </xf>
    <xf numFmtId="0" fontId="32" fillId="22" borderId="48" xfId="0" applyFont="1" applyFill="1" applyBorder="1" applyAlignment="1">
      <alignment horizontal="right" vertical="center"/>
    </xf>
    <xf numFmtId="169" fontId="32" fillId="23" borderId="72" xfId="0" applyNumberFormat="1" applyFont="1" applyFill="1" applyBorder="1" applyAlignment="1">
      <alignment horizontal="center" vertical="center"/>
    </xf>
    <xf numFmtId="185" fontId="0" fillId="22" borderId="0" xfId="0" applyNumberFormat="1" applyFill="1"/>
    <xf numFmtId="167" fontId="0" fillId="0" borderId="0" xfId="0" applyNumberFormat="1"/>
    <xf numFmtId="0" fontId="2" fillId="0" borderId="0" xfId="0" applyFont="1"/>
    <xf numFmtId="167" fontId="2" fillId="0" borderId="0" xfId="0" applyNumberFormat="1" applyFont="1"/>
    <xf numFmtId="173" fontId="0" fillId="0" borderId="265" xfId="2" applyNumberFormat="1" applyFont="1" applyFill="1" applyBorder="1" applyAlignment="1" applyProtection="1">
      <alignment horizontal="left" vertical="center"/>
    </xf>
    <xf numFmtId="164" fontId="0" fillId="35" borderId="246" xfId="2" applyNumberFormat="1" applyFont="1" applyFill="1" applyBorder="1" applyAlignment="1" applyProtection="1">
      <alignment vertical="center"/>
    </xf>
    <xf numFmtId="164" fontId="0" fillId="46" borderId="226" xfId="2" applyNumberFormat="1" applyFont="1" applyFill="1" applyBorder="1" applyAlignment="1" applyProtection="1">
      <alignment vertical="center"/>
    </xf>
    <xf numFmtId="164" fontId="0" fillId="35" borderId="228" xfId="2" applyNumberFormat="1" applyFont="1" applyFill="1" applyBorder="1" applyAlignment="1" applyProtection="1">
      <alignment vertical="center"/>
    </xf>
    <xf numFmtId="164" fontId="0" fillId="35" borderId="229" xfId="2" applyNumberFormat="1" applyFont="1" applyFill="1" applyBorder="1" applyAlignment="1" applyProtection="1">
      <alignment vertical="center"/>
    </xf>
    <xf numFmtId="164" fontId="0" fillId="47" borderId="193" xfId="2" applyNumberFormat="1" applyFont="1" applyFill="1" applyBorder="1" applyAlignment="1" applyProtection="1">
      <alignment vertical="center"/>
    </xf>
    <xf numFmtId="164" fontId="0" fillId="45" borderId="246" xfId="2" applyNumberFormat="1" applyFont="1" applyFill="1" applyBorder="1" applyAlignment="1" applyProtection="1">
      <alignment vertical="center"/>
    </xf>
    <xf numFmtId="164" fontId="0" fillId="47" borderId="226" xfId="2" applyNumberFormat="1" applyFont="1" applyFill="1" applyBorder="1" applyAlignment="1" applyProtection="1">
      <alignment vertical="center"/>
    </xf>
    <xf numFmtId="164" fontId="0" fillId="45" borderId="228" xfId="2" applyNumberFormat="1" applyFont="1" applyFill="1" applyBorder="1" applyAlignment="1" applyProtection="1">
      <alignment vertical="center"/>
    </xf>
    <xf numFmtId="164" fontId="0" fillId="45" borderId="229" xfId="2" applyNumberFormat="1" applyFont="1" applyFill="1" applyBorder="1" applyAlignment="1" applyProtection="1">
      <alignment vertical="center"/>
    </xf>
    <xf numFmtId="164" fontId="0" fillId="0" borderId="246" xfId="2" applyNumberFormat="1" applyFont="1" applyFill="1" applyBorder="1" applyAlignment="1" applyProtection="1">
      <alignment vertical="center"/>
    </xf>
    <xf numFmtId="164" fontId="0" fillId="1" borderId="226" xfId="2" applyNumberFormat="1" applyFont="1" applyFill="1" applyBorder="1" applyAlignment="1" applyProtection="1">
      <alignment vertical="center"/>
    </xf>
    <xf numFmtId="178" fontId="0" fillId="1" borderId="193" xfId="4" applyNumberFormat="1" applyFont="1" applyFill="1" applyBorder="1" applyAlignment="1">
      <alignment horizontal="center" vertical="center"/>
    </xf>
    <xf numFmtId="178" fontId="0" fillId="0" borderId="262" xfId="4" applyNumberFormat="1" applyFont="1" applyBorder="1" applyAlignment="1">
      <alignment horizontal="center" vertical="center"/>
    </xf>
    <xf numFmtId="178" fontId="0" fillId="1" borderId="226" xfId="4" applyNumberFormat="1" applyFont="1" applyFill="1" applyBorder="1" applyAlignment="1">
      <alignment horizontal="center" vertical="center"/>
    </xf>
    <xf numFmtId="178" fontId="0" fillId="0" borderId="228" xfId="4" applyNumberFormat="1" applyFont="1" applyBorder="1" applyAlignment="1">
      <alignment horizontal="center" vertical="center"/>
    </xf>
    <xf numFmtId="178" fontId="0" fillId="0" borderId="229" xfId="4" applyNumberFormat="1" applyFont="1" applyBorder="1" applyAlignment="1">
      <alignment horizontal="center" vertical="center"/>
    </xf>
    <xf numFmtId="0" fontId="19" fillId="9" borderId="67" xfId="10" applyNumberFormat="1" applyFont="1" applyFill="1" applyBorder="1" applyAlignment="1">
      <alignment horizontal="center" vertical="center"/>
    </xf>
    <xf numFmtId="42" fontId="0" fillId="0" borderId="0" xfId="3" applyFont="1" applyFill="1" applyBorder="1"/>
    <xf numFmtId="42" fontId="2" fillId="0" borderId="0" xfId="3" applyFont="1" applyFill="1" applyBorder="1" applyAlignment="1">
      <alignment horizontal="right"/>
    </xf>
    <xf numFmtId="9" fontId="2" fillId="0" borderId="0" xfId="4" applyFont="1" applyFill="1" applyBorder="1" applyAlignment="1">
      <alignment horizontal="center"/>
    </xf>
    <xf numFmtId="168" fontId="0" fillId="2" borderId="23" xfId="2" applyNumberFormat="1" applyFont="1" applyFill="1" applyBorder="1" applyAlignment="1" applyProtection="1">
      <alignment horizontal="center" vertical="center"/>
    </xf>
    <xf numFmtId="168" fontId="0" fillId="2" borderId="36" xfId="2" applyNumberFormat="1" applyFont="1" applyFill="1" applyBorder="1" applyAlignment="1" applyProtection="1">
      <alignment horizontal="center" vertical="center"/>
    </xf>
    <xf numFmtId="168" fontId="0" fillId="2" borderId="37" xfId="2" applyNumberFormat="1" applyFont="1" applyFill="1" applyBorder="1" applyAlignment="1" applyProtection="1">
      <alignment horizontal="center" vertical="center"/>
    </xf>
    <xf numFmtId="168" fontId="0" fillId="2" borderId="40" xfId="2" applyNumberFormat="1" applyFont="1" applyFill="1" applyBorder="1" applyAlignment="1" applyProtection="1">
      <alignment horizontal="center" vertical="center"/>
    </xf>
    <xf numFmtId="168" fontId="0" fillId="2" borderId="8" xfId="2" applyNumberFormat="1" applyFont="1" applyFill="1" applyBorder="1" applyAlignment="1" applyProtection="1">
      <alignment horizontal="center" vertical="center"/>
    </xf>
    <xf numFmtId="168" fontId="0" fillId="2" borderId="41" xfId="2" applyNumberFormat="1" applyFont="1" applyFill="1" applyBorder="1" applyAlignment="1" applyProtection="1">
      <alignment horizontal="center" vertical="center"/>
    </xf>
    <xf numFmtId="168" fontId="0" fillId="2" borderId="193" xfId="2" applyNumberFormat="1" applyFont="1" applyFill="1" applyBorder="1" applyAlignment="1" applyProtection="1">
      <alignment horizontal="center" vertical="center"/>
    </xf>
    <xf numFmtId="168" fontId="0" fillId="2" borderId="246" xfId="2" applyNumberFormat="1" applyFont="1" applyFill="1" applyBorder="1" applyAlignment="1" applyProtection="1">
      <alignment horizontal="center" vertical="center"/>
    </xf>
    <xf numFmtId="168" fontId="0" fillId="2" borderId="197" xfId="2" applyNumberFormat="1" applyFont="1" applyFill="1" applyBorder="1" applyAlignment="1" applyProtection="1">
      <alignment horizontal="center" vertical="center"/>
    </xf>
    <xf numFmtId="168" fontId="0" fillId="2" borderId="232" xfId="2" applyNumberFormat="1" applyFont="1" applyFill="1" applyBorder="1" applyAlignment="1" applyProtection="1">
      <alignment horizontal="center" vertical="center"/>
    </xf>
    <xf numFmtId="168" fontId="0" fillId="2" borderId="280" xfId="2" applyNumberFormat="1" applyFont="1" applyFill="1" applyBorder="1" applyAlignment="1" applyProtection="1">
      <alignment horizontal="center" vertical="center"/>
    </xf>
    <xf numFmtId="168" fontId="0" fillId="2" borderId="306" xfId="2" applyNumberFormat="1" applyFont="1" applyFill="1" applyBorder="1" applyAlignment="1" applyProtection="1">
      <alignment horizontal="center" vertical="center"/>
    </xf>
    <xf numFmtId="168" fontId="0" fillId="2" borderId="307" xfId="2" applyNumberFormat="1" applyFont="1" applyFill="1" applyBorder="1" applyAlignment="1" applyProtection="1">
      <alignment horizontal="center" vertical="center"/>
    </xf>
    <xf numFmtId="168" fontId="0" fillId="2" borderId="308" xfId="2" applyNumberFormat="1" applyFont="1" applyFill="1" applyBorder="1" applyAlignment="1" applyProtection="1">
      <alignment horizontal="center" vertical="center"/>
    </xf>
    <xf numFmtId="168" fontId="0" fillId="2" borderId="130" xfId="2" applyNumberFormat="1" applyFont="1" applyFill="1" applyBorder="1" applyAlignment="1" applyProtection="1">
      <alignment horizontal="center" vertical="center"/>
    </xf>
    <xf numFmtId="168" fontId="0" fillId="2" borderId="207" xfId="2" applyNumberFormat="1" applyFont="1" applyFill="1" applyBorder="1" applyAlignment="1" applyProtection="1">
      <alignment horizontal="center" vertical="center"/>
    </xf>
    <xf numFmtId="168" fontId="0" fillId="2" borderId="284" xfId="2" applyNumberFormat="1" applyFont="1" applyFill="1" applyBorder="1" applyAlignment="1" applyProtection="1">
      <alignment horizontal="center" vertical="center"/>
    </xf>
    <xf numFmtId="168" fontId="0" fillId="2" borderId="285" xfId="2" applyNumberFormat="1" applyFont="1" applyFill="1" applyBorder="1" applyAlignment="1" applyProtection="1">
      <alignment horizontal="center" vertical="center"/>
    </xf>
    <xf numFmtId="168" fontId="0" fillId="2" borderId="286" xfId="2" applyNumberFormat="1" applyFont="1" applyFill="1" applyBorder="1" applyAlignment="1" applyProtection="1">
      <alignment horizontal="center" vertical="center"/>
    </xf>
    <xf numFmtId="168" fontId="0" fillId="2" borderId="226" xfId="2" applyNumberFormat="1" applyFont="1" applyFill="1" applyBorder="1" applyAlignment="1" applyProtection="1">
      <alignment horizontal="center" vertical="center"/>
    </xf>
    <xf numFmtId="168" fontId="0" fillId="2" borderId="228" xfId="2" applyNumberFormat="1" applyFont="1" applyFill="1" applyBorder="1" applyAlignment="1" applyProtection="1">
      <alignment horizontal="center" vertical="center"/>
    </xf>
    <xf numFmtId="168" fontId="0" fillId="2" borderId="229" xfId="2" applyNumberFormat="1" applyFont="1" applyFill="1" applyBorder="1" applyAlignment="1" applyProtection="1">
      <alignment horizontal="center" vertical="center"/>
    </xf>
    <xf numFmtId="168" fontId="0" fillId="2" borderId="247" xfId="2" applyNumberFormat="1" applyFont="1" applyFill="1" applyBorder="1" applyAlignment="1" applyProtection="1">
      <alignment horizontal="center" vertical="center"/>
    </xf>
    <xf numFmtId="42" fontId="0" fillId="23" borderId="0" xfId="3" applyFont="1" applyFill="1" applyBorder="1"/>
    <xf numFmtId="42" fontId="0" fillId="0" borderId="0" xfId="0" applyNumberFormat="1"/>
    <xf numFmtId="164" fontId="32" fillId="62" borderId="0" xfId="0" applyNumberFormat="1" applyFont="1" applyFill="1" applyAlignment="1">
      <alignment horizontal="center" vertical="center" wrapText="1"/>
    </xf>
    <xf numFmtId="42" fontId="0" fillId="22" borderId="0" xfId="3" applyFont="1" applyFill="1" applyBorder="1"/>
    <xf numFmtId="6" fontId="0" fillId="22" borderId="0" xfId="0" applyNumberFormat="1" applyFill="1"/>
    <xf numFmtId="167" fontId="0" fillId="22" borderId="0" xfId="2" applyNumberFormat="1" applyFont="1" applyFill="1" applyBorder="1" applyAlignment="1" applyProtection="1">
      <alignment vertical="center"/>
    </xf>
    <xf numFmtId="0" fontId="0" fillId="22" borderId="120" xfId="0" applyFill="1" applyBorder="1"/>
    <xf numFmtId="0" fontId="0" fillId="22" borderId="309" xfId="0" applyFill="1" applyBorder="1"/>
    <xf numFmtId="0" fontId="0" fillId="22" borderId="109" xfId="0" applyFill="1" applyBorder="1"/>
    <xf numFmtId="169" fontId="0" fillId="0" borderId="0" xfId="0" applyNumberFormat="1"/>
    <xf numFmtId="169" fontId="2" fillId="0" borderId="0" xfId="0" applyNumberFormat="1" applyFont="1"/>
    <xf numFmtId="176" fontId="0" fillId="22" borderId="0" xfId="0" applyNumberFormat="1" applyFill="1"/>
    <xf numFmtId="0" fontId="3" fillId="0" borderId="0" xfId="5" applyBorder="1" applyAlignment="1" applyProtection="1">
      <alignment horizontal="left" vertical="center"/>
    </xf>
    <xf numFmtId="0" fontId="3" fillId="0" borderId="0" xfId="5" applyBorder="1" applyAlignment="1" applyProtection="1">
      <alignment horizontal="left" vertical="center" wrapText="1"/>
    </xf>
    <xf numFmtId="0" fontId="3" fillId="0" borderId="0" xfId="5"/>
    <xf numFmtId="0" fontId="0" fillId="0" borderId="304" xfId="0" applyBorder="1" applyAlignment="1">
      <alignment horizontal="left" vertical="center" wrapText="1"/>
    </xf>
    <xf numFmtId="0" fontId="0" fillId="0" borderId="0" xfId="0" applyAlignment="1">
      <alignment horizontal="left" vertical="center" wrapText="1"/>
    </xf>
    <xf numFmtId="0" fontId="0" fillId="0" borderId="305" xfId="0" applyBorder="1" applyAlignment="1">
      <alignment horizontal="left" vertical="center" wrapText="1"/>
    </xf>
    <xf numFmtId="164" fontId="0" fillId="11" borderId="15" xfId="2" applyNumberFormat="1" applyFont="1" applyFill="1" applyBorder="1" applyAlignment="1" applyProtection="1">
      <alignment horizontal="right" vertical="center"/>
    </xf>
    <xf numFmtId="164" fontId="0" fillId="11" borderId="11" xfId="2" applyNumberFormat="1" applyFont="1" applyFill="1" applyBorder="1" applyAlignment="1" applyProtection="1">
      <alignment horizontal="right" vertical="center"/>
    </xf>
    <xf numFmtId="164" fontId="11" fillId="18" borderId="2" xfId="0" applyNumberFormat="1" applyFont="1" applyFill="1" applyBorder="1" applyAlignment="1">
      <alignment horizontal="center" vertical="center"/>
    </xf>
    <xf numFmtId="164" fontId="11" fillId="18" borderId="3" xfId="0" applyNumberFormat="1" applyFont="1" applyFill="1" applyBorder="1" applyAlignment="1">
      <alignment horizontal="center" vertical="center"/>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164" fontId="7" fillId="1" borderId="13" xfId="2" applyNumberFormat="1" applyFont="1" applyFill="1" applyBorder="1" applyAlignment="1" applyProtection="1">
      <alignment horizontal="center" vertical="center"/>
    </xf>
    <xf numFmtId="164" fontId="7" fillId="1" borderId="15" xfId="2" applyNumberFormat="1" applyFont="1" applyFill="1" applyBorder="1" applyAlignment="1" applyProtection="1">
      <alignment horizontal="center" vertical="center"/>
    </xf>
    <xf numFmtId="164" fontId="0" fillId="14" borderId="15" xfId="2" applyNumberFormat="1" applyFont="1" applyFill="1" applyBorder="1" applyAlignment="1" applyProtection="1">
      <alignment horizontal="right" vertical="center"/>
    </xf>
    <xf numFmtId="164" fontId="0" fillId="14" borderId="13" xfId="2" applyNumberFormat="1" applyFont="1" applyFill="1" applyBorder="1" applyAlignment="1" applyProtection="1">
      <alignment horizontal="right" vertical="center"/>
    </xf>
    <xf numFmtId="164" fontId="0" fillId="11" borderId="13" xfId="2" applyNumberFormat="1" applyFont="1" applyFill="1" applyBorder="1" applyAlignment="1" applyProtection="1">
      <alignment horizontal="right" vertical="center"/>
    </xf>
    <xf numFmtId="164" fontId="0" fillId="14" borderId="11" xfId="2" applyNumberFormat="1" applyFont="1" applyFill="1" applyBorder="1" applyAlignment="1" applyProtection="1">
      <alignment horizontal="right" vertical="center"/>
    </xf>
    <xf numFmtId="164" fontId="0" fillId="16" borderId="11" xfId="2" applyNumberFormat="1" applyFont="1" applyFill="1" applyBorder="1" applyAlignment="1" applyProtection="1">
      <alignment horizontal="right" vertical="center"/>
    </xf>
    <xf numFmtId="164" fontId="0" fillId="1" borderId="13" xfId="0" applyNumberFormat="1" applyFill="1" applyBorder="1" applyAlignment="1">
      <alignment horizontal="center" vertical="center"/>
    </xf>
    <xf numFmtId="164" fontId="0" fillId="1" borderId="15" xfId="0" applyNumberFormat="1" applyFill="1" applyBorder="1" applyAlignment="1">
      <alignment horizontal="center" vertical="center"/>
    </xf>
    <xf numFmtId="164" fontId="11" fillId="18" borderId="299" xfId="0" applyNumberFormat="1" applyFont="1" applyFill="1" applyBorder="1" applyAlignment="1">
      <alignment horizontal="center" vertical="center"/>
    </xf>
    <xf numFmtId="164" fontId="11" fillId="18" borderId="138" xfId="0" applyNumberFormat="1" applyFont="1" applyFill="1" applyBorder="1" applyAlignment="1">
      <alignment horizontal="center" vertical="center"/>
    </xf>
    <xf numFmtId="0" fontId="8" fillId="0" borderId="285" xfId="0" applyFont="1" applyBorder="1" applyAlignment="1">
      <alignment horizontal="center" vertical="center" wrapText="1"/>
    </xf>
    <xf numFmtId="0" fontId="0" fillId="0" borderId="302" xfId="0" applyBorder="1" applyAlignment="1">
      <alignment horizontal="left" vertical="center" wrapText="1"/>
    </xf>
    <xf numFmtId="0" fontId="0" fillId="0" borderId="1" xfId="0" applyBorder="1" applyAlignment="1">
      <alignment horizontal="left" vertical="center" wrapText="1"/>
    </xf>
    <xf numFmtId="0" fontId="0" fillId="0" borderId="303" xfId="0" applyBorder="1" applyAlignment="1">
      <alignment horizontal="left" vertical="center" wrapText="1"/>
    </xf>
    <xf numFmtId="0" fontId="0" fillId="0" borderId="13" xfId="0" applyBorder="1" applyAlignment="1">
      <alignment horizontal="right" vertical="center" wrapText="1"/>
    </xf>
    <xf numFmtId="0" fontId="0" fillId="0" borderId="14" xfId="0" applyBorder="1" applyAlignment="1">
      <alignment horizontal="right" vertical="center" wrapText="1"/>
    </xf>
    <xf numFmtId="0" fontId="0" fillId="0" borderId="15" xfId="0" applyBorder="1" applyAlignment="1">
      <alignment horizontal="right" vertical="center" wrapText="1"/>
    </xf>
    <xf numFmtId="164" fontId="9" fillId="12" borderId="12" xfId="0" applyNumberFormat="1" applyFont="1" applyFill="1" applyBorder="1" applyAlignment="1">
      <alignment horizontal="center" vertical="center" wrapText="1"/>
    </xf>
    <xf numFmtId="164" fontId="9" fillId="12" borderId="14" xfId="0" applyNumberFormat="1" applyFont="1" applyFill="1" applyBorder="1" applyAlignment="1">
      <alignment horizontal="center" vertical="center" wrapText="1"/>
    </xf>
    <xf numFmtId="164" fontId="9" fillId="12" borderId="13" xfId="0" applyNumberFormat="1" applyFont="1" applyFill="1" applyBorder="1" applyAlignment="1">
      <alignment horizontal="center" vertical="center" wrapText="1"/>
    </xf>
    <xf numFmtId="0" fontId="5" fillId="0" borderId="1" xfId="0" applyFont="1" applyBorder="1" applyAlignment="1">
      <alignment horizontal="right"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3" fillId="0" borderId="0" xfId="5" applyFill="1" applyBorder="1" applyAlignment="1" applyProtection="1">
      <alignment horizontal="left" vertical="center" indent="2"/>
    </xf>
    <xf numFmtId="0" fontId="5" fillId="3" borderId="11" xfId="0" applyFont="1" applyFill="1" applyBorder="1" applyAlignment="1">
      <alignment horizontal="center" vertical="center" wrapText="1"/>
    </xf>
    <xf numFmtId="0" fontId="5" fillId="3" borderId="13" xfId="0" applyFont="1" applyFill="1" applyBorder="1" applyAlignment="1">
      <alignment horizontal="center" vertical="center" wrapText="1"/>
    </xf>
    <xf numFmtId="164" fontId="5" fillId="3" borderId="2" xfId="0" applyNumberFormat="1" applyFont="1" applyFill="1" applyBorder="1" applyAlignment="1">
      <alignment horizontal="center" vertical="center"/>
    </xf>
    <xf numFmtId="164" fontId="5" fillId="3" borderId="13" xfId="0" applyNumberFormat="1" applyFont="1" applyFill="1" applyBorder="1" applyAlignment="1">
      <alignment horizontal="center" vertical="center"/>
    </xf>
    <xf numFmtId="164" fontId="10" fillId="12" borderId="11" xfId="0" applyNumberFormat="1" applyFont="1" applyFill="1" applyBorder="1" applyAlignment="1">
      <alignment horizontal="center" vertical="center" wrapText="1"/>
    </xf>
    <xf numFmtId="0" fontId="32" fillId="22" borderId="19" xfId="0" applyFont="1" applyFill="1" applyBorder="1" applyAlignment="1">
      <alignment horizontal="center" vertical="center" wrapText="1"/>
    </xf>
    <xf numFmtId="0" fontId="32" fillId="22" borderId="178" xfId="0" applyFont="1" applyFill="1" applyBorder="1" applyAlignment="1">
      <alignment horizontal="center" vertical="center" wrapText="1"/>
    </xf>
    <xf numFmtId="0" fontId="32" fillId="0" borderId="7" xfId="0" applyFont="1" applyBorder="1" applyAlignment="1">
      <alignment horizontal="center" vertical="center" wrapText="1"/>
    </xf>
    <xf numFmtId="0" fontId="32" fillId="0" borderId="49" xfId="0" applyFont="1" applyBorder="1" applyAlignment="1">
      <alignment horizontal="center" vertical="center" wrapText="1"/>
    </xf>
    <xf numFmtId="0" fontId="32" fillId="22" borderId="7" xfId="0" applyFont="1" applyFill="1" applyBorder="1" applyAlignment="1">
      <alignment horizontal="center" vertical="center" wrapText="1"/>
    </xf>
    <xf numFmtId="0" fontId="32" fillId="22" borderId="43" xfId="0" applyFont="1" applyFill="1" applyBorder="1" applyAlignment="1">
      <alignment horizontal="center" vertical="center" wrapText="1"/>
    </xf>
    <xf numFmtId="0" fontId="32" fillId="22" borderId="288" xfId="0" applyFont="1" applyFill="1" applyBorder="1" applyAlignment="1">
      <alignment horizontal="center" vertical="center" wrapText="1"/>
    </xf>
    <xf numFmtId="0" fontId="32" fillId="0" borderId="43" xfId="0" applyFont="1" applyBorder="1" applyAlignment="1">
      <alignment horizontal="center" vertical="center" wrapText="1"/>
    </xf>
    <xf numFmtId="164" fontId="0" fillId="1" borderId="198" xfId="2" applyNumberFormat="1" applyFont="1" applyFill="1" applyBorder="1" applyAlignment="1" applyProtection="1">
      <alignment horizontal="center" vertical="center"/>
    </xf>
    <xf numFmtId="164" fontId="0" fillId="1" borderId="300" xfId="2" applyNumberFormat="1" applyFont="1" applyFill="1" applyBorder="1" applyAlignment="1" applyProtection="1">
      <alignment horizontal="center" vertical="center"/>
    </xf>
    <xf numFmtId="164" fontId="0" fillId="1" borderId="301" xfId="2" applyNumberFormat="1" applyFont="1" applyFill="1" applyBorder="1" applyAlignment="1" applyProtection="1">
      <alignment horizontal="center" vertical="center"/>
    </xf>
    <xf numFmtId="9" fontId="0" fillId="1" borderId="197" xfId="2" applyNumberFormat="1" applyFont="1" applyFill="1" applyBorder="1" applyAlignment="1" applyProtection="1">
      <alignment horizontal="center" vertical="center"/>
    </xf>
    <xf numFmtId="9" fontId="0" fillId="1" borderId="190" xfId="2" applyNumberFormat="1" applyFont="1" applyFill="1" applyBorder="1" applyAlignment="1" applyProtection="1">
      <alignment horizontal="center" vertical="center"/>
    </xf>
    <xf numFmtId="9" fontId="0" fillId="1" borderId="192" xfId="2" applyNumberFormat="1" applyFont="1" applyFill="1" applyBorder="1" applyAlignment="1" applyProtection="1">
      <alignment horizontal="center" vertical="center"/>
    </xf>
    <xf numFmtId="167" fontId="0" fillId="1" borderId="197" xfId="2" applyNumberFormat="1" applyFont="1" applyFill="1" applyBorder="1" applyAlignment="1" applyProtection="1">
      <alignment horizontal="center" vertical="center"/>
    </xf>
    <xf numFmtId="167" fontId="0" fillId="1" borderId="279" xfId="2" applyNumberFormat="1" applyFont="1" applyFill="1" applyBorder="1" applyAlignment="1" applyProtection="1">
      <alignment horizontal="center" vertical="center"/>
    </xf>
    <xf numFmtId="167" fontId="0" fillId="1" borderId="209" xfId="2" applyNumberFormat="1" applyFont="1" applyFill="1" applyBorder="1" applyAlignment="1" applyProtection="1">
      <alignment horizontal="center" vertical="center"/>
    </xf>
    <xf numFmtId="0" fontId="32" fillId="22" borderId="210" xfId="0" applyFont="1" applyFill="1" applyBorder="1" applyAlignment="1">
      <alignment horizontal="center" vertical="center" wrapText="1"/>
    </xf>
    <xf numFmtId="0" fontId="32" fillId="22" borderId="30" xfId="0" applyFont="1" applyFill="1" applyBorder="1" applyAlignment="1">
      <alignment horizontal="center" vertical="center" wrapText="1"/>
    </xf>
    <xf numFmtId="0" fontId="32" fillId="22" borderId="99" xfId="0" applyFont="1" applyFill="1" applyBorder="1" applyAlignment="1">
      <alignment horizontal="center" vertical="center" wrapText="1"/>
    </xf>
    <xf numFmtId="0" fontId="32" fillId="0" borderId="210" xfId="0" applyFont="1" applyBorder="1" applyAlignment="1">
      <alignment horizontal="center" vertical="center" wrapText="1"/>
    </xf>
    <xf numFmtId="0" fontId="32" fillId="0" borderId="30" xfId="0" applyFont="1" applyBorder="1" applyAlignment="1">
      <alignment horizontal="center" vertical="center" wrapText="1"/>
    </xf>
    <xf numFmtId="0" fontId="32" fillId="0" borderId="99" xfId="0" applyFont="1" applyBorder="1" applyAlignment="1">
      <alignment horizontal="center" vertical="center" wrapText="1"/>
    </xf>
    <xf numFmtId="167" fontId="0" fillId="1" borderId="284" xfId="2" applyNumberFormat="1" applyFont="1" applyFill="1" applyBorder="1" applyAlignment="1" applyProtection="1">
      <alignment horizontal="center" vertical="center"/>
    </xf>
    <xf numFmtId="167" fontId="0" fillId="1" borderId="285" xfId="2" applyNumberFormat="1" applyFont="1" applyFill="1" applyBorder="1" applyAlignment="1" applyProtection="1">
      <alignment horizontal="center" vertical="center"/>
    </xf>
    <xf numFmtId="167" fontId="0" fillId="1" borderId="286" xfId="2" applyNumberFormat="1" applyFont="1" applyFill="1" applyBorder="1" applyAlignment="1" applyProtection="1">
      <alignment horizontal="center" vertical="center"/>
    </xf>
    <xf numFmtId="0" fontId="32" fillId="7" borderId="22" xfId="0" applyFont="1" applyFill="1" applyBorder="1" applyAlignment="1">
      <alignment horizontal="center" vertical="center" wrapText="1"/>
    </xf>
    <xf numFmtId="0" fontId="32" fillId="7" borderId="31" xfId="0" applyFont="1" applyFill="1" applyBorder="1" applyAlignment="1">
      <alignment horizontal="center" vertical="center" wrapText="1"/>
    </xf>
    <xf numFmtId="0" fontId="32" fillId="22" borderId="49" xfId="0" applyFont="1" applyFill="1" applyBorder="1" applyAlignment="1">
      <alignment horizontal="center" vertical="center" wrapText="1"/>
    </xf>
    <xf numFmtId="9" fontId="0" fillId="1" borderId="40" xfId="2" applyNumberFormat="1" applyFont="1" applyFill="1" applyBorder="1" applyAlignment="1" applyProtection="1">
      <alignment horizontal="center" vertical="center"/>
    </xf>
    <xf numFmtId="9" fontId="0" fillId="1" borderId="8" xfId="2" applyNumberFormat="1" applyFont="1" applyFill="1" applyBorder="1" applyAlignment="1" applyProtection="1">
      <alignment horizontal="center" vertical="center"/>
    </xf>
    <xf numFmtId="9" fontId="0" fillId="1" borderId="41" xfId="2" applyNumberFormat="1" applyFont="1" applyFill="1" applyBorder="1" applyAlignment="1" applyProtection="1">
      <alignment horizontal="center" vertical="center"/>
    </xf>
    <xf numFmtId="167" fontId="0" fillId="1" borderId="45" xfId="2" applyNumberFormat="1" applyFont="1" applyFill="1" applyBorder="1" applyAlignment="1" applyProtection="1">
      <alignment horizontal="center" vertical="center"/>
    </xf>
    <xf numFmtId="167" fontId="0" fillId="1" borderId="8" xfId="2" applyNumberFormat="1" applyFont="1" applyFill="1" applyBorder="1" applyAlignment="1" applyProtection="1">
      <alignment horizontal="center" vertical="center"/>
    </xf>
    <xf numFmtId="167" fontId="0" fillId="1" borderId="44" xfId="2" applyNumberFormat="1" applyFont="1" applyFill="1" applyBorder="1" applyAlignment="1" applyProtection="1">
      <alignment horizontal="center" vertical="center"/>
    </xf>
    <xf numFmtId="169" fontId="0" fillId="24" borderId="48" xfId="2" applyNumberFormat="1" applyFont="1" applyFill="1" applyBorder="1" applyAlignment="1" applyProtection="1">
      <alignment horizontal="center" vertical="center"/>
    </xf>
    <xf numFmtId="169" fontId="0" fillId="24" borderId="46" xfId="2" applyNumberFormat="1" applyFont="1" applyFill="1" applyBorder="1" applyAlignment="1" applyProtection="1">
      <alignment horizontal="center" vertical="center"/>
    </xf>
    <xf numFmtId="169" fontId="0" fillId="24" borderId="47" xfId="2" applyNumberFormat="1" applyFont="1" applyFill="1" applyBorder="1" applyAlignment="1" applyProtection="1">
      <alignment horizontal="center" vertical="center"/>
    </xf>
    <xf numFmtId="164" fontId="39" fillId="61" borderId="281" xfId="0" applyNumberFormat="1" applyFont="1" applyFill="1" applyBorder="1" applyAlignment="1">
      <alignment horizontal="center" vertical="center" wrapText="1"/>
    </xf>
    <xf numFmtId="164" fontId="39" fillId="61" borderId="282" xfId="0" applyNumberFormat="1" applyFont="1" applyFill="1" applyBorder="1" applyAlignment="1">
      <alignment horizontal="center" vertical="center" wrapText="1"/>
    </xf>
    <xf numFmtId="164" fontId="39" fillId="61" borderId="283" xfId="0" applyNumberFormat="1" applyFont="1" applyFill="1" applyBorder="1" applyAlignment="1">
      <alignment horizontal="center" vertical="center" wrapText="1"/>
    </xf>
    <xf numFmtId="0" fontId="3" fillId="20" borderId="0" xfId="5" applyFill="1" applyBorder="1" applyAlignment="1" applyProtection="1">
      <alignment horizontal="center" vertical="center"/>
    </xf>
    <xf numFmtId="0" fontId="32" fillId="3" borderId="19" xfId="0" applyFont="1" applyFill="1" applyBorder="1" applyAlignment="1">
      <alignment horizontal="center" vertical="center" wrapText="1"/>
    </xf>
    <xf numFmtId="0" fontId="32" fillId="3" borderId="27" xfId="0" applyFont="1" applyFill="1" applyBorder="1" applyAlignment="1">
      <alignment horizontal="center" vertical="center" wrapText="1"/>
    </xf>
    <xf numFmtId="0" fontId="32" fillId="7" borderId="19" xfId="0" applyFont="1" applyFill="1" applyBorder="1" applyAlignment="1">
      <alignment horizontal="center" vertical="center" wrapText="1"/>
    </xf>
    <xf numFmtId="0" fontId="32" fillId="7" borderId="27" xfId="0" applyFont="1" applyFill="1" applyBorder="1" applyAlignment="1">
      <alignment horizontal="center" vertical="center" wrapText="1"/>
    </xf>
    <xf numFmtId="164" fontId="32" fillId="7" borderId="294" xfId="0" applyNumberFormat="1" applyFont="1" applyFill="1" applyBorder="1" applyAlignment="1">
      <alignment horizontal="center" vertical="center" wrapText="1"/>
    </xf>
    <xf numFmtId="164" fontId="32" fillId="7" borderId="295" xfId="0" applyNumberFormat="1" applyFont="1" applyFill="1" applyBorder="1" applyAlignment="1">
      <alignment horizontal="center" vertical="center" wrapText="1"/>
    </xf>
    <xf numFmtId="164" fontId="32" fillId="7" borderId="293" xfId="0" applyNumberFormat="1" applyFont="1" applyFill="1" applyBorder="1" applyAlignment="1">
      <alignment horizontal="center" vertical="center" wrapText="1"/>
    </xf>
    <xf numFmtId="164" fontId="39" fillId="60" borderId="281" xfId="0" applyNumberFormat="1" applyFont="1" applyFill="1" applyBorder="1" applyAlignment="1">
      <alignment horizontal="center" vertical="center" wrapText="1"/>
    </xf>
    <xf numFmtId="164" fontId="39" fillId="60" borderId="282" xfId="0" applyNumberFormat="1" applyFont="1" applyFill="1" applyBorder="1" applyAlignment="1">
      <alignment horizontal="center" vertical="center" wrapText="1"/>
    </xf>
    <xf numFmtId="164" fontId="39" fillId="60" borderId="283" xfId="0" applyNumberFormat="1" applyFont="1" applyFill="1" applyBorder="1" applyAlignment="1">
      <alignment horizontal="center" vertical="center" wrapText="1"/>
    </xf>
    <xf numFmtId="0" fontId="32" fillId="3" borderId="23" xfId="0" applyFont="1" applyFill="1" applyBorder="1" applyAlignment="1">
      <alignment horizontal="center" vertical="center" wrapText="1"/>
    </xf>
    <xf numFmtId="0" fontId="32" fillId="3" borderId="34" xfId="0" applyFont="1" applyFill="1" applyBorder="1" applyAlignment="1">
      <alignment horizontal="center" vertical="center" wrapText="1"/>
    </xf>
    <xf numFmtId="0" fontId="32" fillId="7" borderId="24" xfId="0" applyFont="1" applyFill="1" applyBorder="1" applyAlignment="1">
      <alignment horizontal="center" vertical="center" wrapText="1"/>
    </xf>
    <xf numFmtId="0" fontId="32" fillId="7" borderId="35" xfId="0" applyFont="1" applyFill="1" applyBorder="1" applyAlignment="1">
      <alignment horizontal="center" vertical="center" wrapText="1"/>
    </xf>
    <xf numFmtId="164" fontId="39" fillId="12" borderId="25" xfId="0" applyNumberFormat="1" applyFont="1" applyFill="1" applyBorder="1" applyAlignment="1">
      <alignment horizontal="center" vertical="center" wrapText="1"/>
    </xf>
    <xf numFmtId="164" fontId="39" fillId="12" borderId="4" xfId="0" applyNumberFormat="1" applyFont="1" applyFill="1" applyBorder="1" applyAlignment="1">
      <alignment horizontal="center" vertical="center" wrapText="1"/>
    </xf>
    <xf numFmtId="164" fontId="39" fillId="12" borderId="26" xfId="0" applyNumberFormat="1" applyFont="1" applyFill="1" applyBorder="1" applyAlignment="1">
      <alignment horizontal="center" vertical="center" wrapText="1"/>
    </xf>
    <xf numFmtId="0" fontId="0" fillId="22" borderId="0" xfId="0" applyFill="1" applyAlignment="1">
      <alignment horizontal="center"/>
    </xf>
    <xf numFmtId="0" fontId="0" fillId="22" borderId="0" xfId="0" applyFill="1" applyAlignment="1">
      <alignment horizontal="left" vertical="center"/>
    </xf>
    <xf numFmtId="0" fontId="32" fillId="0" borderId="1" xfId="0" applyFont="1" applyBorder="1" applyAlignment="1">
      <alignment horizontal="right" vertical="center"/>
    </xf>
    <xf numFmtId="0" fontId="32" fillId="0" borderId="0" xfId="0" applyFont="1" applyAlignment="1">
      <alignment horizontal="right" vertical="center"/>
    </xf>
    <xf numFmtId="0" fontId="32" fillId="19" borderId="17" xfId="0" applyFont="1" applyFill="1" applyBorder="1" applyAlignment="1">
      <alignment horizontal="center" vertical="center"/>
    </xf>
    <xf numFmtId="0" fontId="32" fillId="19" borderId="18" xfId="0" applyFont="1" applyFill="1" applyBorder="1" applyAlignment="1">
      <alignment horizontal="center" vertical="center"/>
    </xf>
    <xf numFmtId="0" fontId="2" fillId="22" borderId="0" xfId="0" applyFont="1" applyFill="1" applyAlignment="1">
      <alignment horizontal="center" vertical="center" wrapText="1"/>
    </xf>
    <xf numFmtId="0" fontId="32" fillId="22" borderId="0" xfId="0" applyFont="1" applyFill="1" applyAlignment="1">
      <alignment horizontal="center" vertical="center" wrapText="1"/>
    </xf>
    <xf numFmtId="0" fontId="0" fillId="22" borderId="0" xfId="0" applyFill="1" applyAlignment="1">
      <alignment horizontal="right"/>
    </xf>
    <xf numFmtId="0" fontId="11" fillId="22" borderId="210" xfId="0" applyFont="1" applyFill="1" applyBorder="1" applyAlignment="1">
      <alignment horizontal="center" vertical="center" wrapText="1"/>
    </xf>
    <xf numFmtId="0" fontId="11" fillId="22" borderId="30" xfId="0" applyFont="1" applyFill="1" applyBorder="1" applyAlignment="1">
      <alignment horizontal="center" vertical="center" wrapText="1"/>
    </xf>
    <xf numFmtId="0" fontId="11" fillId="22" borderId="99" xfId="0" applyFont="1" applyFill="1" applyBorder="1" applyAlignment="1">
      <alignment horizontal="center" vertical="center" wrapText="1"/>
    </xf>
    <xf numFmtId="0" fontId="11" fillId="22" borderId="7" xfId="0" applyFont="1" applyFill="1" applyBorder="1" applyAlignment="1">
      <alignment horizontal="center" vertical="center" wrapText="1"/>
    </xf>
    <xf numFmtId="0" fontId="11" fillId="22" borderId="43" xfId="0" applyFont="1" applyFill="1" applyBorder="1" applyAlignment="1">
      <alignment horizontal="center" vertical="center" wrapText="1"/>
    </xf>
    <xf numFmtId="0" fontId="11" fillId="22" borderId="49" xfId="0" applyFont="1" applyFill="1" applyBorder="1" applyAlignment="1">
      <alignment horizontal="center" vertical="center" wrapText="1"/>
    </xf>
    <xf numFmtId="164" fontId="0" fillId="1" borderId="197" xfId="2" applyNumberFormat="1" applyFont="1" applyFill="1" applyBorder="1" applyAlignment="1" applyProtection="1">
      <alignment horizontal="center" vertical="center"/>
    </xf>
    <xf numFmtId="164" fontId="0" fillId="1" borderId="232" xfId="2" applyNumberFormat="1" applyFont="1" applyFill="1" applyBorder="1" applyAlignment="1" applyProtection="1">
      <alignment horizontal="center" vertical="center"/>
    </xf>
    <xf numFmtId="164" fontId="0" fillId="1" borderId="209" xfId="2" applyNumberFormat="1" applyFont="1" applyFill="1" applyBorder="1" applyAlignment="1" applyProtection="1">
      <alignment horizontal="center" vertical="center"/>
    </xf>
    <xf numFmtId="0" fontId="5" fillId="3" borderId="19"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5" fillId="7" borderId="19" xfId="0" applyFont="1" applyFill="1" applyBorder="1" applyAlignment="1">
      <alignment horizontal="center" vertical="center" wrapText="1"/>
    </xf>
    <xf numFmtId="0" fontId="5" fillId="7" borderId="27" xfId="0" applyFont="1" applyFill="1" applyBorder="1" applyAlignment="1">
      <alignment horizontal="center" vertical="center" wrapText="1"/>
    </xf>
    <xf numFmtId="164" fontId="8" fillId="21" borderId="20" xfId="0" applyNumberFormat="1" applyFont="1" applyFill="1" applyBorder="1" applyAlignment="1">
      <alignment horizontal="center" vertical="center" wrapText="1"/>
    </xf>
    <xf numFmtId="164" fontId="8" fillId="21" borderId="21" xfId="0" applyNumberFormat="1" applyFont="1" applyFill="1" applyBorder="1" applyAlignment="1">
      <alignment horizontal="center" vertical="center" wrapText="1"/>
    </xf>
    <xf numFmtId="164" fontId="8" fillId="21" borderId="22" xfId="0" applyNumberFormat="1" applyFont="1" applyFill="1" applyBorder="1" applyAlignment="1">
      <alignment horizontal="center" vertical="center" wrapText="1"/>
    </xf>
    <xf numFmtId="0" fontId="11" fillId="22" borderId="33" xfId="0" applyFont="1" applyFill="1" applyBorder="1" applyAlignment="1">
      <alignment horizontal="center" vertical="center" wrapText="1"/>
    </xf>
    <xf numFmtId="0" fontId="11" fillId="22" borderId="57" xfId="0" applyFont="1" applyFill="1" applyBorder="1" applyAlignment="1">
      <alignment horizontal="center" vertical="center" wrapText="1"/>
    </xf>
    <xf numFmtId="44" fontId="5" fillId="26" borderId="88" xfId="2" applyFont="1" applyFill="1" applyBorder="1" applyAlignment="1" applyProtection="1">
      <alignment horizontal="center" vertical="center" wrapText="1"/>
    </xf>
    <xf numFmtId="44" fontId="5" fillId="26" borderId="73" xfId="2" applyFont="1" applyFill="1" applyBorder="1" applyAlignment="1" applyProtection="1">
      <alignment horizontal="center" vertical="center" wrapText="1"/>
    </xf>
    <xf numFmtId="0" fontId="12" fillId="21" borderId="83" xfId="0" applyFont="1" applyFill="1" applyBorder="1" applyAlignment="1" applyProtection="1">
      <alignment horizontal="center" vertical="center"/>
      <protection locked="0"/>
    </xf>
    <xf numFmtId="0" fontId="8" fillId="0" borderId="90" xfId="0" applyFont="1" applyBorder="1" applyAlignment="1">
      <alignment horizontal="center" vertical="center" wrapText="1"/>
    </xf>
    <xf numFmtId="0" fontId="8" fillId="0" borderId="74" xfId="0" applyFont="1" applyBorder="1" applyAlignment="1">
      <alignment horizontal="center" vertical="center" wrapText="1"/>
    </xf>
    <xf numFmtId="0" fontId="8" fillId="0" borderId="78" xfId="0" applyFont="1" applyBorder="1" applyAlignment="1">
      <alignment horizontal="center" vertical="center" wrapText="1"/>
    </xf>
    <xf numFmtId="0" fontId="12" fillId="21" borderId="85" xfId="0" applyFont="1" applyFill="1" applyBorder="1" applyAlignment="1">
      <alignment horizontal="center" vertical="center"/>
    </xf>
    <xf numFmtId="0" fontId="12" fillId="21" borderId="86" xfId="0" applyFont="1" applyFill="1" applyBorder="1" applyAlignment="1">
      <alignment horizontal="center" vertical="center"/>
    </xf>
    <xf numFmtId="0" fontId="12" fillId="21" borderId="87" xfId="0" applyFont="1" applyFill="1" applyBorder="1" applyAlignment="1">
      <alignment horizontal="center" vertical="center"/>
    </xf>
    <xf numFmtId="0" fontId="12" fillId="7" borderId="84" xfId="0" applyFont="1" applyFill="1" applyBorder="1" applyAlignment="1">
      <alignment horizontal="center" vertical="center"/>
    </xf>
    <xf numFmtId="0" fontId="12" fillId="7" borderId="14" xfId="0" applyFont="1" applyFill="1" applyBorder="1" applyAlignment="1">
      <alignment horizontal="center" vertical="center"/>
    </xf>
    <xf numFmtId="0" fontId="5" fillId="21" borderId="84" xfId="0" applyFont="1" applyFill="1" applyBorder="1" applyAlignment="1">
      <alignment horizontal="center" vertical="center"/>
    </xf>
    <xf numFmtId="0" fontId="5" fillId="21" borderId="15" xfId="0" applyFont="1" applyFill="1" applyBorder="1" applyAlignment="1">
      <alignment horizontal="center" vertical="center"/>
    </xf>
    <xf numFmtId="0" fontId="12" fillId="3" borderId="84" xfId="0" applyFont="1" applyFill="1" applyBorder="1" applyAlignment="1">
      <alignment horizontal="center" vertical="center"/>
    </xf>
    <xf numFmtId="0" fontId="12" fillId="3" borderId="15" xfId="0" applyFont="1" applyFill="1" applyBorder="1" applyAlignment="1">
      <alignment horizontal="center" vertical="center"/>
    </xf>
    <xf numFmtId="0" fontId="12" fillId="7" borderId="84" xfId="0" applyFont="1" applyFill="1" applyBorder="1" applyAlignment="1">
      <alignment horizontal="center" vertical="center" wrapText="1"/>
    </xf>
    <xf numFmtId="0" fontId="12" fillId="7" borderId="15" xfId="0" applyFont="1" applyFill="1" applyBorder="1" applyAlignment="1">
      <alignment horizontal="center" vertical="center" wrapText="1"/>
    </xf>
    <xf numFmtId="44" fontId="5" fillId="26" borderId="32" xfId="2" applyFont="1" applyFill="1" applyBorder="1" applyAlignment="1" applyProtection="1">
      <alignment horizontal="center" vertical="center" wrapText="1"/>
    </xf>
    <xf numFmtId="0" fontId="12" fillId="21" borderId="8" xfId="0" applyFont="1" applyFill="1" applyBorder="1" applyAlignment="1">
      <alignment horizontal="center" vertical="center"/>
    </xf>
    <xf numFmtId="0" fontId="8" fillId="0" borderId="61" xfId="0" applyFont="1" applyBorder="1" applyAlignment="1">
      <alignment horizontal="center" vertical="center" wrapText="1"/>
    </xf>
    <xf numFmtId="0" fontId="8" fillId="2" borderId="2"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protection locked="0"/>
    </xf>
    <xf numFmtId="0" fontId="3" fillId="20" borderId="0" xfId="5" applyFill="1" applyBorder="1" applyAlignment="1" applyProtection="1">
      <alignment horizontal="left" vertical="center" indent="2"/>
    </xf>
    <xf numFmtId="0" fontId="12" fillId="7" borderId="13" xfId="0" applyFont="1" applyFill="1" applyBorder="1" applyAlignment="1">
      <alignment horizontal="center" vertical="center"/>
    </xf>
    <xf numFmtId="0" fontId="5" fillId="21" borderId="13" xfId="0" applyFont="1" applyFill="1" applyBorder="1" applyAlignment="1">
      <alignment horizontal="center" vertical="center"/>
    </xf>
    <xf numFmtId="0" fontId="12" fillId="3" borderId="13" xfId="0" applyFont="1" applyFill="1" applyBorder="1" applyAlignment="1">
      <alignment horizontal="center" vertical="center"/>
    </xf>
    <xf numFmtId="0" fontId="12" fillId="7" borderId="13" xfId="0" applyFont="1" applyFill="1" applyBorder="1" applyAlignment="1">
      <alignment horizontal="center" vertical="center" wrapText="1"/>
    </xf>
    <xf numFmtId="0" fontId="12" fillId="21" borderId="2" xfId="0" applyFont="1" applyFill="1" applyBorder="1" applyAlignment="1">
      <alignment horizontal="center" vertical="center"/>
    </xf>
    <xf numFmtId="0" fontId="12" fillId="21" borderId="9" xfId="0" applyFont="1" applyFill="1" applyBorder="1" applyAlignment="1">
      <alignment horizontal="center" vertical="center"/>
    </xf>
    <xf numFmtId="0" fontId="12" fillId="21" borderId="3" xfId="0" applyFont="1" applyFill="1" applyBorder="1" applyAlignment="1">
      <alignment horizontal="center" vertical="center"/>
    </xf>
    <xf numFmtId="0" fontId="8" fillId="42" borderId="265" xfId="9" applyFont="1" applyFill="1" applyBorder="1" applyAlignment="1">
      <alignment horizontal="left" vertical="center" wrapText="1"/>
    </xf>
    <xf numFmtId="0" fontId="8" fillId="42" borderId="58" xfId="9" applyFont="1" applyFill="1" applyBorder="1" applyAlignment="1">
      <alignment horizontal="left" vertical="center" wrapText="1"/>
    </xf>
    <xf numFmtId="0" fontId="8" fillId="42" borderId="57" xfId="9" applyFont="1" applyFill="1" applyBorder="1" applyAlignment="1">
      <alignment horizontal="left" vertical="center" wrapText="1"/>
    </xf>
    <xf numFmtId="0" fontId="8" fillId="2" borderId="19" xfId="9" applyFont="1" applyFill="1" applyBorder="1" applyAlignment="1" applyProtection="1">
      <alignment horizontal="left" vertical="center" wrapText="1"/>
      <protection locked="0"/>
    </xf>
    <xf numFmtId="0" fontId="8" fillId="2" borderId="195" xfId="9" applyFont="1" applyFill="1" applyBorder="1" applyAlignment="1" applyProtection="1">
      <alignment horizontal="left" vertical="center" wrapText="1"/>
      <protection locked="0"/>
    </xf>
    <xf numFmtId="0" fontId="8" fillId="2" borderId="178" xfId="9" applyFont="1" applyFill="1" applyBorder="1" applyAlignment="1" applyProtection="1">
      <alignment horizontal="left" vertical="center" wrapText="1"/>
      <protection locked="0"/>
    </xf>
    <xf numFmtId="0" fontId="8" fillId="2" borderId="265" xfId="9" applyFont="1" applyFill="1" applyBorder="1" applyAlignment="1" applyProtection="1">
      <alignment horizontal="left" vertical="center" wrapText="1"/>
      <protection locked="0"/>
    </xf>
    <xf numFmtId="0" fontId="8" fillId="2" borderId="58" xfId="9" applyFont="1" applyFill="1" applyBorder="1" applyAlignment="1" applyProtection="1">
      <alignment horizontal="left" vertical="center" wrapText="1"/>
      <protection locked="0"/>
    </xf>
    <xf numFmtId="0" fontId="8" fillId="2" borderId="57" xfId="9" applyFont="1" applyFill="1" applyBorder="1" applyAlignment="1" applyProtection="1">
      <alignment horizontal="left" vertical="center" wrapText="1"/>
      <protection locked="0"/>
    </xf>
    <xf numFmtId="0" fontId="17" fillId="42" borderId="274" xfId="9" applyFont="1" applyFill="1" applyBorder="1" applyAlignment="1">
      <alignment horizontal="center" vertical="center" textRotation="90" wrapText="1"/>
    </xf>
    <xf numFmtId="0" fontId="17" fillId="42" borderId="31" xfId="9" applyFont="1" applyFill="1" applyBorder="1" applyAlignment="1">
      <alignment horizontal="center" vertical="center" textRotation="90" wrapText="1"/>
    </xf>
    <xf numFmtId="0" fontId="17" fillId="42" borderId="101" xfId="9" applyFont="1" applyFill="1" applyBorder="1" applyAlignment="1">
      <alignment horizontal="center" vertical="center" textRotation="90" wrapText="1"/>
    </xf>
    <xf numFmtId="0" fontId="8" fillId="42" borderId="265" xfId="9" applyFont="1" applyFill="1" applyBorder="1" applyAlignment="1">
      <alignment horizontal="center" vertical="center" textRotation="90" wrapText="1"/>
    </xf>
    <xf numFmtId="0" fontId="8" fillId="42" borderId="58" xfId="9" applyFont="1" applyFill="1" applyBorder="1" applyAlignment="1">
      <alignment horizontal="center" vertical="center" textRotation="90" wrapText="1"/>
    </xf>
    <xf numFmtId="0" fontId="8" fillId="42" borderId="57" xfId="9" applyFont="1" applyFill="1" applyBorder="1" applyAlignment="1">
      <alignment horizontal="center" vertical="center" textRotation="90" wrapText="1"/>
    </xf>
    <xf numFmtId="174" fontId="7" fillId="39" borderId="243" xfId="9" applyNumberFormat="1" applyFill="1" applyBorder="1" applyAlignment="1">
      <alignment horizontal="center" vertical="center"/>
    </xf>
    <xf numFmtId="174" fontId="7" fillId="39" borderId="270" xfId="9" applyNumberFormat="1" applyFill="1" applyBorder="1" applyAlignment="1">
      <alignment horizontal="center" vertical="center"/>
    </xf>
    <xf numFmtId="174" fontId="7" fillId="39" borderId="255" xfId="9" applyNumberFormat="1" applyFill="1" applyBorder="1" applyAlignment="1">
      <alignment horizontal="center" vertical="center"/>
    </xf>
    <xf numFmtId="0" fontId="9" fillId="41" borderId="193" xfId="9" applyFont="1" applyFill="1" applyBorder="1" applyAlignment="1">
      <alignment horizontal="center" vertical="center"/>
    </xf>
    <xf numFmtId="0" fontId="9" fillId="41" borderId="247" xfId="9" applyFont="1" applyFill="1" applyBorder="1" applyAlignment="1">
      <alignment horizontal="center" vertical="center"/>
    </xf>
    <xf numFmtId="0" fontId="9" fillId="42" borderId="255" xfId="9" applyFont="1" applyFill="1" applyBorder="1" applyAlignment="1">
      <alignment horizontal="center" vertical="center"/>
    </xf>
    <xf numFmtId="0" fontId="9" fillId="42" borderId="247" xfId="9" applyFont="1" applyFill="1" applyBorder="1" applyAlignment="1">
      <alignment horizontal="center" vertical="center"/>
    </xf>
    <xf numFmtId="0" fontId="9" fillId="40" borderId="243" xfId="9" applyFont="1" applyFill="1" applyBorder="1" applyAlignment="1">
      <alignment horizontal="center" vertical="center"/>
    </xf>
    <xf numFmtId="0" fontId="9" fillId="40" borderId="270" xfId="9" applyFont="1" applyFill="1" applyBorder="1" applyAlignment="1">
      <alignment horizontal="center" vertical="center"/>
    </xf>
    <xf numFmtId="0" fontId="9" fillId="41" borderId="243" xfId="9" applyFont="1" applyFill="1" applyBorder="1" applyAlignment="1">
      <alignment horizontal="center" vertical="center"/>
    </xf>
    <xf numFmtId="0" fontId="9" fillId="41" borderId="270" xfId="9" applyFont="1" applyFill="1" applyBorder="1" applyAlignment="1">
      <alignment horizontal="center" vertical="center"/>
    </xf>
    <xf numFmtId="0" fontId="9" fillId="42" borderId="243" xfId="9" applyFont="1" applyFill="1" applyBorder="1" applyAlignment="1">
      <alignment horizontal="center" vertical="center"/>
    </xf>
    <xf numFmtId="0" fontId="9" fillId="42" borderId="270" xfId="9" applyFont="1" applyFill="1" applyBorder="1" applyAlignment="1">
      <alignment horizontal="center" vertical="center"/>
    </xf>
    <xf numFmtId="0" fontId="16" fillId="40" borderId="64" xfId="9" applyFont="1" applyFill="1" applyBorder="1" applyAlignment="1">
      <alignment horizontal="center" vertical="center"/>
    </xf>
    <xf numFmtId="0" fontId="16" fillId="40" borderId="221" xfId="9" applyFont="1" applyFill="1" applyBorder="1" applyAlignment="1">
      <alignment horizontal="center" vertical="center"/>
    </xf>
    <xf numFmtId="0" fontId="16" fillId="41" borderId="64" xfId="9" applyFont="1" applyFill="1" applyBorder="1" applyAlignment="1">
      <alignment horizontal="center" vertical="center"/>
    </xf>
    <xf numFmtId="0" fontId="16" fillId="41" borderId="221" xfId="9" applyFont="1" applyFill="1" applyBorder="1" applyAlignment="1">
      <alignment horizontal="center" vertical="center"/>
    </xf>
    <xf numFmtId="0" fontId="16" fillId="42" borderId="64" xfId="9" applyFont="1" applyFill="1" applyBorder="1" applyAlignment="1">
      <alignment horizontal="center" vertical="center"/>
    </xf>
    <xf numFmtId="0" fontId="16" fillId="42" borderId="221" xfId="9" applyFont="1" applyFill="1" applyBorder="1" applyAlignment="1">
      <alignment horizontal="center" vertical="center"/>
    </xf>
    <xf numFmtId="0" fontId="9" fillId="40" borderId="193" xfId="9" applyFont="1" applyFill="1" applyBorder="1" applyAlignment="1">
      <alignment horizontal="center" vertical="center"/>
    </xf>
    <xf numFmtId="0" fontId="9" fillId="40" borderId="250" xfId="9" applyFont="1" applyFill="1" applyBorder="1" applyAlignment="1">
      <alignment horizontal="center" vertical="center"/>
    </xf>
    <xf numFmtId="0" fontId="5" fillId="0" borderId="0" xfId="9" applyFont="1" applyAlignment="1">
      <alignment horizontal="center" vertical="center"/>
    </xf>
    <xf numFmtId="0" fontId="5" fillId="7" borderId="267" xfId="9" applyFont="1" applyFill="1" applyBorder="1" applyAlignment="1">
      <alignment horizontal="center" vertical="center" wrapText="1"/>
    </xf>
    <xf numFmtId="0" fontId="5" fillId="7" borderId="266" xfId="9" applyFont="1" applyFill="1" applyBorder="1" applyAlignment="1">
      <alignment horizontal="center" vertical="center" wrapText="1"/>
    </xf>
    <xf numFmtId="0" fontId="5" fillId="7" borderId="30" xfId="9" applyFont="1" applyFill="1" applyBorder="1" applyAlignment="1">
      <alignment horizontal="center" vertical="center" wrapText="1"/>
    </xf>
    <xf numFmtId="0" fontId="5" fillId="7" borderId="120" xfId="9" applyFont="1" applyFill="1" applyBorder="1" applyAlignment="1">
      <alignment horizontal="center" vertical="center" wrapText="1"/>
    </xf>
    <xf numFmtId="0" fontId="5" fillId="7" borderId="262" xfId="9" applyFont="1" applyFill="1" applyBorder="1" applyAlignment="1">
      <alignment horizontal="center" vertical="center"/>
    </xf>
    <xf numFmtId="0" fontId="5" fillId="7" borderId="248" xfId="9" applyFont="1" applyFill="1" applyBorder="1" applyAlignment="1">
      <alignment horizontal="center" vertical="center"/>
    </xf>
    <xf numFmtId="0" fontId="5" fillId="7" borderId="262" xfId="9" applyFont="1" applyFill="1" applyBorder="1" applyAlignment="1">
      <alignment horizontal="center" vertical="center" wrapText="1"/>
    </xf>
    <xf numFmtId="0" fontId="5" fillId="7" borderId="248" xfId="9" applyFont="1" applyFill="1" applyBorder="1" applyAlignment="1">
      <alignment horizontal="center" vertical="center" wrapText="1"/>
    </xf>
    <xf numFmtId="0" fontId="11" fillId="7" borderId="263" xfId="9" applyFont="1" applyFill="1" applyBorder="1" applyAlignment="1">
      <alignment horizontal="center" vertical="center" wrapText="1"/>
    </xf>
    <xf numFmtId="0" fontId="11" fillId="7" borderId="273" xfId="9" applyFont="1" applyFill="1" applyBorder="1" applyAlignment="1">
      <alignment horizontal="center" vertical="center" wrapText="1"/>
    </xf>
    <xf numFmtId="0" fontId="11" fillId="7" borderId="274" xfId="9" applyFont="1" applyFill="1" applyBorder="1" applyAlignment="1">
      <alignment horizontal="center" vertical="center" wrapText="1"/>
    </xf>
    <xf numFmtId="0" fontId="5" fillId="39" borderId="265" xfId="9" applyFont="1" applyFill="1" applyBorder="1" applyAlignment="1">
      <alignment horizontal="center" vertical="center" wrapText="1"/>
    </xf>
    <xf numFmtId="0" fontId="5" fillId="39" borderId="58" xfId="9" applyFont="1" applyFill="1" applyBorder="1" applyAlignment="1">
      <alignment horizontal="center" vertical="center" wrapText="1"/>
    </xf>
    <xf numFmtId="0" fontId="9" fillId="40" borderId="39" xfId="9" applyFont="1" applyFill="1" applyBorder="1" applyAlignment="1">
      <alignment horizontal="center" vertical="center"/>
    </xf>
    <xf numFmtId="0" fontId="9" fillId="42" borderId="39" xfId="9" applyFont="1" applyFill="1" applyBorder="1" applyAlignment="1">
      <alignment horizontal="center" vertical="center"/>
    </xf>
    <xf numFmtId="0" fontId="5" fillId="7" borderId="265" xfId="9" applyFont="1" applyFill="1" applyBorder="1" applyAlignment="1">
      <alignment horizontal="center" vertical="center" wrapText="1"/>
    </xf>
    <xf numFmtId="0" fontId="5" fillId="7" borderId="57" xfId="9" applyFont="1" applyFill="1" applyBorder="1" applyAlignment="1">
      <alignment horizontal="center" vertical="center" wrapText="1"/>
    </xf>
    <xf numFmtId="0" fontId="5" fillId="21" borderId="260" xfId="9" applyFont="1" applyFill="1" applyBorder="1" applyAlignment="1">
      <alignment horizontal="center" vertical="center" wrapText="1"/>
    </xf>
    <xf numFmtId="0" fontId="5" fillId="21" borderId="137" xfId="9" applyFont="1" applyFill="1" applyBorder="1" applyAlignment="1">
      <alignment horizontal="center" vertical="center" wrapText="1"/>
    </xf>
    <xf numFmtId="0" fontId="12" fillId="3" borderId="260" xfId="9" applyFont="1" applyFill="1" applyBorder="1" applyAlignment="1">
      <alignment horizontal="center" vertical="center" wrapText="1"/>
    </xf>
    <xf numFmtId="0" fontId="12" fillId="3" borderId="137" xfId="9" applyFont="1" applyFill="1" applyBorder="1" applyAlignment="1">
      <alignment horizontal="center" vertical="center" wrapText="1"/>
    </xf>
    <xf numFmtId="0" fontId="12" fillId="7" borderId="232" xfId="9" applyFont="1" applyFill="1" applyBorder="1" applyAlignment="1">
      <alignment horizontal="center" vertical="center" wrapText="1"/>
    </xf>
    <xf numFmtId="0" fontId="15" fillId="0" borderId="0" xfId="9" applyFont="1" applyAlignment="1">
      <alignment horizontal="center" vertical="center" wrapText="1"/>
    </xf>
    <xf numFmtId="0" fontId="15" fillId="0" borderId="0" xfId="9" applyFont="1" applyAlignment="1">
      <alignment horizontal="center" vertical="center"/>
    </xf>
    <xf numFmtId="0" fontId="8" fillId="0" borderId="128" xfId="0" applyFont="1" applyBorder="1" applyAlignment="1">
      <alignment horizontal="center" vertical="center" wrapText="1"/>
    </xf>
    <xf numFmtId="0" fontId="8" fillId="0" borderId="57"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99" xfId="0" applyFont="1" applyBorder="1" applyAlignment="1">
      <alignment horizontal="center" vertical="center" wrapText="1"/>
    </xf>
    <xf numFmtId="164" fontId="0" fillId="46" borderId="197" xfId="2" applyNumberFormat="1" applyFont="1" applyFill="1" applyBorder="1" applyAlignment="1" applyProtection="1">
      <alignment horizontal="center" vertical="center"/>
    </xf>
    <xf numFmtId="164" fontId="0" fillId="46" borderId="190" xfId="2" applyNumberFormat="1" applyFont="1" applyFill="1" applyBorder="1" applyAlignment="1" applyProtection="1">
      <alignment horizontal="center" vertical="center"/>
    </xf>
    <xf numFmtId="164" fontId="0" fillId="46" borderId="192" xfId="2" applyNumberFormat="1" applyFont="1" applyFill="1" applyBorder="1" applyAlignment="1" applyProtection="1">
      <alignment horizontal="center" vertical="center"/>
    </xf>
    <xf numFmtId="164" fontId="0" fillId="47" borderId="197" xfId="2" applyNumberFormat="1" applyFont="1" applyFill="1" applyBorder="1" applyAlignment="1" applyProtection="1">
      <alignment horizontal="center" vertical="center"/>
    </xf>
    <xf numFmtId="164" fontId="0" fillId="47" borderId="190" xfId="2" applyNumberFormat="1" applyFont="1" applyFill="1" applyBorder="1" applyAlignment="1" applyProtection="1">
      <alignment horizontal="center" vertical="center"/>
    </xf>
    <xf numFmtId="164" fontId="0" fillId="47" borderId="209" xfId="2" applyNumberFormat="1" applyFont="1" applyFill="1" applyBorder="1" applyAlignment="1" applyProtection="1">
      <alignment horizontal="center" vertical="center"/>
    </xf>
    <xf numFmtId="164" fontId="0" fillId="1" borderId="202" xfId="2" applyNumberFormat="1" applyFont="1" applyFill="1" applyBorder="1" applyAlignment="1" applyProtection="1">
      <alignment horizontal="center" vertical="center"/>
    </xf>
    <xf numFmtId="164" fontId="0" fillId="1" borderId="108" xfId="2" applyNumberFormat="1" applyFont="1" applyFill="1" applyBorder="1" applyAlignment="1" applyProtection="1">
      <alignment horizontal="center" vertical="center"/>
    </xf>
    <xf numFmtId="0" fontId="8" fillId="7" borderId="63" xfId="0" applyFont="1" applyFill="1" applyBorder="1" applyAlignment="1">
      <alignment horizontal="center" vertical="center"/>
    </xf>
    <xf numFmtId="0" fontId="8" fillId="7" borderId="39" xfId="0" applyFont="1" applyFill="1" applyBorder="1" applyAlignment="1">
      <alignment horizontal="center" vertical="center"/>
    </xf>
    <xf numFmtId="0" fontId="8" fillId="7" borderId="42" xfId="0" applyFont="1" applyFill="1" applyBorder="1" applyAlignment="1">
      <alignment horizontal="center" vertical="center"/>
    </xf>
    <xf numFmtId="0" fontId="8" fillId="0" borderId="58" xfId="0" applyFont="1" applyBorder="1" applyAlignment="1">
      <alignment horizontal="center" vertical="center" wrapText="1"/>
    </xf>
    <xf numFmtId="164" fontId="0" fillId="46" borderId="198" xfId="2" applyNumberFormat="1" applyFont="1" applyFill="1" applyBorder="1" applyAlignment="1" applyProtection="1">
      <alignment horizontal="center" vertical="center"/>
    </xf>
    <xf numFmtId="164" fontId="0" fillId="46" borderId="202" xfId="2" applyNumberFormat="1" applyFont="1" applyFill="1" applyBorder="1" applyAlignment="1" applyProtection="1">
      <alignment horizontal="center" vertical="center"/>
    </xf>
    <xf numFmtId="164" fontId="0" fillId="46" borderId="196" xfId="2" applyNumberFormat="1" applyFont="1" applyFill="1" applyBorder="1" applyAlignment="1" applyProtection="1">
      <alignment horizontal="center" vertical="center"/>
    </xf>
    <xf numFmtId="164" fontId="0" fillId="47" borderId="198" xfId="2" applyNumberFormat="1" applyFont="1" applyFill="1" applyBorder="1" applyAlignment="1" applyProtection="1">
      <alignment horizontal="center" vertical="center"/>
    </xf>
    <xf numFmtId="164" fontId="0" fillId="47" borderId="202" xfId="2" applyNumberFormat="1" applyFont="1" applyFill="1" applyBorder="1" applyAlignment="1" applyProtection="1">
      <alignment horizontal="center" vertical="center"/>
    </xf>
    <xf numFmtId="164" fontId="0" fillId="1" borderId="196" xfId="2" applyNumberFormat="1" applyFont="1" applyFill="1" applyBorder="1" applyAlignment="1" applyProtection="1">
      <alignment horizontal="center" vertical="center"/>
    </xf>
    <xf numFmtId="178" fontId="0" fillId="1" borderId="202" xfId="4" applyNumberFormat="1" applyFont="1" applyFill="1" applyBorder="1" applyAlignment="1">
      <alignment horizontal="center" vertical="center"/>
    </xf>
    <xf numFmtId="178" fontId="0" fillId="1" borderId="196" xfId="4" applyNumberFormat="1" applyFont="1" applyFill="1" applyBorder="1" applyAlignment="1">
      <alignment horizontal="center" vertical="center"/>
    </xf>
    <xf numFmtId="0" fontId="8" fillId="2" borderId="91" xfId="0" applyFont="1" applyFill="1" applyBorder="1" applyAlignment="1">
      <alignment horizontal="center" vertical="center"/>
    </xf>
    <xf numFmtId="0" fontId="8" fillId="2" borderId="98" xfId="0" applyFont="1" applyFill="1" applyBorder="1" applyAlignment="1">
      <alignment horizontal="center" vertical="center"/>
    </xf>
    <xf numFmtId="0" fontId="15" fillId="0" borderId="0" xfId="0" applyFont="1" applyAlignment="1">
      <alignment horizontal="left" vertical="center" indent="2"/>
    </xf>
    <xf numFmtId="0" fontId="5" fillId="3" borderId="23" xfId="0" applyFont="1" applyFill="1" applyBorder="1" applyAlignment="1">
      <alignment horizontal="center" vertical="center" wrapText="1"/>
    </xf>
    <xf numFmtId="0" fontId="5" fillId="3" borderId="105"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35" xfId="0" applyFont="1" applyFill="1" applyBorder="1" applyAlignment="1">
      <alignment horizontal="center" vertical="center" wrapText="1"/>
    </xf>
    <xf numFmtId="0" fontId="10" fillId="44" borderId="63" xfId="0" applyFont="1" applyFill="1" applyBorder="1" applyAlignment="1">
      <alignment horizontal="center" vertical="center"/>
    </xf>
    <xf numFmtId="0" fontId="10" fillId="44" borderId="39" xfId="0" applyFont="1" applyFill="1" applyBorder="1" applyAlignment="1">
      <alignment horizontal="center" vertical="center"/>
    </xf>
    <xf numFmtId="0" fontId="10" fillId="44" borderId="42" xfId="0" applyFont="1" applyFill="1" applyBorder="1" applyAlignment="1">
      <alignment horizontal="center" vertical="center"/>
    </xf>
    <xf numFmtId="0" fontId="8" fillId="20" borderId="20" xfId="0" applyFont="1" applyFill="1" applyBorder="1" applyAlignment="1">
      <alignment horizontal="center" vertical="center" wrapText="1"/>
    </xf>
    <xf numFmtId="0" fontId="8" fillId="20" borderId="30" xfId="0" applyFont="1" applyFill="1" applyBorder="1" applyAlignment="1">
      <alignment horizontal="center" vertical="center" wrapText="1"/>
    </xf>
    <xf numFmtId="0" fontId="8" fillId="20" borderId="99" xfId="0" applyFont="1" applyFill="1" applyBorder="1" applyAlignment="1">
      <alignment horizontal="center" vertical="center" wrapText="1"/>
    </xf>
    <xf numFmtId="0" fontId="8" fillId="20" borderId="227" xfId="0" applyFont="1" applyFill="1" applyBorder="1" applyAlignment="1">
      <alignment horizontal="center" vertical="center" wrapText="1"/>
    </xf>
    <xf numFmtId="0" fontId="8" fillId="20" borderId="58" xfId="0" applyFont="1" applyFill="1" applyBorder="1" applyAlignment="1">
      <alignment horizontal="center" vertical="center" wrapText="1"/>
    </xf>
    <xf numFmtId="0" fontId="8" fillId="20" borderId="57" xfId="0" applyFont="1" applyFill="1" applyBorder="1" applyAlignment="1">
      <alignment horizontal="center" vertical="center" wrapText="1"/>
    </xf>
    <xf numFmtId="174" fontId="8" fillId="35" borderId="22" xfId="0" applyNumberFormat="1" applyFont="1" applyFill="1" applyBorder="1" applyAlignment="1">
      <alignment horizontal="center" vertical="center"/>
    </xf>
    <xf numFmtId="174" fontId="8" fillId="35" borderId="31" xfId="0" applyNumberFormat="1" applyFont="1" applyFill="1" applyBorder="1" applyAlignment="1">
      <alignment horizontal="center" vertical="center"/>
    </xf>
    <xf numFmtId="174" fontId="8" fillId="35" borderId="101" xfId="0" applyNumberFormat="1" applyFont="1" applyFill="1" applyBorder="1" applyAlignment="1">
      <alignment horizontal="center" vertical="center"/>
    </xf>
    <xf numFmtId="0" fontId="8" fillId="20" borderId="33" xfId="0" applyFont="1" applyFill="1" applyBorder="1" applyAlignment="1">
      <alignment horizontal="center" vertical="center" wrapText="1"/>
    </xf>
    <xf numFmtId="0" fontId="5" fillId="7" borderId="36" xfId="0" applyFont="1" applyFill="1" applyBorder="1" applyAlignment="1">
      <alignment horizontal="center" vertical="center" wrapText="1"/>
    </xf>
    <xf numFmtId="0" fontId="5" fillId="7" borderId="244" xfId="0" applyFont="1" applyFill="1" applyBorder="1" applyAlignment="1">
      <alignment horizontal="center" vertical="center" wrapText="1"/>
    </xf>
    <xf numFmtId="0" fontId="5" fillId="7" borderId="24" xfId="0" applyFont="1" applyFill="1" applyBorder="1" applyAlignment="1">
      <alignment horizontal="center" vertical="center" wrapText="1"/>
    </xf>
    <xf numFmtId="0" fontId="5" fillId="7" borderId="245" xfId="0" applyFont="1" applyFill="1" applyBorder="1" applyAlignment="1">
      <alignment horizontal="center" vertical="center" wrapText="1"/>
    </xf>
    <xf numFmtId="0" fontId="5" fillId="43" borderId="23" xfId="0" applyFont="1" applyFill="1" applyBorder="1" applyAlignment="1">
      <alignment horizontal="center" vertical="center" wrapText="1"/>
    </xf>
    <xf numFmtId="0" fontId="5" fillId="43" borderId="225" xfId="0" applyFont="1" applyFill="1" applyBorder="1" applyAlignment="1">
      <alignment horizontal="center" vertical="center" wrapText="1"/>
    </xf>
    <xf numFmtId="0" fontId="5" fillId="43" borderId="37" xfId="0" applyFont="1" applyFill="1" applyBorder="1" applyAlignment="1">
      <alignment horizontal="center" vertical="center" wrapText="1"/>
    </xf>
    <xf numFmtId="0" fontId="5" fillId="43" borderId="52" xfId="0" applyFont="1" applyFill="1" applyBorder="1" applyAlignment="1">
      <alignment horizontal="center" vertical="center" wrapText="1"/>
    </xf>
    <xf numFmtId="0" fontId="5" fillId="7" borderId="130" xfId="0" applyFont="1" applyFill="1" applyBorder="1" applyAlignment="1">
      <alignment horizontal="center" vertical="center" wrapText="1"/>
    </xf>
    <xf numFmtId="0" fontId="15" fillId="20" borderId="0" xfId="0" applyFont="1" applyFill="1" applyAlignment="1">
      <alignment horizontal="left" vertical="center" indent="2"/>
    </xf>
    <xf numFmtId="0" fontId="5" fillId="7" borderId="23" xfId="0" applyFont="1" applyFill="1" applyBorder="1" applyAlignment="1">
      <alignment horizontal="center" vertical="center" wrapText="1"/>
    </xf>
    <xf numFmtId="0" fontId="5" fillId="7" borderId="50" xfId="0" applyFont="1" applyFill="1" applyBorder="1" applyAlignment="1">
      <alignment horizontal="center" vertical="center" wrapText="1"/>
    </xf>
    <xf numFmtId="0" fontId="5" fillId="7" borderId="6" xfId="0" applyFont="1" applyFill="1" applyBorder="1" applyAlignment="1">
      <alignment horizontal="center" vertical="center" wrapText="1"/>
    </xf>
    <xf numFmtId="0" fontId="5" fillId="7" borderId="74" xfId="0" applyFont="1" applyFill="1" applyBorder="1" applyAlignment="1">
      <alignment horizontal="center" vertical="center" wrapText="1"/>
    </xf>
    <xf numFmtId="0" fontId="5" fillId="7" borderId="36" xfId="0" applyFont="1" applyFill="1" applyBorder="1" applyAlignment="1">
      <alignment horizontal="center" vertical="center"/>
    </xf>
    <xf numFmtId="0" fontId="5" fillId="7" borderId="244" xfId="0" applyFont="1" applyFill="1" applyBorder="1" applyAlignment="1">
      <alignment horizontal="center" vertical="center"/>
    </xf>
    <xf numFmtId="0" fontId="11" fillId="0" borderId="19" xfId="0" applyFont="1" applyBorder="1" applyAlignment="1">
      <alignment horizontal="center" vertical="center" wrapText="1"/>
    </xf>
    <xf numFmtId="0" fontId="11" fillId="0" borderId="178" xfId="0" applyFont="1" applyBorder="1" applyAlignment="1">
      <alignment horizontal="center" vertical="center" wrapText="1"/>
    </xf>
    <xf numFmtId="0" fontId="5" fillId="7" borderId="128" xfId="0" applyFont="1" applyFill="1" applyBorder="1" applyAlignment="1">
      <alignment horizontal="center" vertical="center" wrapText="1"/>
    </xf>
    <xf numFmtId="0" fontId="5" fillId="7" borderId="58" xfId="0" applyFont="1" applyFill="1" applyBorder="1" applyAlignment="1">
      <alignment horizontal="center" vertical="center" wrapText="1"/>
    </xf>
    <xf numFmtId="0" fontId="11" fillId="0" borderId="128" xfId="0" applyFont="1" applyBorder="1" applyAlignment="1">
      <alignment horizontal="center" vertical="center" wrapText="1"/>
    </xf>
    <xf numFmtId="0" fontId="11" fillId="0" borderId="58" xfId="0" applyFont="1" applyBorder="1" applyAlignment="1">
      <alignment horizontal="center" vertical="center" wrapText="1"/>
    </xf>
    <xf numFmtId="0" fontId="11" fillId="0" borderId="57" xfId="0" applyFont="1" applyBorder="1" applyAlignment="1">
      <alignment horizontal="center" vertical="center" wrapText="1"/>
    </xf>
    <xf numFmtId="164" fontId="0" fillId="33" borderId="200" xfId="2" applyNumberFormat="1" applyFont="1" applyFill="1" applyBorder="1" applyAlignment="1" applyProtection="1">
      <alignment horizontal="center" vertical="center"/>
    </xf>
    <xf numFmtId="164" fontId="0" fillId="33" borderId="190" xfId="2" applyNumberFormat="1" applyFont="1" applyFill="1" applyBorder="1" applyAlignment="1" applyProtection="1">
      <alignment horizontal="center" vertical="center"/>
    </xf>
    <xf numFmtId="164" fontId="0" fillId="33" borderId="209" xfId="2" applyNumberFormat="1" applyFont="1" applyFill="1" applyBorder="1" applyAlignment="1" applyProtection="1">
      <alignment horizontal="center" vertical="center"/>
    </xf>
    <xf numFmtId="179" fontId="1" fillId="49" borderId="200" xfId="4" applyNumberFormat="1" applyFill="1" applyBorder="1" applyAlignment="1" applyProtection="1">
      <alignment horizontal="center" vertical="center"/>
    </xf>
    <xf numFmtId="179" fontId="1" fillId="49" borderId="190" xfId="4" applyNumberFormat="1" applyFill="1" applyBorder="1" applyAlignment="1" applyProtection="1">
      <alignment horizontal="center" vertical="center"/>
    </xf>
    <xf numFmtId="179" fontId="1" fillId="49" borderId="209" xfId="4" applyNumberFormat="1" applyFill="1" applyBorder="1" applyAlignment="1" applyProtection="1">
      <alignment horizontal="center" vertical="center"/>
    </xf>
    <xf numFmtId="0" fontId="0" fillId="25" borderId="200" xfId="0" applyFill="1" applyBorder="1" applyAlignment="1" applyProtection="1">
      <alignment horizontal="center" vertical="center"/>
      <protection locked="0"/>
    </xf>
    <xf numFmtId="0" fontId="0" fillId="25" borderId="190" xfId="0" applyFill="1" applyBorder="1" applyAlignment="1" applyProtection="1">
      <alignment horizontal="center" vertical="center"/>
      <protection locked="0"/>
    </xf>
    <xf numFmtId="0" fontId="0" fillId="25" borderId="209" xfId="0" applyFill="1" applyBorder="1" applyAlignment="1" applyProtection="1">
      <alignment horizontal="center" vertical="center"/>
      <protection locked="0"/>
    </xf>
    <xf numFmtId="164" fontId="0" fillId="33" borderId="198" xfId="2" applyNumberFormat="1" applyFont="1" applyFill="1" applyBorder="1" applyAlignment="1" applyProtection="1">
      <alignment horizontal="center" vertical="center"/>
    </xf>
    <xf numFmtId="164" fontId="0" fillId="33" borderId="202" xfId="2" applyNumberFormat="1" applyFont="1" applyFill="1" applyBorder="1" applyAlignment="1" applyProtection="1">
      <alignment horizontal="center" vertical="center"/>
    </xf>
    <xf numFmtId="164" fontId="0" fillId="33" borderId="196" xfId="2" applyNumberFormat="1" applyFont="1" applyFill="1" applyBorder="1" applyAlignment="1" applyProtection="1">
      <alignment horizontal="center" vertical="center"/>
    </xf>
    <xf numFmtId="179" fontId="1" fillId="49" borderId="152" xfId="4" applyNumberFormat="1" applyFill="1" applyBorder="1" applyAlignment="1" applyProtection="1">
      <alignment horizontal="center" vertical="center"/>
    </xf>
    <xf numFmtId="179" fontId="1" fillId="49" borderId="144" xfId="4" applyNumberFormat="1" applyFill="1" applyBorder="1" applyAlignment="1" applyProtection="1">
      <alignment horizontal="center" vertical="center"/>
    </xf>
    <xf numFmtId="179" fontId="1" fillId="49" borderId="153" xfId="4" applyNumberFormat="1" applyFill="1" applyBorder="1" applyAlignment="1" applyProtection="1">
      <alignment horizontal="center" vertical="center"/>
    </xf>
    <xf numFmtId="0" fontId="0" fillId="25" borderId="150" xfId="0" applyFill="1" applyBorder="1" applyAlignment="1" applyProtection="1">
      <alignment horizontal="center" vertical="center"/>
      <protection locked="0"/>
    </xf>
    <xf numFmtId="0" fontId="0" fillId="25" borderId="151" xfId="0" applyFill="1" applyBorder="1" applyAlignment="1" applyProtection="1">
      <alignment horizontal="center" vertical="center"/>
      <protection locked="0"/>
    </xf>
    <xf numFmtId="0" fontId="8" fillId="2" borderId="115" xfId="0" applyFont="1" applyFill="1" applyBorder="1" applyAlignment="1">
      <alignment horizontal="center" vertical="center"/>
    </xf>
    <xf numFmtId="0" fontId="8" fillId="2" borderId="116" xfId="0" applyFont="1" applyFill="1" applyBorder="1" applyAlignment="1">
      <alignment horizontal="center" vertical="center"/>
    </xf>
    <xf numFmtId="0" fontId="0" fillId="48" borderId="114" xfId="0" applyFill="1" applyBorder="1" applyAlignment="1">
      <alignment horizontal="left" vertical="center" wrapText="1"/>
    </xf>
    <xf numFmtId="0" fontId="0" fillId="48" borderId="117" xfId="0" applyFill="1" applyBorder="1" applyAlignment="1">
      <alignment horizontal="left" vertical="center" wrapText="1"/>
    </xf>
    <xf numFmtId="0" fontId="0" fillId="48" borderId="118" xfId="0" applyFill="1" applyBorder="1" applyAlignment="1">
      <alignment horizontal="left" vertical="center" wrapText="1"/>
    </xf>
    <xf numFmtId="0" fontId="0" fillId="48" borderId="119" xfId="0" applyFill="1" applyBorder="1" applyAlignment="1">
      <alignment horizontal="left" vertical="center" wrapText="1"/>
    </xf>
    <xf numFmtId="0" fontId="0" fillId="48" borderId="0" xfId="0" applyFill="1" applyAlignment="1">
      <alignment horizontal="left" vertical="center" wrapText="1"/>
    </xf>
    <xf numFmtId="0" fontId="0" fillId="48" borderId="120" xfId="0" applyFill="1" applyBorder="1" applyAlignment="1">
      <alignment horizontal="left" vertical="center" wrapText="1"/>
    </xf>
    <xf numFmtId="0" fontId="0" fillId="48" borderId="103" xfId="0" applyFill="1" applyBorder="1" applyAlignment="1">
      <alignment horizontal="left" vertical="center" wrapText="1"/>
    </xf>
    <xf numFmtId="0" fontId="0" fillId="48" borderId="109" xfId="0" applyFill="1" applyBorder="1" applyAlignment="1">
      <alignment horizontal="left" vertical="center" wrapText="1"/>
    </xf>
    <xf numFmtId="0" fontId="0" fillId="48" borderId="60" xfId="0" applyFill="1" applyBorder="1" applyAlignment="1">
      <alignment horizontal="left" vertical="center" wrapText="1"/>
    </xf>
    <xf numFmtId="0" fontId="5" fillId="3" borderId="121" xfId="0" applyFont="1" applyFill="1" applyBorder="1" applyAlignment="1">
      <alignment horizontal="center" vertical="center" wrapText="1"/>
    </xf>
    <xf numFmtId="0" fontId="5" fillId="3" borderId="129" xfId="0" applyFont="1" applyFill="1" applyBorder="1" applyAlignment="1">
      <alignment horizontal="center" vertical="center" wrapText="1"/>
    </xf>
    <xf numFmtId="0" fontId="5" fillId="3" borderId="122" xfId="0" applyFont="1" applyFill="1" applyBorder="1" applyAlignment="1">
      <alignment horizontal="center" vertical="center" wrapText="1"/>
    </xf>
    <xf numFmtId="0" fontId="5" fillId="3" borderId="216" xfId="0" applyFont="1" applyFill="1" applyBorder="1" applyAlignment="1">
      <alignment horizontal="center" vertical="center" wrapText="1"/>
    </xf>
    <xf numFmtId="164" fontId="10" fillId="12" borderId="123" xfId="0" applyNumberFormat="1" applyFont="1" applyFill="1" applyBorder="1" applyAlignment="1">
      <alignment horizontal="center" vertical="center" wrapText="1"/>
    </xf>
    <xf numFmtId="164" fontId="10" fillId="12" borderId="124" xfId="0" applyNumberFormat="1" applyFont="1" applyFill="1" applyBorder="1" applyAlignment="1">
      <alignment horizontal="center" vertical="center" wrapText="1"/>
    </xf>
    <xf numFmtId="44" fontId="5" fillId="7" borderId="125" xfId="2" applyFont="1" applyFill="1" applyBorder="1" applyAlignment="1" applyProtection="1">
      <alignment horizontal="center" vertical="center"/>
    </xf>
    <xf numFmtId="44" fontId="5" fillId="7" borderId="126" xfId="2" applyFont="1" applyFill="1" applyBorder="1" applyAlignment="1" applyProtection="1">
      <alignment horizontal="center" vertical="center"/>
    </xf>
    <xf numFmtId="44" fontId="5" fillId="7" borderId="127" xfId="2" applyFont="1" applyFill="1" applyBorder="1" applyAlignment="1" applyProtection="1">
      <alignment horizontal="center" vertical="center"/>
    </xf>
    <xf numFmtId="0" fontId="5" fillId="7" borderId="124" xfId="0" applyFont="1" applyFill="1" applyBorder="1" applyAlignment="1">
      <alignment horizontal="center" vertical="center"/>
    </xf>
    <xf numFmtId="0" fontId="5" fillId="7" borderId="122" xfId="0" applyFont="1" applyFill="1" applyBorder="1" applyAlignment="1">
      <alignment horizontal="center" vertical="center"/>
    </xf>
    <xf numFmtId="0" fontId="5" fillId="7" borderId="123" xfId="0" applyFont="1" applyFill="1" applyBorder="1" applyAlignment="1">
      <alignment horizontal="center" vertical="center"/>
    </xf>
    <xf numFmtId="0" fontId="8" fillId="2" borderId="170" xfId="0" applyFont="1" applyFill="1" applyBorder="1" applyAlignment="1">
      <alignment horizontal="center" vertical="center"/>
    </xf>
    <xf numFmtId="0" fontId="8" fillId="2" borderId="169" xfId="0" applyFont="1" applyFill="1" applyBorder="1" applyAlignment="1">
      <alignment horizontal="center" vertical="center"/>
    </xf>
    <xf numFmtId="0" fontId="0" fillId="0" borderId="0" xfId="0" applyAlignment="1">
      <alignment horizontal="left" vertical="center"/>
    </xf>
    <xf numFmtId="0" fontId="5" fillId="22" borderId="0" xfId="0" applyFont="1" applyFill="1" applyAlignment="1">
      <alignment horizontal="center" vertical="center"/>
    </xf>
    <xf numFmtId="0" fontId="8" fillId="2" borderId="177" xfId="0" applyFont="1" applyFill="1" applyBorder="1" applyAlignment="1" applyProtection="1">
      <alignment horizontal="center" vertical="center"/>
      <protection locked="0"/>
    </xf>
    <xf numFmtId="0" fontId="8" fillId="2" borderId="166" xfId="0" applyFont="1" applyFill="1" applyBorder="1" applyAlignment="1" applyProtection="1">
      <alignment horizontal="center" vertical="center"/>
      <protection locked="0"/>
    </xf>
    <xf numFmtId="0" fontId="0" fillId="48" borderId="142" xfId="0" applyFill="1" applyBorder="1" applyAlignment="1">
      <alignment horizontal="left" vertical="center" wrapText="1"/>
    </xf>
    <xf numFmtId="0" fontId="0" fillId="48" borderId="141" xfId="0" applyFill="1" applyBorder="1" applyAlignment="1">
      <alignment horizontal="left" vertical="center" wrapText="1"/>
    </xf>
    <xf numFmtId="0" fontId="30" fillId="22" borderId="0" xfId="0" applyFont="1" applyFill="1" applyAlignment="1">
      <alignment horizontal="left" vertical="center"/>
    </xf>
    <xf numFmtId="0" fontId="8" fillId="0" borderId="0" xfId="0" applyFont="1" applyAlignment="1" applyProtection="1">
      <alignment horizontal="center" vertical="center"/>
      <protection locked="0"/>
    </xf>
    <xf numFmtId="0" fontId="3" fillId="0" borderId="0" xfId="5" applyBorder="1" applyAlignment="1" applyProtection="1">
      <alignment horizontal="left" vertical="center" indent="2"/>
    </xf>
    <xf numFmtId="0" fontId="0" fillId="0" borderId="0" xfId="0" applyAlignment="1">
      <alignment horizontal="center"/>
    </xf>
    <xf numFmtId="0" fontId="0" fillId="0" borderId="113" xfId="0" applyBorder="1" applyAlignment="1">
      <alignment horizontal="center"/>
    </xf>
    <xf numFmtId="0" fontId="0" fillId="0" borderId="74" xfId="0" applyBorder="1" applyAlignment="1">
      <alignment horizontal="center"/>
    </xf>
    <xf numFmtId="0" fontId="0" fillId="0" borderId="137" xfId="0" applyBorder="1" applyAlignment="1">
      <alignment horizontal="center"/>
    </xf>
    <xf numFmtId="42" fontId="0" fillId="0" borderId="113" xfId="3" applyFont="1" applyBorder="1" applyAlignment="1">
      <alignment horizontal="center"/>
    </xf>
    <xf numFmtId="42" fontId="0" fillId="0" borderId="74" xfId="3" applyFont="1" applyBorder="1" applyAlignment="1">
      <alignment horizontal="center"/>
    </xf>
    <xf numFmtId="42" fontId="0" fillId="0" borderId="137" xfId="3" applyFont="1" applyBorder="1" applyAlignment="1">
      <alignment horizontal="center"/>
    </xf>
    <xf numFmtId="42" fontId="0" fillId="0" borderId="164" xfId="3" applyFont="1" applyBorder="1" applyAlignment="1">
      <alignment horizontal="center" vertical="center"/>
    </xf>
    <xf numFmtId="181" fontId="0" fillId="22" borderId="183" xfId="0" applyNumberFormat="1" applyFill="1" applyBorder="1" applyAlignment="1">
      <alignment horizontal="center"/>
    </xf>
    <xf numFmtId="181" fontId="0" fillId="22" borderId="31" xfId="0" applyNumberFormat="1" applyFill="1" applyBorder="1" applyAlignment="1">
      <alignment horizontal="center"/>
    </xf>
    <xf numFmtId="181" fontId="0" fillId="22" borderId="184" xfId="0" applyNumberFormat="1" applyFill="1" applyBorder="1" applyAlignment="1">
      <alignment horizontal="center"/>
    </xf>
    <xf numFmtId="181" fontId="0" fillId="22" borderId="181" xfId="0" applyNumberFormat="1" applyFill="1" applyBorder="1" applyAlignment="1">
      <alignment horizontal="center" vertical="center"/>
    </xf>
    <xf numFmtId="181" fontId="0" fillId="22" borderId="74" xfId="0" applyNumberFormat="1" applyFill="1" applyBorder="1" applyAlignment="1">
      <alignment horizontal="center" vertical="center"/>
    </xf>
    <xf numFmtId="181" fontId="0" fillId="22" borderId="137" xfId="0" applyNumberFormat="1" applyFill="1" applyBorder="1" applyAlignment="1">
      <alignment horizontal="center" vertical="center"/>
    </xf>
    <xf numFmtId="181" fontId="0" fillId="22" borderId="181" xfId="0" applyNumberFormat="1" applyFill="1" applyBorder="1" applyAlignment="1">
      <alignment horizontal="center"/>
    </xf>
    <xf numFmtId="181" fontId="0" fillId="22" borderId="74" xfId="0" applyNumberFormat="1" applyFill="1" applyBorder="1" applyAlignment="1">
      <alignment horizontal="center"/>
    </xf>
    <xf numFmtId="181" fontId="0" fillId="22" borderId="137" xfId="0" applyNumberFormat="1" applyFill="1" applyBorder="1" applyAlignment="1">
      <alignment horizontal="center"/>
    </xf>
    <xf numFmtId="181" fontId="0" fillId="22" borderId="182" xfId="0" applyNumberFormat="1" applyFill="1" applyBorder="1" applyAlignment="1">
      <alignment horizontal="center"/>
    </xf>
    <xf numFmtId="181" fontId="0" fillId="22" borderId="119" xfId="0" applyNumberFormat="1" applyFill="1" applyBorder="1" applyAlignment="1">
      <alignment horizontal="center"/>
    </xf>
    <xf numFmtId="181" fontId="0" fillId="22" borderId="142" xfId="0" applyNumberFormat="1" applyFill="1" applyBorder="1" applyAlignment="1">
      <alignment horizontal="center"/>
    </xf>
    <xf numFmtId="0" fontId="0" fillId="0" borderId="181" xfId="0" applyBorder="1" applyAlignment="1">
      <alignment horizontal="center"/>
    </xf>
    <xf numFmtId="42" fontId="0" fillId="0" borderId="181" xfId="3" applyFont="1" applyBorder="1" applyAlignment="1">
      <alignment horizontal="center"/>
    </xf>
    <xf numFmtId="0" fontId="0" fillId="52" borderId="164" xfId="0" applyFill="1" applyBorder="1" applyAlignment="1">
      <alignment horizontal="center"/>
    </xf>
  </cellXfs>
  <cellStyles count="12">
    <cellStyle name="Hipervínculo" xfId="5" builtinId="8"/>
    <cellStyle name="Millares" xfId="1" builtinId="3"/>
    <cellStyle name="Moneda" xfId="2" builtinId="4"/>
    <cellStyle name="Moneda [0]" xfId="3" builtinId="7"/>
    <cellStyle name="Moneda 2" xfId="7" xr:uid="{00000000-0005-0000-0000-000004000000}"/>
    <cellStyle name="Moneda 2 3" xfId="11" xr:uid="{00000000-0005-0000-0000-000005000000}"/>
    <cellStyle name="Moneda 3" xfId="8" xr:uid="{00000000-0005-0000-0000-000006000000}"/>
    <cellStyle name="Normal" xfId="0" builtinId="0"/>
    <cellStyle name="Normal 2" xfId="6" xr:uid="{00000000-0005-0000-0000-000008000000}"/>
    <cellStyle name="Normal 2 2" xfId="9" xr:uid="{00000000-0005-0000-0000-000009000000}"/>
    <cellStyle name="Porcentaje" xfId="4" builtinId="5"/>
    <cellStyle name="Porcentaje 2 2" xfId="10" xr:uid="{00000000-0005-0000-0000-00000A000000}"/>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i val="0"/>
        <condense val="0"/>
        <extend val="0"/>
        <color indexed="10"/>
      </font>
    </dxf>
    <dxf>
      <font>
        <b/>
        <i val="0"/>
        <condense val="0"/>
        <extend val="0"/>
        <color indexed="10"/>
      </font>
    </dxf>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s-ES" sz="1400" b="0" i="0" u="none" strike="noStrike" kern="1200" spc="0" baseline="0">
                <a:solidFill>
                  <a:schemeClr val="tx1">
                    <a:lumMod val="65000"/>
                    <a:lumOff val="35000"/>
                  </a:schemeClr>
                </a:solidFill>
                <a:latin typeface="+mn-lt"/>
                <a:ea typeface="+mn-ea"/>
                <a:cs typeface="+mn-cs"/>
              </a:defRPr>
            </a:pPr>
            <a:r>
              <a:rPr lang="es-CL"/>
              <a:t>INGRESOS</a:t>
            </a:r>
          </a:p>
        </c:rich>
      </c:tx>
      <c:overlay val="0"/>
      <c:spPr>
        <a:noFill/>
        <a:ln>
          <a:noFill/>
        </a:ln>
        <a:effectLst/>
      </c:spPr>
    </c:title>
    <c:autoTitleDeleted val="0"/>
    <c:plotArea>
      <c:layout/>
      <c:lineChart>
        <c:grouping val="standard"/>
        <c:varyColors val="0"/>
        <c:ser>
          <c:idx val="0"/>
          <c:order val="0"/>
          <c:tx>
            <c:v>Planificado 2022</c:v>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lang="es-ES" sz="900" b="0" i="0" u="none" strike="noStrike" kern="1200" baseline="0">
                    <a:solidFill>
                      <a:schemeClr val="tx1">
                        <a:lumMod val="75000"/>
                        <a:lumOff val="25000"/>
                      </a:schemeClr>
                    </a:solidFill>
                    <a:latin typeface="+mn-lt"/>
                    <a:ea typeface="+mn-ea"/>
                    <a:cs typeface="+mn-cs"/>
                  </a:defRPr>
                </a:pPr>
                <a:endParaRPr lang="es-CL"/>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5"/>
              <c:pt idx="0">
                <c:v>ENERO</c:v>
              </c:pt>
              <c:pt idx="1">
                <c:v>FEBRERO</c:v>
              </c:pt>
              <c:pt idx="2">
                <c:v>MARZO</c:v>
              </c:pt>
              <c:pt idx="3">
                <c:v>ABRIL</c:v>
              </c:pt>
              <c:pt idx="4">
                <c:v>MAYO</c:v>
              </c:pt>
            </c:strLit>
          </c:cat>
          <c:val>
            <c:numRef>
              <c:f>('J)'!$C$35,'J)'!$E$35,'J)'!$G$35,'J)'!$I$35,'J)'!$K$35,'J)'!$M$35,'J)'!$O$35,'J)'!$Q$35,'J)'!$S$35,'J)'!$U$35,'J)'!$W$35,'J)'!$Y$35)</c:f>
              <c:numCache>
                <c:formatCode>_("$"* #,##0_);_("$"* \(#,##0\);_("$"*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82F9-4400-BD67-A97C1EE49B95}"/>
            </c:ext>
          </c:extLst>
        </c:ser>
        <c:ser>
          <c:idx val="1"/>
          <c:order val="1"/>
          <c:tx>
            <c:v>REAL 2022</c:v>
          </c:tx>
          <c:spPr>
            <a:ln w="28575" cap="rnd">
              <a:solidFill>
                <a:schemeClr val="accent3"/>
              </a:solidFill>
              <a:round/>
            </a:ln>
            <a:effectLst/>
          </c:spPr>
          <c:marker>
            <c:symbol val="circle"/>
            <c:size val="5"/>
            <c:spPr>
              <a:solidFill>
                <a:schemeClr val="accent3"/>
              </a:solidFill>
              <a:ln w="9525">
                <a:solidFill>
                  <a:schemeClr val="accent3"/>
                </a:solidFill>
              </a:ln>
              <a:effectLst/>
            </c:spPr>
          </c:marker>
          <c:dLbls>
            <c:spPr>
              <a:noFill/>
              <a:ln>
                <a:noFill/>
              </a:ln>
              <a:effectLst/>
            </c:spPr>
            <c:txPr>
              <a:bodyPr rot="0" spcFirstLastPara="1" vertOverflow="ellipsis" vert="horz" wrap="square" lIns="38100" tIns="19050" rIns="38100" bIns="19050" anchor="ctr" anchorCtr="1">
                <a:spAutoFit/>
              </a:bodyPr>
              <a:lstStyle/>
              <a:p>
                <a:pPr>
                  <a:defRPr lang="es-ES" sz="900" b="0" i="0" u="none" strike="noStrike" kern="1200" baseline="0">
                    <a:solidFill>
                      <a:schemeClr val="tx1">
                        <a:lumMod val="75000"/>
                        <a:lumOff val="25000"/>
                      </a:schemeClr>
                    </a:solidFill>
                    <a:latin typeface="+mn-lt"/>
                    <a:ea typeface="+mn-ea"/>
                    <a:cs typeface="+mn-cs"/>
                  </a:defRPr>
                </a:pPr>
                <a:endParaRPr lang="es-CL"/>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5"/>
              <c:pt idx="0">
                <c:v>ENERO</c:v>
              </c:pt>
              <c:pt idx="1">
                <c:v>FEBRERO</c:v>
              </c:pt>
              <c:pt idx="2">
                <c:v>MARZO</c:v>
              </c:pt>
              <c:pt idx="3">
                <c:v>ABRIL</c:v>
              </c:pt>
              <c:pt idx="4">
                <c:v>MAYO</c:v>
              </c:pt>
            </c:strLit>
          </c:cat>
          <c:val>
            <c:numRef>
              <c:f>('J)'!$D$35,'J)'!$F$35,'J)'!$H$35,'J)'!$J$35,'J)'!$L$35,'J)'!$N$35,'J)'!$P$35,'J)'!$R$35,'J)'!$T$35,'J)'!$V$35,'J)'!$X$35,'J)'!$Z$35)</c:f>
              <c:numCache>
                <c:formatCode>_("$"* #,##0_);_("$"* \(#,##0\);_("$"*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82F9-4400-BD67-A97C1EE49B95}"/>
            </c:ext>
          </c:extLst>
        </c:ser>
        <c:dLbls>
          <c:showLegendKey val="0"/>
          <c:showVal val="1"/>
          <c:showCatName val="0"/>
          <c:showSerName val="0"/>
          <c:showPercent val="0"/>
          <c:showBubbleSize val="0"/>
        </c:dLbls>
        <c:marker val="1"/>
        <c:smooth val="0"/>
        <c:axId val="65118976"/>
        <c:axId val="65120512"/>
      </c:lineChart>
      <c:catAx>
        <c:axId val="65118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endParaRPr lang="es-CL"/>
          </a:p>
        </c:txPr>
        <c:crossAx val="65120512"/>
        <c:crosses val="autoZero"/>
        <c:auto val="1"/>
        <c:lblAlgn val="ctr"/>
        <c:lblOffset val="100"/>
        <c:noMultiLvlLbl val="0"/>
      </c:catAx>
      <c:valAx>
        <c:axId val="65120512"/>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endParaRPr lang="es-CL"/>
          </a:p>
        </c:txPr>
        <c:crossAx val="6511897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000000000000333" l="0.70000000000000062" r="0.70000000000000062" t="0.7500000000000033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s-ES" sz="1400" b="0" i="0" u="none" strike="noStrike" kern="1200" spc="0" baseline="0">
                <a:solidFill>
                  <a:schemeClr val="tx1">
                    <a:lumMod val="65000"/>
                    <a:lumOff val="35000"/>
                  </a:schemeClr>
                </a:solidFill>
                <a:latin typeface="+mn-lt"/>
                <a:ea typeface="+mn-ea"/>
                <a:cs typeface="+mn-cs"/>
              </a:defRPr>
            </a:pPr>
            <a:r>
              <a:rPr lang="es-CL"/>
              <a:t>REMUNERACIONES</a:t>
            </a:r>
          </a:p>
        </c:rich>
      </c:tx>
      <c:overlay val="0"/>
      <c:spPr>
        <a:noFill/>
        <a:ln>
          <a:noFill/>
        </a:ln>
        <a:effectLst/>
      </c:spPr>
    </c:title>
    <c:autoTitleDeleted val="0"/>
    <c:plotArea>
      <c:layout/>
      <c:lineChart>
        <c:grouping val="standard"/>
        <c:varyColors val="0"/>
        <c:ser>
          <c:idx val="0"/>
          <c:order val="0"/>
          <c:tx>
            <c:v>Planificado 2022</c:v>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lang="es-ES" sz="900" b="0" i="0" u="none" strike="noStrike" kern="1200" baseline="0">
                    <a:solidFill>
                      <a:schemeClr val="tx1">
                        <a:lumMod val="75000"/>
                        <a:lumOff val="25000"/>
                      </a:schemeClr>
                    </a:solidFill>
                    <a:latin typeface="+mn-lt"/>
                    <a:ea typeface="+mn-ea"/>
                    <a:cs typeface="+mn-cs"/>
                  </a:defRPr>
                </a:pPr>
                <a:endParaRPr lang="es-CL"/>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5"/>
              <c:pt idx="0">
                <c:v>ENERO</c:v>
              </c:pt>
              <c:pt idx="1">
                <c:v>FEBRERO</c:v>
              </c:pt>
              <c:pt idx="2">
                <c:v>MARZO</c:v>
              </c:pt>
              <c:pt idx="3">
                <c:v>ABRIL</c:v>
              </c:pt>
              <c:pt idx="4">
                <c:v>MAYO</c:v>
              </c:pt>
            </c:strLit>
          </c:cat>
          <c:val>
            <c:numRef>
              <c:f>('J)'!$C$36,'J)'!$E$36,'J)'!$G$36,'J)'!$I$36,'J)'!$K$36,'J)'!$M$36,'J)'!$O$36,'J)'!$Q$36,'J)'!$S$36,'J)'!$U$36,'J)'!$W$36,'J)'!$Y$36)</c:f>
              <c:numCache>
                <c:formatCode>_("$"* #,##0_);_("$"* \(#,##0\);_("$"*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DBF3-4DD3-8C29-B9767B7BDD30}"/>
            </c:ext>
          </c:extLst>
        </c:ser>
        <c:ser>
          <c:idx val="1"/>
          <c:order val="1"/>
          <c:tx>
            <c:v>REAL 2022</c:v>
          </c:tx>
          <c:spPr>
            <a:ln w="28575" cap="rnd">
              <a:solidFill>
                <a:schemeClr val="accent3"/>
              </a:solidFill>
              <a:round/>
            </a:ln>
            <a:effectLst/>
          </c:spPr>
          <c:marker>
            <c:symbol val="circle"/>
            <c:size val="5"/>
            <c:spPr>
              <a:solidFill>
                <a:schemeClr val="accent3"/>
              </a:solidFill>
              <a:ln w="9525">
                <a:solidFill>
                  <a:schemeClr val="accent3"/>
                </a:solidFill>
              </a:ln>
              <a:effectLst/>
            </c:spPr>
          </c:marker>
          <c:dLbls>
            <c:spPr>
              <a:noFill/>
              <a:ln>
                <a:noFill/>
              </a:ln>
              <a:effectLst/>
            </c:spPr>
            <c:txPr>
              <a:bodyPr rot="0" spcFirstLastPara="1" vertOverflow="ellipsis" vert="horz" wrap="square" lIns="38100" tIns="19050" rIns="38100" bIns="19050" anchor="ctr" anchorCtr="1">
                <a:spAutoFit/>
              </a:bodyPr>
              <a:lstStyle/>
              <a:p>
                <a:pPr>
                  <a:defRPr lang="es-ES" sz="900" b="0" i="0" u="none" strike="noStrike" kern="1200" baseline="0">
                    <a:solidFill>
                      <a:schemeClr val="tx1">
                        <a:lumMod val="75000"/>
                        <a:lumOff val="25000"/>
                      </a:schemeClr>
                    </a:solidFill>
                    <a:latin typeface="+mn-lt"/>
                    <a:ea typeface="+mn-ea"/>
                    <a:cs typeface="+mn-cs"/>
                  </a:defRPr>
                </a:pPr>
                <a:endParaRPr lang="es-CL"/>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5"/>
              <c:pt idx="0">
                <c:v>ENERO</c:v>
              </c:pt>
              <c:pt idx="1">
                <c:v>FEBRERO</c:v>
              </c:pt>
              <c:pt idx="2">
                <c:v>MARZO</c:v>
              </c:pt>
              <c:pt idx="3">
                <c:v>ABRIL</c:v>
              </c:pt>
              <c:pt idx="4">
                <c:v>MAYO</c:v>
              </c:pt>
            </c:strLit>
          </c:cat>
          <c:val>
            <c:numRef>
              <c:f>('J)'!$D$36,'J)'!$F$36,'J)'!$H$36,'J)'!$J$36,'J)'!$L$36,'J)'!$N$36,'J)'!$P$36,'J)'!$R$36,'J)'!$T$36,'J)'!$V$36,'J)'!$X$36,'J)'!$Z$36)</c:f>
              <c:numCache>
                <c:formatCode>_("$"* #,##0_);_("$"* \(#,##0\);_("$"*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DBF3-4DD3-8C29-B9767B7BDD30}"/>
            </c:ext>
          </c:extLst>
        </c:ser>
        <c:dLbls>
          <c:showLegendKey val="0"/>
          <c:showVal val="1"/>
          <c:showCatName val="0"/>
          <c:showSerName val="0"/>
          <c:showPercent val="0"/>
          <c:showBubbleSize val="0"/>
        </c:dLbls>
        <c:marker val="1"/>
        <c:smooth val="0"/>
        <c:axId val="101600256"/>
        <c:axId val="101602048"/>
      </c:lineChart>
      <c:catAx>
        <c:axId val="101600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endParaRPr lang="es-CL"/>
          </a:p>
        </c:txPr>
        <c:crossAx val="101602048"/>
        <c:crosses val="autoZero"/>
        <c:auto val="1"/>
        <c:lblAlgn val="ctr"/>
        <c:lblOffset val="100"/>
        <c:noMultiLvlLbl val="0"/>
      </c:catAx>
      <c:valAx>
        <c:axId val="101602048"/>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endParaRPr lang="es-CL"/>
          </a:p>
        </c:txPr>
        <c:crossAx val="10160025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000000000000333" l="0.70000000000000062" r="0.70000000000000062" t="0.75000000000000333"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s-ES" sz="1400" b="0" i="0" u="none" strike="noStrike" kern="1200" spc="0" baseline="0">
                <a:solidFill>
                  <a:schemeClr val="tx1">
                    <a:lumMod val="65000"/>
                    <a:lumOff val="35000"/>
                  </a:schemeClr>
                </a:solidFill>
                <a:latin typeface="+mn-lt"/>
                <a:ea typeface="+mn-ea"/>
                <a:cs typeface="+mn-cs"/>
              </a:defRPr>
            </a:pPr>
            <a:r>
              <a:rPr lang="es-CL"/>
              <a:t>COSTOS DE OPERACION</a:t>
            </a:r>
          </a:p>
        </c:rich>
      </c:tx>
      <c:layout>
        <c:manualLayout>
          <c:xMode val="edge"/>
          <c:yMode val="edge"/>
          <c:x val="0.3936230868798179"/>
          <c:y val="2.6890761047356351E-2"/>
        </c:manualLayout>
      </c:layout>
      <c:overlay val="0"/>
      <c:spPr>
        <a:noFill/>
        <a:ln>
          <a:noFill/>
        </a:ln>
        <a:effectLst/>
      </c:spPr>
    </c:title>
    <c:autoTitleDeleted val="0"/>
    <c:plotArea>
      <c:layout/>
      <c:lineChart>
        <c:grouping val="standard"/>
        <c:varyColors val="0"/>
        <c:ser>
          <c:idx val="0"/>
          <c:order val="0"/>
          <c:tx>
            <c:v>Planificado 2022</c:v>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lang="es-ES" sz="900" b="0" i="0" u="none" strike="noStrike" kern="1200" baseline="0">
                    <a:solidFill>
                      <a:schemeClr val="tx1">
                        <a:lumMod val="75000"/>
                        <a:lumOff val="25000"/>
                      </a:schemeClr>
                    </a:solidFill>
                    <a:latin typeface="+mn-lt"/>
                    <a:ea typeface="+mn-ea"/>
                    <a:cs typeface="+mn-cs"/>
                  </a:defRPr>
                </a:pPr>
                <a:endParaRPr lang="es-CL"/>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5"/>
              <c:pt idx="0">
                <c:v>ENERO</c:v>
              </c:pt>
              <c:pt idx="1">
                <c:v>FEBRERO</c:v>
              </c:pt>
              <c:pt idx="2">
                <c:v>MARZO</c:v>
              </c:pt>
              <c:pt idx="3">
                <c:v>ABRIL</c:v>
              </c:pt>
              <c:pt idx="4">
                <c:v>MAYO</c:v>
              </c:pt>
            </c:strLit>
          </c:cat>
          <c:val>
            <c:numRef>
              <c:f>('J)'!$C$37,'J)'!$E$37,'J)'!$G$37,'J)'!$I$37,'J)'!$K$37,'J)'!$M$37,'J)'!$O$37,'J)'!$Q$37,'J)'!$S$37,'J)'!$U$37,'J)'!$W$37,'J)'!$Y$37)</c:f>
              <c:numCache>
                <c:formatCode>_("$"* #,##0_);_("$"* \(#,##0\);_("$"*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5EC6-413A-9B28-37326C077C54}"/>
            </c:ext>
          </c:extLst>
        </c:ser>
        <c:ser>
          <c:idx val="1"/>
          <c:order val="1"/>
          <c:tx>
            <c:v>REAL 2022</c:v>
          </c:tx>
          <c:spPr>
            <a:ln w="28575" cap="rnd">
              <a:solidFill>
                <a:schemeClr val="accent3"/>
              </a:solidFill>
              <a:round/>
            </a:ln>
            <a:effectLst/>
          </c:spPr>
          <c:marker>
            <c:symbol val="circle"/>
            <c:size val="5"/>
            <c:spPr>
              <a:solidFill>
                <a:schemeClr val="accent3"/>
              </a:solidFill>
              <a:ln w="9525">
                <a:solidFill>
                  <a:schemeClr val="accent3"/>
                </a:solidFill>
              </a:ln>
              <a:effectLst/>
            </c:spPr>
          </c:marker>
          <c:dLbls>
            <c:spPr>
              <a:noFill/>
              <a:ln>
                <a:noFill/>
              </a:ln>
              <a:effectLst/>
            </c:spPr>
            <c:txPr>
              <a:bodyPr rot="0" spcFirstLastPara="1" vertOverflow="ellipsis" vert="horz" wrap="square" lIns="38100" tIns="19050" rIns="38100" bIns="19050" anchor="ctr" anchorCtr="1">
                <a:spAutoFit/>
              </a:bodyPr>
              <a:lstStyle/>
              <a:p>
                <a:pPr>
                  <a:defRPr lang="es-ES" sz="900" b="0" i="0" u="none" strike="noStrike" kern="1200" baseline="0">
                    <a:solidFill>
                      <a:schemeClr val="tx1">
                        <a:lumMod val="75000"/>
                        <a:lumOff val="25000"/>
                      </a:schemeClr>
                    </a:solidFill>
                    <a:latin typeface="+mn-lt"/>
                    <a:ea typeface="+mn-ea"/>
                    <a:cs typeface="+mn-cs"/>
                  </a:defRPr>
                </a:pPr>
                <a:endParaRPr lang="es-CL"/>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5"/>
              <c:pt idx="0">
                <c:v>ENERO</c:v>
              </c:pt>
              <c:pt idx="1">
                <c:v>FEBRERO</c:v>
              </c:pt>
              <c:pt idx="2">
                <c:v>MARZO</c:v>
              </c:pt>
              <c:pt idx="3">
                <c:v>ABRIL</c:v>
              </c:pt>
              <c:pt idx="4">
                <c:v>MAYO</c:v>
              </c:pt>
            </c:strLit>
          </c:cat>
          <c:val>
            <c:numRef>
              <c:f>('J)'!$Z$37,'J)'!$X$37,'J)'!$V$37,'J)'!$T$37,'J)'!$R$37,'J)'!$P$37,'J)'!$N$37,'J)'!$L$37,'J)'!$J$37,'J)'!$H$37,'J)'!$F$37,'J)'!$D$37)</c:f>
              <c:numCache>
                <c:formatCode>_("$"* #,##0_);_("$"* \(#,##0\);_("$"*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5EC6-413A-9B28-37326C077C54}"/>
            </c:ext>
          </c:extLst>
        </c:ser>
        <c:dLbls>
          <c:showLegendKey val="0"/>
          <c:showVal val="1"/>
          <c:showCatName val="0"/>
          <c:showSerName val="0"/>
          <c:showPercent val="0"/>
          <c:showBubbleSize val="0"/>
        </c:dLbls>
        <c:marker val="1"/>
        <c:smooth val="0"/>
        <c:axId val="82249600"/>
        <c:axId val="82251136"/>
      </c:lineChart>
      <c:catAx>
        <c:axId val="82249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endParaRPr lang="es-CL"/>
          </a:p>
        </c:txPr>
        <c:crossAx val="82251136"/>
        <c:crosses val="autoZero"/>
        <c:auto val="1"/>
        <c:lblAlgn val="ctr"/>
        <c:lblOffset val="100"/>
        <c:noMultiLvlLbl val="0"/>
      </c:catAx>
      <c:valAx>
        <c:axId val="8225113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endParaRPr lang="es-CL"/>
          </a:p>
        </c:txPr>
        <c:crossAx val="8224960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000000000000333" l="0.70000000000000062" r="0.70000000000000062" t="0.7500000000000033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s-ES" sz="1400" b="0" i="0" u="none" strike="noStrike" kern="1200" spc="0" baseline="0">
                <a:solidFill>
                  <a:schemeClr val="tx1">
                    <a:lumMod val="65000"/>
                    <a:lumOff val="35000"/>
                  </a:schemeClr>
                </a:solidFill>
                <a:latin typeface="+mn-lt"/>
                <a:ea typeface="+mn-ea"/>
                <a:cs typeface="+mn-cs"/>
              </a:defRPr>
            </a:pPr>
            <a:r>
              <a:rPr lang="es-CL"/>
              <a:t>RESULTADO</a:t>
            </a:r>
            <a:r>
              <a:rPr lang="es-CL" baseline="0"/>
              <a:t> OPERACIONAL</a:t>
            </a:r>
            <a:endParaRPr lang="es-CL"/>
          </a:p>
        </c:rich>
      </c:tx>
      <c:layout>
        <c:manualLayout>
          <c:xMode val="edge"/>
          <c:yMode val="edge"/>
          <c:x val="0.3936230868798179"/>
          <c:y val="2.6890761047356351E-2"/>
        </c:manualLayout>
      </c:layout>
      <c:overlay val="0"/>
      <c:spPr>
        <a:noFill/>
        <a:ln>
          <a:noFill/>
        </a:ln>
        <a:effectLst/>
      </c:spPr>
    </c:title>
    <c:autoTitleDeleted val="0"/>
    <c:plotArea>
      <c:layout/>
      <c:lineChart>
        <c:grouping val="standard"/>
        <c:varyColors val="0"/>
        <c:ser>
          <c:idx val="0"/>
          <c:order val="0"/>
          <c:tx>
            <c:v>Planificado 2022</c:v>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lang="es-ES" sz="900" b="0" i="0" u="none" strike="noStrike" kern="1200" baseline="0">
                    <a:solidFill>
                      <a:schemeClr val="tx1">
                        <a:lumMod val="75000"/>
                        <a:lumOff val="25000"/>
                      </a:schemeClr>
                    </a:solidFill>
                    <a:latin typeface="+mn-lt"/>
                    <a:ea typeface="+mn-ea"/>
                    <a:cs typeface="+mn-cs"/>
                  </a:defRPr>
                </a:pPr>
                <a:endParaRPr lang="es-CL"/>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5"/>
              <c:pt idx="0">
                <c:v>ENERO</c:v>
              </c:pt>
              <c:pt idx="1">
                <c:v>FEBRERO</c:v>
              </c:pt>
              <c:pt idx="2">
                <c:v>MARZO</c:v>
              </c:pt>
              <c:pt idx="3">
                <c:v>ABRIL</c:v>
              </c:pt>
              <c:pt idx="4">
                <c:v>MAYO</c:v>
              </c:pt>
            </c:strLit>
          </c:cat>
          <c:val>
            <c:numRef>
              <c:f>('J)'!$C$38,'J)'!$E$38,'J)'!$G$38,'J)'!$I$38,'J)'!$K$38,'J)'!$M$38,'J)'!$O$38,'J)'!$Q$38,'J)'!$S$38,'J)'!$U$38,'J)'!$W$38,'J)'!$Y$38)</c:f>
              <c:numCache>
                <c:formatCode>_("$"* #,##0_);_("$"* \(#,##0\);_("$"*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3855-4B05-8996-53924BDA2D3E}"/>
            </c:ext>
          </c:extLst>
        </c:ser>
        <c:ser>
          <c:idx val="1"/>
          <c:order val="1"/>
          <c:tx>
            <c:v>REAL 2022</c:v>
          </c:tx>
          <c:spPr>
            <a:ln w="28575" cap="rnd">
              <a:solidFill>
                <a:schemeClr val="accent3"/>
              </a:solidFill>
              <a:round/>
            </a:ln>
            <a:effectLst/>
          </c:spPr>
          <c:marker>
            <c:symbol val="circle"/>
            <c:size val="5"/>
            <c:spPr>
              <a:solidFill>
                <a:schemeClr val="accent3"/>
              </a:solidFill>
              <a:ln w="9525">
                <a:solidFill>
                  <a:schemeClr val="accent3"/>
                </a:solidFill>
              </a:ln>
              <a:effectLst/>
            </c:spPr>
          </c:marker>
          <c:dLbls>
            <c:spPr>
              <a:noFill/>
              <a:ln>
                <a:noFill/>
              </a:ln>
              <a:effectLst/>
            </c:spPr>
            <c:txPr>
              <a:bodyPr rot="0" spcFirstLastPara="1" vertOverflow="ellipsis" vert="horz" wrap="square" lIns="38100" tIns="19050" rIns="38100" bIns="19050" anchor="ctr" anchorCtr="1">
                <a:spAutoFit/>
              </a:bodyPr>
              <a:lstStyle/>
              <a:p>
                <a:pPr>
                  <a:defRPr lang="es-ES" sz="900" b="0" i="0" u="none" strike="noStrike" kern="1200" baseline="0">
                    <a:solidFill>
                      <a:schemeClr val="tx1">
                        <a:lumMod val="75000"/>
                        <a:lumOff val="25000"/>
                      </a:schemeClr>
                    </a:solidFill>
                    <a:latin typeface="+mn-lt"/>
                    <a:ea typeface="+mn-ea"/>
                    <a:cs typeface="+mn-cs"/>
                  </a:defRPr>
                </a:pPr>
                <a:endParaRPr lang="es-CL"/>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5"/>
              <c:pt idx="0">
                <c:v>ENERO</c:v>
              </c:pt>
              <c:pt idx="1">
                <c:v>FEBRERO</c:v>
              </c:pt>
              <c:pt idx="2">
                <c:v>MARZO</c:v>
              </c:pt>
              <c:pt idx="3">
                <c:v>ABRIL</c:v>
              </c:pt>
              <c:pt idx="4">
                <c:v>MAYO</c:v>
              </c:pt>
            </c:strLit>
          </c:cat>
          <c:val>
            <c:numRef>
              <c:f>('J)'!$D$38,'J)'!$F$38,'J)'!$H$38,'J)'!$J$38,'J)'!$L$38,'J)'!$N$38,'J)'!$P$38,'J)'!$R$38,'J)'!$T$38,'J)'!$V$38,'J)'!$X$38,'J)'!$Z$38)</c:f>
              <c:numCache>
                <c:formatCode>_("$"* #,##0_);_("$"* \(#,##0\);_("$"*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3855-4B05-8996-53924BDA2D3E}"/>
            </c:ext>
          </c:extLst>
        </c:ser>
        <c:dLbls>
          <c:showLegendKey val="0"/>
          <c:showVal val="1"/>
          <c:showCatName val="0"/>
          <c:showSerName val="0"/>
          <c:showPercent val="0"/>
          <c:showBubbleSize val="0"/>
        </c:dLbls>
        <c:marker val="1"/>
        <c:smooth val="0"/>
        <c:axId val="102052608"/>
        <c:axId val="102054144"/>
      </c:lineChart>
      <c:catAx>
        <c:axId val="102052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endParaRPr lang="es-CL"/>
          </a:p>
        </c:txPr>
        <c:crossAx val="102054144"/>
        <c:crosses val="autoZero"/>
        <c:auto val="1"/>
        <c:lblAlgn val="ctr"/>
        <c:lblOffset val="100"/>
        <c:noMultiLvlLbl val="0"/>
      </c:catAx>
      <c:valAx>
        <c:axId val="102054144"/>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endParaRPr lang="es-CL"/>
          </a:p>
        </c:txPr>
        <c:crossAx val="10205260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000000000000333" l="0.70000000000000062" r="0.70000000000000062" t="0.75000000000000333"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hyperlink" Target="#'Tabla Indice'!A1"/></Relationships>
</file>

<file path=xl/drawings/_rels/drawing11.xml.rels><?xml version="1.0" encoding="UTF-8" standalone="yes"?>
<Relationships xmlns="http://schemas.openxmlformats.org/package/2006/relationships"><Relationship Id="rId1" Type="http://schemas.openxmlformats.org/officeDocument/2006/relationships/hyperlink" Target="#'Tabla Indice'!A1"/></Relationships>
</file>

<file path=xl/drawings/_rels/drawing1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2" Type="http://schemas.openxmlformats.org/officeDocument/2006/relationships/hyperlink" Target="RESUMEN.xlsx" TargetMode="External"/><Relationship Id="rId1" Type="http://schemas.openxmlformats.org/officeDocument/2006/relationships/hyperlink" Target="#'Tabla Indice'!A1"/></Relationships>
</file>

<file path=xl/drawings/_rels/drawing3.xml.rels><?xml version="1.0" encoding="UTF-8" standalone="yes"?>
<Relationships xmlns="http://schemas.openxmlformats.org/package/2006/relationships"><Relationship Id="rId1" Type="http://schemas.openxmlformats.org/officeDocument/2006/relationships/hyperlink" Target="#'Tabla Indice'!A1"/></Relationships>
</file>

<file path=xl/drawings/_rels/drawing4.xml.rels><?xml version="1.0" encoding="UTF-8" standalone="yes"?>
<Relationships xmlns="http://schemas.openxmlformats.org/package/2006/relationships"><Relationship Id="rId1" Type="http://schemas.openxmlformats.org/officeDocument/2006/relationships/hyperlink" Target="#'Tabla Indice'!A1"/></Relationships>
</file>

<file path=xl/drawings/_rels/drawing5.xml.rels><?xml version="1.0" encoding="UTF-8" standalone="yes"?>
<Relationships xmlns="http://schemas.openxmlformats.org/package/2006/relationships"><Relationship Id="rId8" Type="http://schemas.openxmlformats.org/officeDocument/2006/relationships/hyperlink" Target="#'D) Costos Indirectos'!AN9"/><Relationship Id="rId3" Type="http://schemas.openxmlformats.org/officeDocument/2006/relationships/hyperlink" Target="#'D) Costos Indirectos'!M9"/><Relationship Id="rId7" Type="http://schemas.openxmlformats.org/officeDocument/2006/relationships/hyperlink" Target="#'D) Costos Indirectos'!A1"/><Relationship Id="rId2" Type="http://schemas.openxmlformats.org/officeDocument/2006/relationships/hyperlink" Target="#'Tabla Indice'!A1"/><Relationship Id="rId1" Type="http://schemas.openxmlformats.org/officeDocument/2006/relationships/hyperlink" Target="#'D) Costos Indirectos '!A1"/><Relationship Id="rId6" Type="http://schemas.openxmlformats.org/officeDocument/2006/relationships/hyperlink" Target="#'D) Costos Indirectos'!AG9"/><Relationship Id="rId5" Type="http://schemas.openxmlformats.org/officeDocument/2006/relationships/hyperlink" Target="#'D) Costos Indirectos'!Z9"/><Relationship Id="rId4" Type="http://schemas.openxmlformats.org/officeDocument/2006/relationships/hyperlink" Target="#'D) Costos Indirectos'!U9"/></Relationships>
</file>

<file path=xl/drawings/_rels/drawing6.xml.rels><?xml version="1.0" encoding="UTF-8" standalone="yes"?>
<Relationships xmlns="http://schemas.openxmlformats.org/package/2006/relationships"><Relationship Id="rId1" Type="http://schemas.openxmlformats.org/officeDocument/2006/relationships/hyperlink" Target="#'Tabla Indice'!A1"/></Relationships>
</file>

<file path=xl/drawings/_rels/drawing7.xml.rels><?xml version="1.0" encoding="UTF-8" standalone="yes"?>
<Relationships xmlns="http://schemas.openxmlformats.org/package/2006/relationships"><Relationship Id="rId1" Type="http://schemas.openxmlformats.org/officeDocument/2006/relationships/hyperlink" Target="#'Tabla Indice'!A1"/></Relationships>
</file>

<file path=xl/drawings/_rels/drawing8.xml.rels><?xml version="1.0" encoding="UTF-8" standalone="yes"?>
<Relationships xmlns="http://schemas.openxmlformats.org/package/2006/relationships"><Relationship Id="rId1" Type="http://schemas.openxmlformats.org/officeDocument/2006/relationships/hyperlink" Target="#'Tabla Indice'!A1"/></Relationships>
</file>

<file path=xl/drawings/_rels/drawing9.xml.rels><?xml version="1.0" encoding="UTF-8" standalone="yes"?>
<Relationships xmlns="http://schemas.openxmlformats.org/package/2006/relationships"><Relationship Id="rId1" Type="http://schemas.openxmlformats.org/officeDocument/2006/relationships/hyperlink" Target="#'Tabla Indice'!A1"/></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457200</xdr:colOff>
      <xdr:row>40</xdr:row>
      <xdr:rowOff>133350</xdr:rowOff>
    </xdr:to>
    <xdr:pic>
      <xdr:nvPicPr>
        <xdr:cNvPr id="2" name="Imagen 1">
          <a:extLst>
            <a:ext uri="{FF2B5EF4-FFF2-40B4-BE49-F238E27FC236}">
              <a16:creationId xmlns:a16="http://schemas.microsoft.com/office/drawing/2014/main" id="{A6776CC4-CBF6-415D-8358-20A927757F40}"/>
            </a:ext>
          </a:extLst>
        </xdr:cNvPr>
        <xdr:cNvPicPr>
          <a:picLocks noChangeAspect="1"/>
        </xdr:cNvPicPr>
      </xdr:nvPicPr>
      <xdr:blipFill>
        <a:blip xmlns:r="http://schemas.openxmlformats.org/officeDocument/2006/relationships" r:embed="rId1"/>
        <a:stretch>
          <a:fillRect/>
        </a:stretch>
      </xdr:blipFill>
      <xdr:spPr>
        <a:xfrm>
          <a:off x="762000" y="952500"/>
          <a:ext cx="6553200" cy="6800850"/>
        </a:xfrm>
        <a:prstGeom prst="rect">
          <a:avLst/>
        </a:prstGeom>
      </xdr:spPr>
    </xdr:pic>
    <xdr:clientData/>
  </xdr:twoCellAnchor>
  <xdr:twoCellAnchor editAs="oneCell">
    <xdr:from>
      <xdr:col>13</xdr:col>
      <xdr:colOff>714374</xdr:colOff>
      <xdr:row>6</xdr:row>
      <xdr:rowOff>76200</xdr:rowOff>
    </xdr:from>
    <xdr:to>
      <xdr:col>21</xdr:col>
      <xdr:colOff>504825</xdr:colOff>
      <xdr:row>40</xdr:row>
      <xdr:rowOff>115209</xdr:rowOff>
    </xdr:to>
    <xdr:pic>
      <xdr:nvPicPr>
        <xdr:cNvPr id="3" name="Imagen 2">
          <a:extLst>
            <a:ext uri="{FF2B5EF4-FFF2-40B4-BE49-F238E27FC236}">
              <a16:creationId xmlns:a16="http://schemas.microsoft.com/office/drawing/2014/main" id="{E86037B8-790F-46C9-AC94-744EE8749142}"/>
            </a:ext>
          </a:extLst>
        </xdr:cNvPr>
        <xdr:cNvPicPr>
          <a:picLocks noChangeAspect="1"/>
        </xdr:cNvPicPr>
      </xdr:nvPicPr>
      <xdr:blipFill>
        <a:blip xmlns:r="http://schemas.openxmlformats.org/officeDocument/2006/relationships" r:embed="rId2"/>
        <a:stretch>
          <a:fillRect/>
        </a:stretch>
      </xdr:blipFill>
      <xdr:spPr>
        <a:xfrm>
          <a:off x="10620374" y="1219200"/>
          <a:ext cx="5886451" cy="6516009"/>
        </a:xfrm>
        <a:prstGeom prst="rect">
          <a:avLst/>
        </a:prstGeom>
      </xdr:spPr>
    </xdr:pic>
    <xdr:clientData/>
  </xdr:twoCellAnchor>
  <xdr:twoCellAnchor editAs="oneCell">
    <xdr:from>
      <xdr:col>1</xdr:col>
      <xdr:colOff>514351</xdr:colOff>
      <xdr:row>49</xdr:row>
      <xdr:rowOff>190499</xdr:rowOff>
    </xdr:from>
    <xdr:to>
      <xdr:col>9</xdr:col>
      <xdr:colOff>266701</xdr:colOff>
      <xdr:row>86</xdr:row>
      <xdr:rowOff>123824</xdr:rowOff>
    </xdr:to>
    <xdr:pic>
      <xdr:nvPicPr>
        <xdr:cNvPr id="4" name="Imagen 3">
          <a:extLst>
            <a:ext uri="{FF2B5EF4-FFF2-40B4-BE49-F238E27FC236}">
              <a16:creationId xmlns:a16="http://schemas.microsoft.com/office/drawing/2014/main" id="{E6FFFF64-6DD7-48C0-9DE7-186B1A773ADF}"/>
            </a:ext>
          </a:extLst>
        </xdr:cNvPr>
        <xdr:cNvPicPr>
          <a:picLocks noChangeAspect="1"/>
        </xdr:cNvPicPr>
      </xdr:nvPicPr>
      <xdr:blipFill>
        <a:blip xmlns:r="http://schemas.openxmlformats.org/officeDocument/2006/relationships" r:embed="rId3"/>
        <a:stretch>
          <a:fillRect/>
        </a:stretch>
      </xdr:blipFill>
      <xdr:spPr>
        <a:xfrm>
          <a:off x="1276351" y="9524999"/>
          <a:ext cx="5848350" cy="6981825"/>
        </a:xfrm>
        <a:prstGeom prst="rect">
          <a:avLst/>
        </a:prstGeom>
      </xdr:spPr>
    </xdr:pic>
    <xdr:clientData/>
  </xdr:twoCellAnchor>
  <xdr:twoCellAnchor editAs="oneCell">
    <xdr:from>
      <xdr:col>14</xdr:col>
      <xdr:colOff>238125</xdr:colOff>
      <xdr:row>49</xdr:row>
      <xdr:rowOff>180975</xdr:rowOff>
    </xdr:from>
    <xdr:to>
      <xdr:col>21</xdr:col>
      <xdr:colOff>466725</xdr:colOff>
      <xdr:row>84</xdr:row>
      <xdr:rowOff>47625</xdr:rowOff>
    </xdr:to>
    <xdr:pic>
      <xdr:nvPicPr>
        <xdr:cNvPr id="5" name="Imagen 4">
          <a:extLst>
            <a:ext uri="{FF2B5EF4-FFF2-40B4-BE49-F238E27FC236}">
              <a16:creationId xmlns:a16="http://schemas.microsoft.com/office/drawing/2014/main" id="{795CBE9B-E69C-4CE9-8AC3-027B611E3268}"/>
            </a:ext>
          </a:extLst>
        </xdr:cNvPr>
        <xdr:cNvPicPr>
          <a:picLocks noChangeAspect="1"/>
        </xdr:cNvPicPr>
      </xdr:nvPicPr>
      <xdr:blipFill>
        <a:blip xmlns:r="http://schemas.openxmlformats.org/officeDocument/2006/relationships" r:embed="rId4"/>
        <a:stretch>
          <a:fillRect/>
        </a:stretch>
      </xdr:blipFill>
      <xdr:spPr>
        <a:xfrm>
          <a:off x="10906125" y="9515475"/>
          <a:ext cx="5562600" cy="6534150"/>
        </a:xfrm>
        <a:prstGeom prst="rect">
          <a:avLst/>
        </a:prstGeom>
      </xdr:spPr>
    </xdr:pic>
    <xdr:clientData/>
  </xdr:twoCellAnchor>
  <xdr:twoCellAnchor editAs="oneCell">
    <xdr:from>
      <xdr:col>2</xdr:col>
      <xdr:colOff>0</xdr:colOff>
      <xdr:row>97</xdr:row>
      <xdr:rowOff>0</xdr:rowOff>
    </xdr:from>
    <xdr:to>
      <xdr:col>10</xdr:col>
      <xdr:colOff>257175</xdr:colOff>
      <xdr:row>119</xdr:row>
      <xdr:rowOff>143480</xdr:rowOff>
    </xdr:to>
    <xdr:pic>
      <xdr:nvPicPr>
        <xdr:cNvPr id="6" name="Imagen 5">
          <a:extLst>
            <a:ext uri="{FF2B5EF4-FFF2-40B4-BE49-F238E27FC236}">
              <a16:creationId xmlns:a16="http://schemas.microsoft.com/office/drawing/2014/main" id="{5E0865E8-C2CF-4C37-820A-D1F0B56D897E}"/>
            </a:ext>
          </a:extLst>
        </xdr:cNvPr>
        <xdr:cNvPicPr>
          <a:picLocks noChangeAspect="1"/>
        </xdr:cNvPicPr>
      </xdr:nvPicPr>
      <xdr:blipFill>
        <a:blip xmlns:r="http://schemas.openxmlformats.org/officeDocument/2006/relationships" r:embed="rId5"/>
        <a:stretch>
          <a:fillRect/>
        </a:stretch>
      </xdr:blipFill>
      <xdr:spPr>
        <a:xfrm>
          <a:off x="1524000" y="18478500"/>
          <a:ext cx="6353175" cy="433448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1309688</xdr:colOff>
      <xdr:row>5</xdr:row>
      <xdr:rowOff>66674</xdr:rowOff>
    </xdr:to>
    <xdr:sp macro="" textlink="">
      <xdr:nvSpPr>
        <xdr:cNvPr id="2" name="Flecha: a la derecha 3">
          <a:hlinkClick xmlns:r="http://schemas.openxmlformats.org/officeDocument/2006/relationships" r:id="rId1"/>
          <a:extLst>
            <a:ext uri="{FF2B5EF4-FFF2-40B4-BE49-F238E27FC236}">
              <a16:creationId xmlns:a16="http://schemas.microsoft.com/office/drawing/2014/main" id="{67681092-D368-4EC5-ACD1-7A52959096C2}"/>
            </a:ext>
          </a:extLst>
        </xdr:cNvPr>
        <xdr:cNvSpPr/>
      </xdr:nvSpPr>
      <xdr:spPr bwMode="auto">
        <a:xfrm flipH="1">
          <a:off x="762000" y="161925"/>
          <a:ext cx="1309688" cy="752474"/>
        </a:xfrm>
        <a:prstGeom prst="rightArrow">
          <a:avLst>
            <a:gd name="adj1" fmla="val 68919"/>
            <a:gd name="adj2" fmla="val 37302"/>
          </a:avLst>
        </a:prstGeom>
        <a:solidFill>
          <a:srgbClr val="00B0F0"/>
        </a:solidFill>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Regresar</a:t>
          </a:r>
        </a:p>
        <a:p>
          <a:pPr algn="ctr"/>
          <a:r>
            <a:rPr lang="es-CL" sz="1200" b="1">
              <a:solidFill>
                <a:srgbClr val="FF0000"/>
              </a:solidFill>
            </a:rPr>
            <a:t>Indice</a:t>
          </a:r>
          <a:r>
            <a:rPr lang="es-CL" sz="1200" b="1" baseline="0">
              <a:solidFill>
                <a:srgbClr val="FF0000"/>
              </a:solidFill>
            </a:rPr>
            <a:t> Tablas</a:t>
          </a:r>
        </a:p>
        <a:p>
          <a:pPr algn="ctr"/>
          <a:endParaRPr lang="es-CL" sz="1200" b="1">
            <a:solidFill>
              <a:srgbClr val="FF0000"/>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761999</xdr:colOff>
      <xdr:row>1</xdr:row>
      <xdr:rowOff>0</xdr:rowOff>
    </xdr:from>
    <xdr:to>
      <xdr:col>1</xdr:col>
      <xdr:colOff>2214561</xdr:colOff>
      <xdr:row>4</xdr:row>
      <xdr:rowOff>66674</xdr:rowOff>
    </xdr:to>
    <xdr:sp macro="" textlink="">
      <xdr:nvSpPr>
        <xdr:cNvPr id="2" name="Flecha: a la derecha 1">
          <a:hlinkClick xmlns:r="http://schemas.openxmlformats.org/officeDocument/2006/relationships" r:id="rId1"/>
          <a:extLst>
            <a:ext uri="{FF2B5EF4-FFF2-40B4-BE49-F238E27FC236}">
              <a16:creationId xmlns:a16="http://schemas.microsoft.com/office/drawing/2014/main" id="{F2F7B7E2-232E-4CC8-9954-BAB7944ABF11}"/>
            </a:ext>
          </a:extLst>
        </xdr:cNvPr>
        <xdr:cNvSpPr/>
      </xdr:nvSpPr>
      <xdr:spPr bwMode="auto">
        <a:xfrm flipH="1">
          <a:off x="761999" y="190500"/>
          <a:ext cx="2214562" cy="650080"/>
        </a:xfrm>
        <a:prstGeom prst="rightArrow">
          <a:avLst>
            <a:gd name="adj1" fmla="val 68919"/>
            <a:gd name="adj2" fmla="val 37302"/>
          </a:avLst>
        </a:prstGeom>
        <a:solidFill>
          <a:srgbClr val="00B0F0"/>
        </a:solidFill>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Regresar</a:t>
          </a:r>
        </a:p>
        <a:p>
          <a:pPr algn="ctr"/>
          <a:r>
            <a:rPr lang="es-CL" sz="1200" b="1">
              <a:solidFill>
                <a:srgbClr val="FF0000"/>
              </a:solidFill>
            </a:rPr>
            <a:t>Indice</a:t>
          </a:r>
          <a:r>
            <a:rPr lang="es-CL" sz="1200" b="1" baseline="0">
              <a:solidFill>
                <a:srgbClr val="FF0000"/>
              </a:solidFill>
            </a:rPr>
            <a:t> Tablas</a:t>
          </a:r>
        </a:p>
        <a:p>
          <a:pPr algn="ctr"/>
          <a:endParaRPr lang="es-CL" sz="1200" b="1">
            <a:solidFill>
              <a:srgbClr val="FF0000"/>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6</xdr:col>
      <xdr:colOff>0</xdr:colOff>
      <xdr:row>42</xdr:row>
      <xdr:rowOff>0</xdr:rowOff>
    </xdr:from>
    <xdr:to>
      <xdr:col>15</xdr:col>
      <xdr:colOff>428624</xdr:colOff>
      <xdr:row>56</xdr:row>
      <xdr:rowOff>166687</xdr:rowOff>
    </xdr:to>
    <xdr:graphicFrame macro="">
      <xdr:nvGraphicFramePr>
        <xdr:cNvPr id="2" name="Gráfico 1">
          <a:extLst>
            <a:ext uri="{FF2B5EF4-FFF2-40B4-BE49-F238E27FC236}">
              <a16:creationId xmlns:a16="http://schemas.microsoft.com/office/drawing/2014/main" id="{4E28E759-FA30-4A52-92D6-A421F56979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0</xdr:colOff>
      <xdr:row>42</xdr:row>
      <xdr:rowOff>0</xdr:rowOff>
    </xdr:from>
    <xdr:to>
      <xdr:col>24</xdr:col>
      <xdr:colOff>83343</xdr:colOff>
      <xdr:row>56</xdr:row>
      <xdr:rowOff>166687</xdr:rowOff>
    </xdr:to>
    <xdr:graphicFrame macro="">
      <xdr:nvGraphicFramePr>
        <xdr:cNvPr id="3" name="Gráfico 2">
          <a:extLst>
            <a:ext uri="{FF2B5EF4-FFF2-40B4-BE49-F238E27FC236}">
              <a16:creationId xmlns:a16="http://schemas.microsoft.com/office/drawing/2014/main" id="{EAC67C3C-EEF5-4B8A-82E2-4C6EB37487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59</xdr:row>
      <xdr:rowOff>0</xdr:rowOff>
    </xdr:from>
    <xdr:to>
      <xdr:col>15</xdr:col>
      <xdr:colOff>428624</xdr:colOff>
      <xdr:row>73</xdr:row>
      <xdr:rowOff>166687</xdr:rowOff>
    </xdr:to>
    <xdr:graphicFrame macro="">
      <xdr:nvGraphicFramePr>
        <xdr:cNvPr id="4" name="Gráfico 3">
          <a:extLst>
            <a:ext uri="{FF2B5EF4-FFF2-40B4-BE49-F238E27FC236}">
              <a16:creationId xmlns:a16="http://schemas.microsoft.com/office/drawing/2014/main" id="{56F53EE2-241F-4B10-8B2A-B3F6D58047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0</xdr:colOff>
      <xdr:row>59</xdr:row>
      <xdr:rowOff>0</xdr:rowOff>
    </xdr:from>
    <xdr:to>
      <xdr:col>24</xdr:col>
      <xdr:colOff>83343</xdr:colOff>
      <xdr:row>73</xdr:row>
      <xdr:rowOff>166687</xdr:rowOff>
    </xdr:to>
    <xdr:graphicFrame macro="">
      <xdr:nvGraphicFramePr>
        <xdr:cNvPr id="5" name="Gráfico 4">
          <a:extLst>
            <a:ext uri="{FF2B5EF4-FFF2-40B4-BE49-F238E27FC236}">
              <a16:creationId xmlns:a16="http://schemas.microsoft.com/office/drawing/2014/main" id="{43511574-9724-4DC4-B6B2-EC1E2D2D60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95254</xdr:colOff>
      <xdr:row>0</xdr:row>
      <xdr:rowOff>71439</xdr:rowOff>
    </xdr:from>
    <xdr:to>
      <xdr:col>0</xdr:col>
      <xdr:colOff>1404942</xdr:colOff>
      <xdr:row>4</xdr:row>
      <xdr:rowOff>47625</xdr:rowOff>
    </xdr:to>
    <xdr:sp macro="" textlink="">
      <xdr:nvSpPr>
        <xdr:cNvPr id="2" name="Flecha: a la derecha 1">
          <a:hlinkClick xmlns:r="http://schemas.openxmlformats.org/officeDocument/2006/relationships" r:id="rId1"/>
          <a:extLst>
            <a:ext uri="{FF2B5EF4-FFF2-40B4-BE49-F238E27FC236}">
              <a16:creationId xmlns:a16="http://schemas.microsoft.com/office/drawing/2014/main" id="{BACA0C2E-F3D6-468A-B4C9-73A3C7E54C55}"/>
            </a:ext>
          </a:extLst>
        </xdr:cNvPr>
        <xdr:cNvSpPr/>
      </xdr:nvSpPr>
      <xdr:spPr bwMode="auto">
        <a:xfrm flipH="1">
          <a:off x="95254" y="71439"/>
          <a:ext cx="1309688" cy="700086"/>
        </a:xfrm>
        <a:prstGeom prst="rightArrow">
          <a:avLst>
            <a:gd name="adj1" fmla="val 68919"/>
            <a:gd name="adj2" fmla="val 37302"/>
          </a:avLst>
        </a:prstGeom>
        <a:solidFill>
          <a:srgbClr val="00B0F0"/>
        </a:solidFill>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Regresar</a:t>
          </a:r>
        </a:p>
        <a:p>
          <a:pPr algn="ctr"/>
          <a:r>
            <a:rPr lang="es-CL" sz="1200" b="1">
              <a:solidFill>
                <a:srgbClr val="FF0000"/>
              </a:solidFill>
            </a:rPr>
            <a:t>Indice</a:t>
          </a:r>
          <a:r>
            <a:rPr lang="es-CL" sz="1200" b="1" baseline="0">
              <a:solidFill>
                <a:srgbClr val="FF0000"/>
              </a:solidFill>
            </a:rPr>
            <a:t> Tablas</a:t>
          </a:r>
        </a:p>
        <a:p>
          <a:pPr algn="ctr"/>
          <a:endParaRPr lang="es-CL" sz="1200" b="1">
            <a:solidFill>
              <a:srgbClr val="FF0000"/>
            </a:solidFill>
          </a:endParaRPr>
        </a:p>
      </xdr:txBody>
    </xdr:sp>
    <xdr:clientData/>
  </xdr:twoCellAnchor>
  <xdr:twoCellAnchor>
    <xdr:from>
      <xdr:col>1</xdr:col>
      <xdr:colOff>0</xdr:colOff>
      <xdr:row>1</xdr:row>
      <xdr:rowOff>0</xdr:rowOff>
    </xdr:from>
    <xdr:to>
      <xdr:col>1</xdr:col>
      <xdr:colOff>333375</xdr:colOff>
      <xdr:row>2</xdr:row>
      <xdr:rowOff>119063</xdr:rowOff>
    </xdr:to>
    <xdr:sp macro="" textlink="">
      <xdr:nvSpPr>
        <xdr:cNvPr id="3" name="Estrella: 5 puntas 2">
          <a:hlinkClick xmlns:r="http://schemas.openxmlformats.org/officeDocument/2006/relationships" r:id="rId2"/>
          <a:extLst>
            <a:ext uri="{FF2B5EF4-FFF2-40B4-BE49-F238E27FC236}">
              <a16:creationId xmlns:a16="http://schemas.microsoft.com/office/drawing/2014/main" id="{4165CA02-2DDA-4D8C-85AB-94D170397004}"/>
            </a:ext>
          </a:extLst>
        </xdr:cNvPr>
        <xdr:cNvSpPr/>
      </xdr:nvSpPr>
      <xdr:spPr bwMode="auto">
        <a:xfrm>
          <a:off x="2800350" y="161925"/>
          <a:ext cx="333375" cy="280988"/>
        </a:xfrm>
        <a:prstGeom prst="star5">
          <a:avLst/>
        </a:prstGeom>
        <a:solidFill>
          <a:srgbClr val="00206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es-CL"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309561</xdr:colOff>
      <xdr:row>3</xdr:row>
      <xdr:rowOff>59529</xdr:rowOff>
    </xdr:from>
    <xdr:to>
      <xdr:col>0</xdr:col>
      <xdr:colOff>1619249</xdr:colOff>
      <xdr:row>6</xdr:row>
      <xdr:rowOff>154778</xdr:rowOff>
    </xdr:to>
    <xdr:sp macro="" textlink="">
      <xdr:nvSpPr>
        <xdr:cNvPr id="2" name="Flecha: a la derecha 1">
          <a:hlinkClick xmlns:r="http://schemas.openxmlformats.org/officeDocument/2006/relationships" r:id="rId1"/>
          <a:extLst>
            <a:ext uri="{FF2B5EF4-FFF2-40B4-BE49-F238E27FC236}">
              <a16:creationId xmlns:a16="http://schemas.microsoft.com/office/drawing/2014/main" id="{5C605BA9-6630-400B-8FEA-4EE85512EC30}"/>
            </a:ext>
          </a:extLst>
        </xdr:cNvPr>
        <xdr:cNvSpPr/>
      </xdr:nvSpPr>
      <xdr:spPr bwMode="auto">
        <a:xfrm flipH="1">
          <a:off x="309561" y="545304"/>
          <a:ext cx="1309688" cy="723899"/>
        </a:xfrm>
        <a:prstGeom prst="rightArrow">
          <a:avLst>
            <a:gd name="adj1" fmla="val 68919"/>
            <a:gd name="adj2" fmla="val 37302"/>
          </a:avLst>
        </a:prstGeom>
        <a:solidFill>
          <a:srgbClr val="00B0F0"/>
        </a:solidFill>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Regresar</a:t>
          </a:r>
        </a:p>
        <a:p>
          <a:pPr algn="ctr"/>
          <a:r>
            <a:rPr lang="es-CL" sz="1200" b="1">
              <a:solidFill>
                <a:srgbClr val="FF0000"/>
              </a:solidFill>
            </a:rPr>
            <a:t>Indice</a:t>
          </a:r>
          <a:r>
            <a:rPr lang="es-CL" sz="1200" b="1" baseline="0">
              <a:solidFill>
                <a:srgbClr val="FF0000"/>
              </a:solidFill>
            </a:rPr>
            <a:t> Tablas</a:t>
          </a:r>
        </a:p>
        <a:p>
          <a:pPr algn="ctr"/>
          <a:endParaRPr lang="es-CL" sz="1200" b="1">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83342</xdr:colOff>
      <xdr:row>0</xdr:row>
      <xdr:rowOff>107164</xdr:rowOff>
    </xdr:from>
    <xdr:to>
      <xdr:col>0</xdr:col>
      <xdr:colOff>1393030</xdr:colOff>
      <xdr:row>4</xdr:row>
      <xdr:rowOff>71444</xdr:rowOff>
    </xdr:to>
    <xdr:sp macro="" textlink="">
      <xdr:nvSpPr>
        <xdr:cNvPr id="2" name="Flecha: a la derecha 1">
          <a:hlinkClick xmlns:r="http://schemas.openxmlformats.org/officeDocument/2006/relationships" r:id="rId1"/>
          <a:extLst>
            <a:ext uri="{FF2B5EF4-FFF2-40B4-BE49-F238E27FC236}">
              <a16:creationId xmlns:a16="http://schemas.microsoft.com/office/drawing/2014/main" id="{C524B1C0-F9B0-415A-8C6A-A41CF41A35C9}"/>
            </a:ext>
          </a:extLst>
        </xdr:cNvPr>
        <xdr:cNvSpPr/>
      </xdr:nvSpPr>
      <xdr:spPr bwMode="auto">
        <a:xfrm flipH="1">
          <a:off x="83342" y="107164"/>
          <a:ext cx="1309688" cy="697705"/>
        </a:xfrm>
        <a:prstGeom prst="rightArrow">
          <a:avLst>
            <a:gd name="adj1" fmla="val 68919"/>
            <a:gd name="adj2" fmla="val 37302"/>
          </a:avLst>
        </a:prstGeom>
        <a:solidFill>
          <a:srgbClr val="00B0F0"/>
        </a:solidFill>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Regresar</a:t>
          </a:r>
        </a:p>
        <a:p>
          <a:pPr algn="ctr"/>
          <a:r>
            <a:rPr lang="es-CL" sz="1200" b="1">
              <a:solidFill>
                <a:srgbClr val="FF0000"/>
              </a:solidFill>
            </a:rPr>
            <a:t>Indice</a:t>
          </a:r>
          <a:r>
            <a:rPr lang="es-CL" sz="1200" b="1" baseline="0">
              <a:solidFill>
                <a:srgbClr val="FF0000"/>
              </a:solidFill>
            </a:rPr>
            <a:t> Tablas</a:t>
          </a:r>
        </a:p>
        <a:p>
          <a:pPr algn="ctr"/>
          <a:endParaRPr lang="es-CL" sz="1200" b="1">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32</xdr:col>
      <xdr:colOff>333375</xdr:colOff>
      <xdr:row>2</xdr:row>
      <xdr:rowOff>47625</xdr:rowOff>
    </xdr:from>
    <xdr:to>
      <xdr:col>32</xdr:col>
      <xdr:colOff>750093</xdr:colOff>
      <xdr:row>3</xdr:row>
      <xdr:rowOff>178593</xdr:rowOff>
    </xdr:to>
    <xdr:sp macro="" textlink="">
      <xdr:nvSpPr>
        <xdr:cNvPr id="2" name="Flecha derecha 5">
          <a:hlinkClick xmlns:r="http://schemas.openxmlformats.org/officeDocument/2006/relationships" r:id="rId1"/>
          <a:extLst>
            <a:ext uri="{FF2B5EF4-FFF2-40B4-BE49-F238E27FC236}">
              <a16:creationId xmlns:a16="http://schemas.microsoft.com/office/drawing/2014/main" id="{21EAFE03-FD33-4066-B474-492261887660}"/>
            </a:ext>
          </a:extLst>
        </xdr:cNvPr>
        <xdr:cNvSpPr/>
      </xdr:nvSpPr>
      <xdr:spPr bwMode="auto">
        <a:xfrm rot="10800000">
          <a:off x="37766625" y="371475"/>
          <a:ext cx="416718" cy="292893"/>
        </a:xfrm>
        <a:prstGeom prst="rightArrow">
          <a:avLst/>
        </a:prstGeom>
        <a:solidFill>
          <a:srgbClr val="0000CC"/>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L" sz="1100"/>
        </a:p>
      </xdr:txBody>
    </xdr:sp>
    <xdr:clientData/>
  </xdr:twoCellAnchor>
  <xdr:twoCellAnchor>
    <xdr:from>
      <xdr:col>24</xdr:col>
      <xdr:colOff>0</xdr:colOff>
      <xdr:row>3</xdr:row>
      <xdr:rowOff>0</xdr:rowOff>
    </xdr:from>
    <xdr:to>
      <xdr:col>24</xdr:col>
      <xdr:colOff>416718</xdr:colOff>
      <xdr:row>4</xdr:row>
      <xdr:rowOff>59531</xdr:rowOff>
    </xdr:to>
    <xdr:sp macro="" textlink="">
      <xdr:nvSpPr>
        <xdr:cNvPr id="3" name="Flecha derecha 6">
          <a:hlinkClick xmlns:r="http://schemas.openxmlformats.org/officeDocument/2006/relationships" r:id="rId1"/>
          <a:extLst>
            <a:ext uri="{FF2B5EF4-FFF2-40B4-BE49-F238E27FC236}">
              <a16:creationId xmlns:a16="http://schemas.microsoft.com/office/drawing/2014/main" id="{F7C9EA32-D001-401B-95F8-E1854F8730ED}"/>
            </a:ext>
          </a:extLst>
        </xdr:cNvPr>
        <xdr:cNvSpPr/>
      </xdr:nvSpPr>
      <xdr:spPr bwMode="auto">
        <a:xfrm rot="10800000">
          <a:off x="30203775" y="485775"/>
          <a:ext cx="416718" cy="297656"/>
        </a:xfrm>
        <a:prstGeom prst="rightArrow">
          <a:avLst/>
        </a:prstGeom>
        <a:solidFill>
          <a:srgbClr val="0000CC"/>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L" sz="1100"/>
        </a:p>
      </xdr:txBody>
    </xdr:sp>
    <xdr:clientData/>
  </xdr:twoCellAnchor>
  <xdr:twoCellAnchor>
    <xdr:from>
      <xdr:col>20</xdr:col>
      <xdr:colOff>0</xdr:colOff>
      <xdr:row>3</xdr:row>
      <xdr:rowOff>0</xdr:rowOff>
    </xdr:from>
    <xdr:to>
      <xdr:col>20</xdr:col>
      <xdr:colOff>416718</xdr:colOff>
      <xdr:row>4</xdr:row>
      <xdr:rowOff>59531</xdr:rowOff>
    </xdr:to>
    <xdr:sp macro="" textlink="">
      <xdr:nvSpPr>
        <xdr:cNvPr id="4" name="Flecha derecha 7">
          <a:hlinkClick xmlns:r="http://schemas.openxmlformats.org/officeDocument/2006/relationships" r:id="rId1"/>
          <a:extLst>
            <a:ext uri="{FF2B5EF4-FFF2-40B4-BE49-F238E27FC236}">
              <a16:creationId xmlns:a16="http://schemas.microsoft.com/office/drawing/2014/main" id="{B9A617F1-6A13-4834-8FE4-8541D483B264}"/>
            </a:ext>
          </a:extLst>
        </xdr:cNvPr>
        <xdr:cNvSpPr/>
      </xdr:nvSpPr>
      <xdr:spPr bwMode="auto">
        <a:xfrm rot="10800000">
          <a:off x="23802975" y="485775"/>
          <a:ext cx="416718" cy="297656"/>
        </a:xfrm>
        <a:prstGeom prst="rightArrow">
          <a:avLst/>
        </a:prstGeom>
        <a:solidFill>
          <a:srgbClr val="0000CC"/>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L" sz="1100"/>
        </a:p>
      </xdr:txBody>
    </xdr:sp>
    <xdr:clientData/>
  </xdr:twoCellAnchor>
  <xdr:twoCellAnchor>
    <xdr:from>
      <xdr:col>12</xdr:col>
      <xdr:colOff>369094</xdr:colOff>
      <xdr:row>3</xdr:row>
      <xdr:rowOff>23813</xdr:rowOff>
    </xdr:from>
    <xdr:to>
      <xdr:col>12</xdr:col>
      <xdr:colOff>785812</xdr:colOff>
      <xdr:row>4</xdr:row>
      <xdr:rowOff>83344</xdr:rowOff>
    </xdr:to>
    <xdr:sp macro="" textlink="">
      <xdr:nvSpPr>
        <xdr:cNvPr id="5" name="Flecha derecha 8">
          <a:hlinkClick xmlns:r="http://schemas.openxmlformats.org/officeDocument/2006/relationships" r:id="rId1"/>
          <a:extLst>
            <a:ext uri="{FF2B5EF4-FFF2-40B4-BE49-F238E27FC236}">
              <a16:creationId xmlns:a16="http://schemas.microsoft.com/office/drawing/2014/main" id="{BADF1E65-4CA2-4BAC-A902-21D1F5FF0BA5}"/>
            </a:ext>
          </a:extLst>
        </xdr:cNvPr>
        <xdr:cNvSpPr/>
      </xdr:nvSpPr>
      <xdr:spPr bwMode="auto">
        <a:xfrm rot="10800000">
          <a:off x="15837694" y="509588"/>
          <a:ext cx="416718" cy="297656"/>
        </a:xfrm>
        <a:prstGeom prst="rightArrow">
          <a:avLst/>
        </a:prstGeom>
        <a:solidFill>
          <a:srgbClr val="0000CC"/>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L" sz="1100"/>
        </a:p>
      </xdr:txBody>
    </xdr:sp>
    <xdr:clientData/>
  </xdr:twoCellAnchor>
  <xdr:twoCellAnchor>
    <xdr:from>
      <xdr:col>39</xdr:col>
      <xdr:colOff>0</xdr:colOff>
      <xdr:row>3</xdr:row>
      <xdr:rowOff>0</xdr:rowOff>
    </xdr:from>
    <xdr:to>
      <xdr:col>39</xdr:col>
      <xdr:colOff>416718</xdr:colOff>
      <xdr:row>4</xdr:row>
      <xdr:rowOff>59531</xdr:rowOff>
    </xdr:to>
    <xdr:sp macro="" textlink="">
      <xdr:nvSpPr>
        <xdr:cNvPr id="6" name="Flecha derecha 10">
          <a:hlinkClick xmlns:r="http://schemas.openxmlformats.org/officeDocument/2006/relationships" r:id="rId1"/>
          <a:extLst>
            <a:ext uri="{FF2B5EF4-FFF2-40B4-BE49-F238E27FC236}">
              <a16:creationId xmlns:a16="http://schemas.microsoft.com/office/drawing/2014/main" id="{59C7E057-E399-4ECF-8425-AEC9BE5CDCC1}"/>
            </a:ext>
          </a:extLst>
        </xdr:cNvPr>
        <xdr:cNvSpPr/>
      </xdr:nvSpPr>
      <xdr:spPr bwMode="auto">
        <a:xfrm rot="10800000">
          <a:off x="43910250" y="485775"/>
          <a:ext cx="416718" cy="297656"/>
        </a:xfrm>
        <a:prstGeom prst="rightArrow">
          <a:avLst/>
        </a:prstGeom>
        <a:solidFill>
          <a:srgbClr val="0000CC"/>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L" sz="1100"/>
        </a:p>
      </xdr:txBody>
    </xdr:sp>
    <xdr:clientData/>
  </xdr:twoCellAnchor>
  <xdr:twoCellAnchor>
    <xdr:from>
      <xdr:col>1</xdr:col>
      <xdr:colOff>0</xdr:colOff>
      <xdr:row>2</xdr:row>
      <xdr:rowOff>0</xdr:rowOff>
    </xdr:from>
    <xdr:to>
      <xdr:col>1</xdr:col>
      <xdr:colOff>1309688</xdr:colOff>
      <xdr:row>5</xdr:row>
      <xdr:rowOff>142874</xdr:rowOff>
    </xdr:to>
    <xdr:sp macro="" textlink="">
      <xdr:nvSpPr>
        <xdr:cNvPr id="7" name="Flecha: a la derecha 1">
          <a:hlinkClick xmlns:r="http://schemas.openxmlformats.org/officeDocument/2006/relationships" r:id="rId2"/>
          <a:extLst>
            <a:ext uri="{FF2B5EF4-FFF2-40B4-BE49-F238E27FC236}">
              <a16:creationId xmlns:a16="http://schemas.microsoft.com/office/drawing/2014/main" id="{845CE4A4-7097-4434-AF75-51AED764FA9F}"/>
            </a:ext>
          </a:extLst>
        </xdr:cNvPr>
        <xdr:cNvSpPr/>
      </xdr:nvSpPr>
      <xdr:spPr bwMode="auto">
        <a:xfrm flipH="1">
          <a:off x="476250" y="323850"/>
          <a:ext cx="1309688" cy="704849"/>
        </a:xfrm>
        <a:prstGeom prst="rightArrow">
          <a:avLst>
            <a:gd name="adj1" fmla="val 68919"/>
            <a:gd name="adj2" fmla="val 37302"/>
          </a:avLst>
        </a:prstGeom>
        <a:solidFill>
          <a:srgbClr val="00B0F0"/>
        </a:solidFill>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Regresar</a:t>
          </a:r>
        </a:p>
        <a:p>
          <a:pPr algn="ctr"/>
          <a:r>
            <a:rPr lang="es-CL" sz="1200" b="1">
              <a:solidFill>
                <a:srgbClr val="FF0000"/>
              </a:solidFill>
            </a:rPr>
            <a:t>Indice</a:t>
          </a:r>
          <a:r>
            <a:rPr lang="es-CL" sz="1200" b="1" baseline="0">
              <a:solidFill>
                <a:srgbClr val="FF0000"/>
              </a:solidFill>
            </a:rPr>
            <a:t> Tablas</a:t>
          </a:r>
        </a:p>
        <a:p>
          <a:pPr algn="ctr"/>
          <a:endParaRPr lang="es-CL" sz="1200" b="1">
            <a:solidFill>
              <a:srgbClr val="FF0000"/>
            </a:solidFill>
          </a:endParaRPr>
        </a:p>
      </xdr:txBody>
    </xdr:sp>
    <xdr:clientData/>
  </xdr:twoCellAnchor>
  <xdr:twoCellAnchor>
    <xdr:from>
      <xdr:col>0</xdr:col>
      <xdr:colOff>47624</xdr:colOff>
      <xdr:row>1</xdr:row>
      <xdr:rowOff>0</xdr:rowOff>
    </xdr:from>
    <xdr:to>
      <xdr:col>1</xdr:col>
      <xdr:colOff>762000</xdr:colOff>
      <xdr:row>4</xdr:row>
      <xdr:rowOff>119062</xdr:rowOff>
    </xdr:to>
    <xdr:sp macro="" textlink="">
      <xdr:nvSpPr>
        <xdr:cNvPr id="8" name="Flecha: hacia abajo 7">
          <a:hlinkClick xmlns:r="http://schemas.openxmlformats.org/officeDocument/2006/relationships" r:id="rId3"/>
          <a:extLst>
            <a:ext uri="{FF2B5EF4-FFF2-40B4-BE49-F238E27FC236}">
              <a16:creationId xmlns:a16="http://schemas.microsoft.com/office/drawing/2014/main" id="{6AEF4FBA-1AB7-4700-BF79-6371CDB0A577}"/>
            </a:ext>
          </a:extLst>
        </xdr:cNvPr>
        <xdr:cNvSpPr/>
      </xdr:nvSpPr>
      <xdr:spPr bwMode="auto">
        <a:xfrm>
          <a:off x="47624" y="161925"/>
          <a:ext cx="1485901" cy="681037"/>
        </a:xfrm>
        <a:prstGeom prst="downArrow">
          <a:avLst/>
        </a:prstGeom>
        <a:solidFill>
          <a:srgbClr val="00B0F0"/>
        </a:solidFill>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Ir a TABLA</a:t>
          </a:r>
          <a:r>
            <a:rPr lang="es-CL" sz="1200" b="1" baseline="0">
              <a:solidFill>
                <a:srgbClr val="FF0000"/>
              </a:solidFill>
            </a:rPr>
            <a:t> 7</a:t>
          </a:r>
          <a:endParaRPr lang="es-CL" sz="1200" b="1">
            <a:solidFill>
              <a:srgbClr val="FF0000"/>
            </a:solidFill>
          </a:endParaRPr>
        </a:p>
      </xdr:txBody>
    </xdr:sp>
    <xdr:clientData/>
  </xdr:twoCellAnchor>
  <xdr:twoCellAnchor>
    <xdr:from>
      <xdr:col>1</xdr:col>
      <xdr:colOff>797719</xdr:colOff>
      <xdr:row>1</xdr:row>
      <xdr:rowOff>23811</xdr:rowOff>
    </xdr:from>
    <xdr:to>
      <xdr:col>2</xdr:col>
      <xdr:colOff>119064</xdr:colOff>
      <xdr:row>4</xdr:row>
      <xdr:rowOff>142873</xdr:rowOff>
    </xdr:to>
    <xdr:sp macro="" textlink="">
      <xdr:nvSpPr>
        <xdr:cNvPr id="9" name="Flecha: hacia abajo 1">
          <a:hlinkClick xmlns:r="http://schemas.openxmlformats.org/officeDocument/2006/relationships" r:id="rId4"/>
          <a:extLst>
            <a:ext uri="{FF2B5EF4-FFF2-40B4-BE49-F238E27FC236}">
              <a16:creationId xmlns:a16="http://schemas.microsoft.com/office/drawing/2014/main" id="{B4B70CE6-4B2A-4A5F-9E0A-46AA1C19C554}"/>
            </a:ext>
          </a:extLst>
        </xdr:cNvPr>
        <xdr:cNvSpPr/>
      </xdr:nvSpPr>
      <xdr:spPr bwMode="auto">
        <a:xfrm>
          <a:off x="1569244" y="185736"/>
          <a:ext cx="1188245" cy="681037"/>
        </a:xfrm>
        <a:prstGeom prst="downArrow">
          <a:avLst/>
        </a:prstGeom>
        <a:solidFill>
          <a:srgbClr val="00B0F0"/>
        </a:solidFill>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Ir a TABLA</a:t>
          </a:r>
          <a:r>
            <a:rPr lang="es-CL" sz="1200" b="1" baseline="0">
              <a:solidFill>
                <a:srgbClr val="FF0000"/>
              </a:solidFill>
            </a:rPr>
            <a:t> 8</a:t>
          </a:r>
          <a:endParaRPr lang="es-CL" sz="1200" b="1">
            <a:solidFill>
              <a:srgbClr val="FF0000"/>
            </a:solidFill>
          </a:endParaRPr>
        </a:p>
      </xdr:txBody>
    </xdr:sp>
    <xdr:clientData/>
  </xdr:twoCellAnchor>
  <xdr:twoCellAnchor>
    <xdr:from>
      <xdr:col>2</xdr:col>
      <xdr:colOff>154781</xdr:colOff>
      <xdr:row>1</xdr:row>
      <xdr:rowOff>35718</xdr:rowOff>
    </xdr:from>
    <xdr:to>
      <xdr:col>2</xdr:col>
      <xdr:colOff>1345407</xdr:colOff>
      <xdr:row>4</xdr:row>
      <xdr:rowOff>154780</xdr:rowOff>
    </xdr:to>
    <xdr:sp macro="" textlink="">
      <xdr:nvSpPr>
        <xdr:cNvPr id="10" name="Flecha: hacia abajo 1">
          <a:hlinkClick xmlns:r="http://schemas.openxmlformats.org/officeDocument/2006/relationships" r:id="rId5"/>
          <a:extLst>
            <a:ext uri="{FF2B5EF4-FFF2-40B4-BE49-F238E27FC236}">
              <a16:creationId xmlns:a16="http://schemas.microsoft.com/office/drawing/2014/main" id="{0F507E46-941B-4FC9-8DED-410A0809DAC8}"/>
            </a:ext>
          </a:extLst>
        </xdr:cNvPr>
        <xdr:cNvSpPr/>
      </xdr:nvSpPr>
      <xdr:spPr bwMode="auto">
        <a:xfrm>
          <a:off x="2793206" y="197643"/>
          <a:ext cx="1190626" cy="681037"/>
        </a:xfrm>
        <a:prstGeom prst="downArrow">
          <a:avLst/>
        </a:prstGeom>
        <a:solidFill>
          <a:srgbClr val="00B0F0"/>
        </a:solidFill>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Ir a TABLA</a:t>
          </a:r>
          <a:r>
            <a:rPr lang="es-CL" sz="1200" b="1" baseline="0">
              <a:solidFill>
                <a:srgbClr val="FF0000"/>
              </a:solidFill>
            </a:rPr>
            <a:t> 9</a:t>
          </a:r>
          <a:endParaRPr lang="es-CL" sz="1200" b="1">
            <a:solidFill>
              <a:srgbClr val="FF0000"/>
            </a:solidFill>
          </a:endParaRPr>
        </a:p>
      </xdr:txBody>
    </xdr:sp>
    <xdr:clientData/>
  </xdr:twoCellAnchor>
  <xdr:twoCellAnchor>
    <xdr:from>
      <xdr:col>2</xdr:col>
      <xdr:colOff>1404937</xdr:colOff>
      <xdr:row>1</xdr:row>
      <xdr:rowOff>47625</xdr:rowOff>
    </xdr:from>
    <xdr:to>
      <xdr:col>3</xdr:col>
      <xdr:colOff>678656</xdr:colOff>
      <xdr:row>5</xdr:row>
      <xdr:rowOff>83344</xdr:rowOff>
    </xdr:to>
    <xdr:sp macro="" textlink="">
      <xdr:nvSpPr>
        <xdr:cNvPr id="11" name="Flecha: hacia abajo 1">
          <a:hlinkClick xmlns:r="http://schemas.openxmlformats.org/officeDocument/2006/relationships" r:id="rId6"/>
          <a:extLst>
            <a:ext uri="{FF2B5EF4-FFF2-40B4-BE49-F238E27FC236}">
              <a16:creationId xmlns:a16="http://schemas.microsoft.com/office/drawing/2014/main" id="{350B34DE-4273-4B25-9F2B-5655A99892A8}"/>
            </a:ext>
          </a:extLst>
        </xdr:cNvPr>
        <xdr:cNvSpPr/>
      </xdr:nvSpPr>
      <xdr:spPr bwMode="auto">
        <a:xfrm>
          <a:off x="4043362" y="209550"/>
          <a:ext cx="1188244" cy="788194"/>
        </a:xfrm>
        <a:prstGeom prst="downArrow">
          <a:avLst/>
        </a:prstGeom>
        <a:solidFill>
          <a:srgbClr val="00B0F0"/>
        </a:solidFill>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Ir a TABLA</a:t>
          </a:r>
          <a:r>
            <a:rPr lang="es-CL" sz="1200" b="1" baseline="0">
              <a:solidFill>
                <a:srgbClr val="FF0000"/>
              </a:solidFill>
            </a:rPr>
            <a:t> 10</a:t>
          </a:r>
          <a:endParaRPr lang="es-CL" sz="1200" b="1">
            <a:solidFill>
              <a:srgbClr val="FF0000"/>
            </a:solidFill>
          </a:endParaRPr>
        </a:p>
      </xdr:txBody>
    </xdr:sp>
    <xdr:clientData/>
  </xdr:twoCellAnchor>
  <xdr:twoCellAnchor>
    <xdr:from>
      <xdr:col>32</xdr:col>
      <xdr:colOff>333375</xdr:colOff>
      <xdr:row>2</xdr:row>
      <xdr:rowOff>47625</xdr:rowOff>
    </xdr:from>
    <xdr:to>
      <xdr:col>32</xdr:col>
      <xdr:colOff>750093</xdr:colOff>
      <xdr:row>3</xdr:row>
      <xdr:rowOff>178593</xdr:rowOff>
    </xdr:to>
    <xdr:sp macro="" textlink="">
      <xdr:nvSpPr>
        <xdr:cNvPr id="12" name="Flecha derecha 7">
          <a:hlinkClick xmlns:r="http://schemas.openxmlformats.org/officeDocument/2006/relationships" r:id="rId7"/>
          <a:extLst>
            <a:ext uri="{FF2B5EF4-FFF2-40B4-BE49-F238E27FC236}">
              <a16:creationId xmlns:a16="http://schemas.microsoft.com/office/drawing/2014/main" id="{B98B25B7-C4C4-4938-B596-B321CAE8E6E8}"/>
            </a:ext>
          </a:extLst>
        </xdr:cNvPr>
        <xdr:cNvSpPr/>
      </xdr:nvSpPr>
      <xdr:spPr bwMode="auto">
        <a:xfrm rot="10800000">
          <a:off x="37347525" y="371475"/>
          <a:ext cx="416718" cy="292893"/>
        </a:xfrm>
        <a:prstGeom prst="rightArrow">
          <a:avLst/>
        </a:prstGeom>
        <a:solidFill>
          <a:srgbClr val="0000CC"/>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L" sz="1100"/>
        </a:p>
      </xdr:txBody>
    </xdr:sp>
    <xdr:clientData/>
  </xdr:twoCellAnchor>
  <xdr:twoCellAnchor>
    <xdr:from>
      <xdr:col>24</xdr:col>
      <xdr:colOff>0</xdr:colOff>
      <xdr:row>3</xdr:row>
      <xdr:rowOff>0</xdr:rowOff>
    </xdr:from>
    <xdr:to>
      <xdr:col>24</xdr:col>
      <xdr:colOff>416718</xdr:colOff>
      <xdr:row>4</xdr:row>
      <xdr:rowOff>59531</xdr:rowOff>
    </xdr:to>
    <xdr:sp macro="" textlink="">
      <xdr:nvSpPr>
        <xdr:cNvPr id="13" name="Flecha derecha 8">
          <a:hlinkClick xmlns:r="http://schemas.openxmlformats.org/officeDocument/2006/relationships" r:id="rId7"/>
          <a:extLst>
            <a:ext uri="{FF2B5EF4-FFF2-40B4-BE49-F238E27FC236}">
              <a16:creationId xmlns:a16="http://schemas.microsoft.com/office/drawing/2014/main" id="{749EE243-0B22-4FF7-A3FB-B1FC4F222F18}"/>
            </a:ext>
          </a:extLst>
        </xdr:cNvPr>
        <xdr:cNvSpPr/>
      </xdr:nvSpPr>
      <xdr:spPr bwMode="auto">
        <a:xfrm rot="10800000">
          <a:off x="29784675" y="485775"/>
          <a:ext cx="416718" cy="297656"/>
        </a:xfrm>
        <a:prstGeom prst="rightArrow">
          <a:avLst/>
        </a:prstGeom>
        <a:solidFill>
          <a:srgbClr val="0000CC"/>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L" sz="1100"/>
        </a:p>
      </xdr:txBody>
    </xdr:sp>
    <xdr:clientData/>
  </xdr:twoCellAnchor>
  <xdr:twoCellAnchor>
    <xdr:from>
      <xdr:col>20</xdr:col>
      <xdr:colOff>0</xdr:colOff>
      <xdr:row>3</xdr:row>
      <xdr:rowOff>0</xdr:rowOff>
    </xdr:from>
    <xdr:to>
      <xdr:col>20</xdr:col>
      <xdr:colOff>416718</xdr:colOff>
      <xdr:row>4</xdr:row>
      <xdr:rowOff>59531</xdr:rowOff>
    </xdr:to>
    <xdr:sp macro="" textlink="">
      <xdr:nvSpPr>
        <xdr:cNvPr id="14" name="Flecha derecha 10">
          <a:hlinkClick xmlns:r="http://schemas.openxmlformats.org/officeDocument/2006/relationships" r:id="rId7"/>
          <a:extLst>
            <a:ext uri="{FF2B5EF4-FFF2-40B4-BE49-F238E27FC236}">
              <a16:creationId xmlns:a16="http://schemas.microsoft.com/office/drawing/2014/main" id="{CA536C55-8AC4-45F8-ADE5-2183AEF71682}"/>
            </a:ext>
          </a:extLst>
        </xdr:cNvPr>
        <xdr:cNvSpPr/>
      </xdr:nvSpPr>
      <xdr:spPr bwMode="auto">
        <a:xfrm rot="10800000">
          <a:off x="23383875" y="485775"/>
          <a:ext cx="416718" cy="297656"/>
        </a:xfrm>
        <a:prstGeom prst="rightArrow">
          <a:avLst/>
        </a:prstGeom>
        <a:solidFill>
          <a:srgbClr val="0000CC"/>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L" sz="1100"/>
        </a:p>
      </xdr:txBody>
    </xdr:sp>
    <xdr:clientData/>
  </xdr:twoCellAnchor>
  <xdr:twoCellAnchor>
    <xdr:from>
      <xdr:col>12</xdr:col>
      <xdr:colOff>369094</xdr:colOff>
      <xdr:row>3</xdr:row>
      <xdr:rowOff>23813</xdr:rowOff>
    </xdr:from>
    <xdr:to>
      <xdr:col>12</xdr:col>
      <xdr:colOff>785812</xdr:colOff>
      <xdr:row>4</xdr:row>
      <xdr:rowOff>83344</xdr:rowOff>
    </xdr:to>
    <xdr:sp macro="" textlink="">
      <xdr:nvSpPr>
        <xdr:cNvPr id="15" name="Flecha derecha 11">
          <a:hlinkClick xmlns:r="http://schemas.openxmlformats.org/officeDocument/2006/relationships" r:id="rId7"/>
          <a:extLst>
            <a:ext uri="{FF2B5EF4-FFF2-40B4-BE49-F238E27FC236}">
              <a16:creationId xmlns:a16="http://schemas.microsoft.com/office/drawing/2014/main" id="{E4686D5D-EBA2-4EBE-B639-DD84D4B99984}"/>
            </a:ext>
          </a:extLst>
        </xdr:cNvPr>
        <xdr:cNvSpPr/>
      </xdr:nvSpPr>
      <xdr:spPr bwMode="auto">
        <a:xfrm rot="10800000">
          <a:off x="15447169" y="509588"/>
          <a:ext cx="416718" cy="297656"/>
        </a:xfrm>
        <a:prstGeom prst="rightArrow">
          <a:avLst/>
        </a:prstGeom>
        <a:solidFill>
          <a:srgbClr val="0000CC"/>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L" sz="1100"/>
        </a:p>
      </xdr:txBody>
    </xdr:sp>
    <xdr:clientData/>
  </xdr:twoCellAnchor>
  <xdr:twoCellAnchor>
    <xdr:from>
      <xdr:col>5</xdr:col>
      <xdr:colOff>1321594</xdr:colOff>
      <xdr:row>1</xdr:row>
      <xdr:rowOff>0</xdr:rowOff>
    </xdr:from>
    <xdr:to>
      <xdr:col>7</xdr:col>
      <xdr:colOff>47627</xdr:colOff>
      <xdr:row>5</xdr:row>
      <xdr:rowOff>35719</xdr:rowOff>
    </xdr:to>
    <xdr:sp macro="" textlink="">
      <xdr:nvSpPr>
        <xdr:cNvPr id="16" name="Flecha: hacia abajo 1">
          <a:hlinkClick xmlns:r="http://schemas.openxmlformats.org/officeDocument/2006/relationships" r:id="rId8"/>
          <a:extLst>
            <a:ext uri="{FF2B5EF4-FFF2-40B4-BE49-F238E27FC236}">
              <a16:creationId xmlns:a16="http://schemas.microsoft.com/office/drawing/2014/main" id="{948B3C9F-5AFA-436B-8689-AB9A4767E933}"/>
            </a:ext>
          </a:extLst>
        </xdr:cNvPr>
        <xdr:cNvSpPr/>
      </xdr:nvSpPr>
      <xdr:spPr bwMode="auto">
        <a:xfrm>
          <a:off x="9160669" y="161925"/>
          <a:ext cx="1193008" cy="788194"/>
        </a:xfrm>
        <a:prstGeom prst="downArrow">
          <a:avLst/>
        </a:prstGeom>
        <a:solidFill>
          <a:srgbClr val="00B0F0"/>
        </a:solidFill>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Ir a TABLA</a:t>
          </a:r>
          <a:r>
            <a:rPr lang="es-CL" sz="1200" b="1" baseline="0">
              <a:solidFill>
                <a:srgbClr val="FF0000"/>
              </a:solidFill>
            </a:rPr>
            <a:t> 11</a:t>
          </a:r>
          <a:endParaRPr lang="es-CL" sz="1200" b="1">
            <a:solidFill>
              <a:srgbClr val="FF0000"/>
            </a:solidFill>
          </a:endParaRPr>
        </a:p>
      </xdr:txBody>
    </xdr:sp>
    <xdr:clientData/>
  </xdr:twoCellAnchor>
  <xdr:twoCellAnchor>
    <xdr:from>
      <xdr:col>39</xdr:col>
      <xdr:colOff>0</xdr:colOff>
      <xdr:row>3</xdr:row>
      <xdr:rowOff>0</xdr:rowOff>
    </xdr:from>
    <xdr:to>
      <xdr:col>39</xdr:col>
      <xdr:colOff>416718</xdr:colOff>
      <xdr:row>4</xdr:row>
      <xdr:rowOff>59531</xdr:rowOff>
    </xdr:to>
    <xdr:sp macro="" textlink="">
      <xdr:nvSpPr>
        <xdr:cNvPr id="17" name="Flecha derecha 13">
          <a:hlinkClick xmlns:r="http://schemas.openxmlformats.org/officeDocument/2006/relationships" r:id="rId7"/>
          <a:extLst>
            <a:ext uri="{FF2B5EF4-FFF2-40B4-BE49-F238E27FC236}">
              <a16:creationId xmlns:a16="http://schemas.microsoft.com/office/drawing/2014/main" id="{DA989BEB-F847-4445-8D7A-02B74F39D33F}"/>
            </a:ext>
          </a:extLst>
        </xdr:cNvPr>
        <xdr:cNvSpPr/>
      </xdr:nvSpPr>
      <xdr:spPr bwMode="auto">
        <a:xfrm rot="10800000">
          <a:off x="43491150" y="485775"/>
          <a:ext cx="416718" cy="297656"/>
        </a:xfrm>
        <a:prstGeom prst="rightArrow">
          <a:avLst/>
        </a:prstGeom>
        <a:solidFill>
          <a:srgbClr val="0000CC"/>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L"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95248</xdr:colOff>
      <xdr:row>0</xdr:row>
      <xdr:rowOff>130970</xdr:rowOff>
    </xdr:from>
    <xdr:to>
      <xdr:col>0</xdr:col>
      <xdr:colOff>1404936</xdr:colOff>
      <xdr:row>4</xdr:row>
      <xdr:rowOff>130969</xdr:rowOff>
    </xdr:to>
    <xdr:sp macro="" textlink="">
      <xdr:nvSpPr>
        <xdr:cNvPr id="2" name="Flecha: a la derecha 1">
          <a:hlinkClick xmlns:r="http://schemas.openxmlformats.org/officeDocument/2006/relationships" r:id="rId1"/>
          <a:extLst>
            <a:ext uri="{FF2B5EF4-FFF2-40B4-BE49-F238E27FC236}">
              <a16:creationId xmlns:a16="http://schemas.microsoft.com/office/drawing/2014/main" id="{6E80FE2B-5181-4C0B-8640-9BCAB4EBD138}"/>
            </a:ext>
          </a:extLst>
        </xdr:cNvPr>
        <xdr:cNvSpPr/>
      </xdr:nvSpPr>
      <xdr:spPr bwMode="auto">
        <a:xfrm flipH="1">
          <a:off x="95248" y="130970"/>
          <a:ext cx="1309688" cy="704849"/>
        </a:xfrm>
        <a:prstGeom prst="rightArrow">
          <a:avLst>
            <a:gd name="adj1" fmla="val 68919"/>
            <a:gd name="adj2" fmla="val 37302"/>
          </a:avLst>
        </a:prstGeom>
        <a:solidFill>
          <a:srgbClr val="00B0F0"/>
        </a:solidFill>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Regresar</a:t>
          </a:r>
        </a:p>
        <a:p>
          <a:pPr algn="ctr"/>
          <a:r>
            <a:rPr lang="es-CL" sz="1200" b="1">
              <a:solidFill>
                <a:srgbClr val="FF0000"/>
              </a:solidFill>
            </a:rPr>
            <a:t>Indice</a:t>
          </a:r>
          <a:r>
            <a:rPr lang="es-CL" sz="1200" b="1" baseline="0">
              <a:solidFill>
                <a:srgbClr val="FF0000"/>
              </a:solidFill>
            </a:rPr>
            <a:t> Tablas</a:t>
          </a:r>
        </a:p>
        <a:p>
          <a:pPr algn="ctr"/>
          <a:endParaRPr lang="es-CL" sz="1200" b="1">
            <a:solidFill>
              <a:srgbClr val="FF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1309688</xdr:colOff>
      <xdr:row>4</xdr:row>
      <xdr:rowOff>142874</xdr:rowOff>
    </xdr:to>
    <xdr:sp macro="" textlink="">
      <xdr:nvSpPr>
        <xdr:cNvPr id="2" name="Flecha: a la derecha 1">
          <a:hlinkClick xmlns:r="http://schemas.openxmlformats.org/officeDocument/2006/relationships" r:id="rId1"/>
          <a:extLst>
            <a:ext uri="{FF2B5EF4-FFF2-40B4-BE49-F238E27FC236}">
              <a16:creationId xmlns:a16="http://schemas.microsoft.com/office/drawing/2014/main" id="{2DF8FA57-79A8-44B5-9D2D-4B4E346F4EEA}"/>
            </a:ext>
          </a:extLst>
        </xdr:cNvPr>
        <xdr:cNvSpPr/>
      </xdr:nvSpPr>
      <xdr:spPr bwMode="auto">
        <a:xfrm flipH="1">
          <a:off x="476250" y="161925"/>
          <a:ext cx="1309688" cy="704849"/>
        </a:xfrm>
        <a:prstGeom prst="rightArrow">
          <a:avLst>
            <a:gd name="adj1" fmla="val 68919"/>
            <a:gd name="adj2" fmla="val 37302"/>
          </a:avLst>
        </a:prstGeom>
        <a:solidFill>
          <a:srgbClr val="00B0F0"/>
        </a:solidFill>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Regresar</a:t>
          </a:r>
        </a:p>
        <a:p>
          <a:pPr algn="ctr"/>
          <a:r>
            <a:rPr lang="es-CL" sz="1200" b="1">
              <a:solidFill>
                <a:srgbClr val="FF0000"/>
              </a:solidFill>
            </a:rPr>
            <a:t>Indice</a:t>
          </a:r>
          <a:r>
            <a:rPr lang="es-CL" sz="1200" b="1" baseline="0">
              <a:solidFill>
                <a:srgbClr val="FF0000"/>
              </a:solidFill>
            </a:rPr>
            <a:t> Tablas</a:t>
          </a:r>
        </a:p>
        <a:p>
          <a:pPr algn="ctr"/>
          <a:endParaRPr lang="es-CL" sz="1200" b="1">
            <a:solidFill>
              <a:srgbClr val="FF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59530</xdr:colOff>
      <xdr:row>1</xdr:row>
      <xdr:rowOff>0</xdr:rowOff>
    </xdr:from>
    <xdr:to>
      <xdr:col>0</xdr:col>
      <xdr:colOff>1369218</xdr:colOff>
      <xdr:row>4</xdr:row>
      <xdr:rowOff>142874</xdr:rowOff>
    </xdr:to>
    <xdr:sp macro="" textlink="">
      <xdr:nvSpPr>
        <xdr:cNvPr id="2" name="Flecha: a la derecha 1">
          <a:hlinkClick xmlns:r="http://schemas.openxmlformats.org/officeDocument/2006/relationships" r:id="rId1"/>
          <a:extLst>
            <a:ext uri="{FF2B5EF4-FFF2-40B4-BE49-F238E27FC236}">
              <a16:creationId xmlns:a16="http://schemas.microsoft.com/office/drawing/2014/main" id="{EEE95514-EDA9-425C-B1D0-AC18A5555DED}"/>
            </a:ext>
          </a:extLst>
        </xdr:cNvPr>
        <xdr:cNvSpPr/>
      </xdr:nvSpPr>
      <xdr:spPr bwMode="auto">
        <a:xfrm flipH="1">
          <a:off x="59530" y="161925"/>
          <a:ext cx="1309688" cy="704849"/>
        </a:xfrm>
        <a:prstGeom prst="rightArrow">
          <a:avLst>
            <a:gd name="adj1" fmla="val 68919"/>
            <a:gd name="adj2" fmla="val 37302"/>
          </a:avLst>
        </a:prstGeom>
        <a:solidFill>
          <a:srgbClr val="00B0F0"/>
        </a:solidFill>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Regresar</a:t>
          </a:r>
        </a:p>
        <a:p>
          <a:pPr algn="ctr"/>
          <a:r>
            <a:rPr lang="es-CL" sz="1200" b="1">
              <a:solidFill>
                <a:srgbClr val="FF0000"/>
              </a:solidFill>
            </a:rPr>
            <a:t>Indice</a:t>
          </a:r>
          <a:r>
            <a:rPr lang="es-CL" sz="1200" b="1" baseline="0">
              <a:solidFill>
                <a:srgbClr val="FF0000"/>
              </a:solidFill>
            </a:rPr>
            <a:t> Tablas</a:t>
          </a:r>
        </a:p>
        <a:p>
          <a:pPr algn="ctr"/>
          <a:endParaRPr lang="es-CL" sz="1200" b="1">
            <a:solidFill>
              <a:srgbClr val="FF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547688</xdr:colOff>
      <xdr:row>5</xdr:row>
      <xdr:rowOff>-1</xdr:rowOff>
    </xdr:to>
    <xdr:sp macro="" textlink="">
      <xdr:nvSpPr>
        <xdr:cNvPr id="2" name="Flecha: a la derecha 1">
          <a:hlinkClick xmlns:r="http://schemas.openxmlformats.org/officeDocument/2006/relationships" r:id="rId1"/>
          <a:extLst>
            <a:ext uri="{FF2B5EF4-FFF2-40B4-BE49-F238E27FC236}">
              <a16:creationId xmlns:a16="http://schemas.microsoft.com/office/drawing/2014/main" id="{DF774F8B-78B9-4DBF-9451-EF208F847B50}"/>
            </a:ext>
          </a:extLst>
        </xdr:cNvPr>
        <xdr:cNvSpPr/>
      </xdr:nvSpPr>
      <xdr:spPr bwMode="auto">
        <a:xfrm flipH="1">
          <a:off x="1304925" y="161925"/>
          <a:ext cx="1700213" cy="695324"/>
        </a:xfrm>
        <a:prstGeom prst="rightArrow">
          <a:avLst>
            <a:gd name="adj1" fmla="val 68919"/>
            <a:gd name="adj2" fmla="val 37302"/>
          </a:avLst>
        </a:prstGeom>
        <a:solidFill>
          <a:srgbClr val="00B0F0"/>
        </a:solidFill>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Regresar</a:t>
          </a:r>
        </a:p>
        <a:p>
          <a:pPr algn="ctr"/>
          <a:r>
            <a:rPr lang="es-CL" sz="1200" b="1">
              <a:solidFill>
                <a:srgbClr val="FF0000"/>
              </a:solidFill>
            </a:rPr>
            <a:t>Indice</a:t>
          </a:r>
          <a:r>
            <a:rPr lang="es-CL" sz="1200" b="1" baseline="0">
              <a:solidFill>
                <a:srgbClr val="FF0000"/>
              </a:solidFill>
            </a:rPr>
            <a:t> Tablas</a:t>
          </a:r>
        </a:p>
        <a:p>
          <a:pPr algn="ctr"/>
          <a:endParaRPr lang="es-CL" sz="1200" b="1">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Documentos\2024\TARIFAS%202025\TARIFAS%202025%20A.%20EDUCACIONAL\3.%20PROPUESTA%20DIREBIEN%20TARIFAS%202025%20A.%20EDUCACIONAL\4000%20PROPUESTA%20DIREBIEN%20TARIFA%202025.xlsx" TargetMode="External"/><Relationship Id="rId1" Type="http://schemas.openxmlformats.org/officeDocument/2006/relationships/externalLinkPath" Target="/Documentos/2024/TARIFAS%202025/TARIFAS%202025%20A.%20EDUCACIONAL/3.%20PROPUESTA%20DIREBIEN%20TARIFAS%202025%20A.%20EDUCACIONAL/4000%20PROPUESTA%20DIREBIEN%20TARIFA%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ciones"/>
      <sheetName val="Índice Tablas"/>
      <sheetName val="A) Resumen Ingresos y Egresos"/>
      <sheetName val="B) Reajuste Tarifas y Ocupación"/>
      <sheetName val="C) Costos Directos"/>
      <sheetName val="D) Costos Indirectos"/>
      <sheetName val="E) Resumen Tarifado "/>
      <sheetName val="F) Remuneraciones"/>
      <sheetName val="G) Comparación Mercado"/>
      <sheetName val="H) Detalle Datos"/>
      <sheetName val="I) Proyección Mensual."/>
    </sheetNames>
    <sheetDataSet>
      <sheetData sheetId="0"/>
      <sheetData sheetId="1"/>
      <sheetData sheetId="2"/>
      <sheetData sheetId="3">
        <row r="5">
          <cell r="F5" t="str">
            <v>(DEPTO./DELEG.)</v>
          </cell>
        </row>
      </sheetData>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M2:N135"/>
  <sheetViews>
    <sheetView showGridLines="0" topLeftCell="A25" zoomScale="86" zoomScaleNormal="86" workbookViewId="0">
      <selection activeCell="AA20" sqref="AA20"/>
    </sheetView>
  </sheetViews>
  <sheetFormatPr baseColWidth="10" defaultRowHeight="15" x14ac:dyDescent="0.25"/>
  <cols>
    <col min="1" max="16384" width="11.42578125" style="320"/>
  </cols>
  <sheetData>
    <row r="2" spans="13:14" x14ac:dyDescent="0.25">
      <c r="N2" s="320" t="s">
        <v>189</v>
      </c>
    </row>
    <row r="8" spans="13:14" x14ac:dyDescent="0.25">
      <c r="M8" s="1018"/>
    </row>
    <row r="9" spans="13:14" x14ac:dyDescent="0.25">
      <c r="M9" s="1018"/>
    </row>
    <row r="10" spans="13:14" x14ac:dyDescent="0.25">
      <c r="M10" s="1018"/>
    </row>
    <row r="11" spans="13:14" x14ac:dyDescent="0.25">
      <c r="M11" s="1018"/>
    </row>
    <row r="12" spans="13:14" x14ac:dyDescent="0.25">
      <c r="M12" s="1018"/>
    </row>
    <row r="13" spans="13:14" x14ac:dyDescent="0.25">
      <c r="M13" s="1018"/>
    </row>
    <row r="14" spans="13:14" x14ac:dyDescent="0.25">
      <c r="M14" s="1018"/>
    </row>
    <row r="15" spans="13:14" x14ac:dyDescent="0.25">
      <c r="M15" s="1018"/>
    </row>
    <row r="16" spans="13:14" x14ac:dyDescent="0.25">
      <c r="M16" s="1018"/>
    </row>
    <row r="17" spans="13:13" x14ac:dyDescent="0.25">
      <c r="M17" s="1018"/>
    </row>
    <row r="18" spans="13:13" x14ac:dyDescent="0.25">
      <c r="M18" s="1018"/>
    </row>
    <row r="19" spans="13:13" x14ac:dyDescent="0.25">
      <c r="M19" s="1018"/>
    </row>
    <row r="20" spans="13:13" x14ac:dyDescent="0.25">
      <c r="M20" s="1018"/>
    </row>
    <row r="21" spans="13:13" x14ac:dyDescent="0.25">
      <c r="M21" s="1018"/>
    </row>
    <row r="22" spans="13:13" x14ac:dyDescent="0.25">
      <c r="M22" s="1018"/>
    </row>
    <row r="23" spans="13:13" x14ac:dyDescent="0.25">
      <c r="M23" s="1018"/>
    </row>
    <row r="24" spans="13:13" x14ac:dyDescent="0.25">
      <c r="M24" s="1018"/>
    </row>
    <row r="25" spans="13:13" x14ac:dyDescent="0.25">
      <c r="M25" s="1018"/>
    </row>
    <row r="26" spans="13:13" x14ac:dyDescent="0.25">
      <c r="M26" s="1018"/>
    </row>
    <row r="27" spans="13:13" x14ac:dyDescent="0.25">
      <c r="M27" s="1018"/>
    </row>
    <row r="28" spans="13:13" x14ac:dyDescent="0.25">
      <c r="M28" s="1018"/>
    </row>
    <row r="29" spans="13:13" x14ac:dyDescent="0.25">
      <c r="M29" s="1018"/>
    </row>
    <row r="30" spans="13:13" x14ac:dyDescent="0.25">
      <c r="M30" s="1018"/>
    </row>
    <row r="31" spans="13:13" x14ac:dyDescent="0.25">
      <c r="M31" s="1018"/>
    </row>
    <row r="32" spans="13:13" x14ac:dyDescent="0.25">
      <c r="M32" s="1018"/>
    </row>
    <row r="33" spans="13:13" x14ac:dyDescent="0.25">
      <c r="M33" s="1018"/>
    </row>
    <row r="34" spans="13:13" x14ac:dyDescent="0.25">
      <c r="M34" s="1018"/>
    </row>
    <row r="35" spans="13:13" x14ac:dyDescent="0.25">
      <c r="M35" s="1018"/>
    </row>
    <row r="36" spans="13:13" x14ac:dyDescent="0.25">
      <c r="M36" s="1018"/>
    </row>
    <row r="37" spans="13:13" x14ac:dyDescent="0.25">
      <c r="M37" s="1018"/>
    </row>
    <row r="38" spans="13:13" x14ac:dyDescent="0.25">
      <c r="M38" s="1018"/>
    </row>
    <row r="39" spans="13:13" x14ac:dyDescent="0.25">
      <c r="M39" s="1018"/>
    </row>
    <row r="40" spans="13:13" x14ac:dyDescent="0.25">
      <c r="M40" s="1018"/>
    </row>
    <row r="41" spans="13:13" x14ac:dyDescent="0.25">
      <c r="M41" s="1018"/>
    </row>
    <row r="42" spans="13:13" x14ac:dyDescent="0.25">
      <c r="M42" s="1018"/>
    </row>
    <row r="43" spans="13:13" x14ac:dyDescent="0.25">
      <c r="M43" s="1018"/>
    </row>
    <row r="44" spans="13:13" x14ac:dyDescent="0.25">
      <c r="M44" s="1018"/>
    </row>
    <row r="45" spans="13:13" x14ac:dyDescent="0.25">
      <c r="M45" s="1018"/>
    </row>
    <row r="46" spans="13:13" x14ac:dyDescent="0.25">
      <c r="M46" s="1018"/>
    </row>
    <row r="47" spans="13:13" x14ac:dyDescent="0.25">
      <c r="M47" s="1018"/>
    </row>
    <row r="48" spans="13:13" s="1020" customFormat="1" x14ac:dyDescent="0.25">
      <c r="M48" s="1019"/>
    </row>
    <row r="49" spans="13:13" x14ac:dyDescent="0.25">
      <c r="M49" s="1018"/>
    </row>
    <row r="50" spans="13:13" x14ac:dyDescent="0.25">
      <c r="M50" s="1018"/>
    </row>
    <row r="51" spans="13:13" x14ac:dyDescent="0.25">
      <c r="M51" s="1018"/>
    </row>
    <row r="52" spans="13:13" x14ac:dyDescent="0.25">
      <c r="M52" s="1018"/>
    </row>
    <row r="53" spans="13:13" x14ac:dyDescent="0.25">
      <c r="M53" s="1018"/>
    </row>
    <row r="54" spans="13:13" x14ac:dyDescent="0.25">
      <c r="M54" s="1018"/>
    </row>
    <row r="55" spans="13:13" x14ac:dyDescent="0.25">
      <c r="M55" s="1018"/>
    </row>
    <row r="56" spans="13:13" x14ac:dyDescent="0.25">
      <c r="M56" s="1018"/>
    </row>
    <row r="57" spans="13:13" x14ac:dyDescent="0.25">
      <c r="M57" s="1018"/>
    </row>
    <row r="58" spans="13:13" x14ac:dyDescent="0.25">
      <c r="M58" s="1018"/>
    </row>
    <row r="59" spans="13:13" x14ac:dyDescent="0.25">
      <c r="M59" s="1018"/>
    </row>
    <row r="60" spans="13:13" x14ac:dyDescent="0.25">
      <c r="M60" s="1018"/>
    </row>
    <row r="61" spans="13:13" x14ac:dyDescent="0.25">
      <c r="M61" s="1018"/>
    </row>
    <row r="62" spans="13:13" x14ac:dyDescent="0.25">
      <c r="M62" s="1018"/>
    </row>
    <row r="63" spans="13:13" x14ac:dyDescent="0.25">
      <c r="M63" s="1018"/>
    </row>
    <row r="64" spans="13:13" x14ac:dyDescent="0.25">
      <c r="M64" s="1018"/>
    </row>
    <row r="65" spans="13:13" x14ac:dyDescent="0.25">
      <c r="M65" s="1018"/>
    </row>
    <row r="66" spans="13:13" x14ac:dyDescent="0.25">
      <c r="M66" s="1018"/>
    </row>
    <row r="67" spans="13:13" x14ac:dyDescent="0.25">
      <c r="M67" s="1018"/>
    </row>
    <row r="68" spans="13:13" x14ac:dyDescent="0.25">
      <c r="M68" s="1018"/>
    </row>
    <row r="69" spans="13:13" x14ac:dyDescent="0.25">
      <c r="M69" s="1018"/>
    </row>
    <row r="70" spans="13:13" x14ac:dyDescent="0.25">
      <c r="M70" s="1018"/>
    </row>
    <row r="71" spans="13:13" x14ac:dyDescent="0.25">
      <c r="M71" s="1018"/>
    </row>
    <row r="72" spans="13:13" x14ac:dyDescent="0.25">
      <c r="M72" s="1018"/>
    </row>
    <row r="73" spans="13:13" x14ac:dyDescent="0.25">
      <c r="M73" s="1018"/>
    </row>
    <row r="74" spans="13:13" x14ac:dyDescent="0.25">
      <c r="M74" s="1018"/>
    </row>
    <row r="75" spans="13:13" x14ac:dyDescent="0.25">
      <c r="M75" s="1018"/>
    </row>
    <row r="76" spans="13:13" x14ac:dyDescent="0.25">
      <c r="M76" s="1018"/>
    </row>
    <row r="77" spans="13:13" x14ac:dyDescent="0.25">
      <c r="M77" s="1018"/>
    </row>
    <row r="78" spans="13:13" x14ac:dyDescent="0.25">
      <c r="M78" s="1018"/>
    </row>
    <row r="79" spans="13:13" x14ac:dyDescent="0.25">
      <c r="M79" s="1018"/>
    </row>
    <row r="80" spans="13:13" x14ac:dyDescent="0.25">
      <c r="M80" s="1018"/>
    </row>
    <row r="81" spans="13:13" x14ac:dyDescent="0.25">
      <c r="M81" s="1018"/>
    </row>
    <row r="82" spans="13:13" x14ac:dyDescent="0.25">
      <c r="M82" s="1018"/>
    </row>
    <row r="83" spans="13:13" x14ac:dyDescent="0.25">
      <c r="M83" s="1018"/>
    </row>
    <row r="84" spans="13:13" x14ac:dyDescent="0.25">
      <c r="M84" s="1018"/>
    </row>
    <row r="85" spans="13:13" x14ac:dyDescent="0.25">
      <c r="M85" s="1018"/>
    </row>
    <row r="86" spans="13:13" x14ac:dyDescent="0.25">
      <c r="M86" s="1018"/>
    </row>
    <row r="87" spans="13:13" x14ac:dyDescent="0.25">
      <c r="M87" s="1018"/>
    </row>
    <row r="88" spans="13:13" x14ac:dyDescent="0.25">
      <c r="M88" s="1018"/>
    </row>
    <row r="89" spans="13:13" x14ac:dyDescent="0.25">
      <c r="M89" s="1018"/>
    </row>
    <row r="90" spans="13:13" x14ac:dyDescent="0.25">
      <c r="M90" s="1018"/>
    </row>
    <row r="91" spans="13:13" x14ac:dyDescent="0.25">
      <c r="M91" s="1018"/>
    </row>
    <row r="92" spans="13:13" x14ac:dyDescent="0.25">
      <c r="M92" s="1018"/>
    </row>
    <row r="93" spans="13:13" x14ac:dyDescent="0.25">
      <c r="M93" s="1018"/>
    </row>
    <row r="94" spans="13:13" s="1020" customFormat="1" x14ac:dyDescent="0.25">
      <c r="M94" s="1019"/>
    </row>
    <row r="95" spans="13:13" x14ac:dyDescent="0.25">
      <c r="M95" s="1018"/>
    </row>
    <row r="96" spans="13:13" x14ac:dyDescent="0.25">
      <c r="M96" s="1018"/>
    </row>
    <row r="97" spans="13:13" x14ac:dyDescent="0.25">
      <c r="M97" s="1018"/>
    </row>
    <row r="98" spans="13:13" x14ac:dyDescent="0.25">
      <c r="M98" s="1018"/>
    </row>
    <row r="99" spans="13:13" x14ac:dyDescent="0.25">
      <c r="M99" s="1018"/>
    </row>
    <row r="100" spans="13:13" x14ac:dyDescent="0.25">
      <c r="M100" s="1018"/>
    </row>
    <row r="101" spans="13:13" x14ac:dyDescent="0.25">
      <c r="M101" s="1018"/>
    </row>
    <row r="102" spans="13:13" x14ac:dyDescent="0.25">
      <c r="M102" s="1018"/>
    </row>
    <row r="103" spans="13:13" x14ac:dyDescent="0.25">
      <c r="M103" s="1018"/>
    </row>
    <row r="104" spans="13:13" x14ac:dyDescent="0.25">
      <c r="M104" s="1018"/>
    </row>
    <row r="105" spans="13:13" x14ac:dyDescent="0.25">
      <c r="M105" s="1018"/>
    </row>
    <row r="106" spans="13:13" x14ac:dyDescent="0.25">
      <c r="M106" s="1018"/>
    </row>
    <row r="107" spans="13:13" x14ac:dyDescent="0.25">
      <c r="M107" s="1018"/>
    </row>
    <row r="108" spans="13:13" x14ac:dyDescent="0.25">
      <c r="M108" s="1018"/>
    </row>
    <row r="109" spans="13:13" x14ac:dyDescent="0.25">
      <c r="M109" s="1018"/>
    </row>
    <row r="110" spans="13:13" x14ac:dyDescent="0.25">
      <c r="M110" s="1018"/>
    </row>
    <row r="111" spans="13:13" x14ac:dyDescent="0.25">
      <c r="M111" s="1018"/>
    </row>
    <row r="112" spans="13:13" x14ac:dyDescent="0.25">
      <c r="M112" s="1018"/>
    </row>
    <row r="113" spans="13:13" x14ac:dyDescent="0.25">
      <c r="M113" s="1018"/>
    </row>
    <row r="114" spans="13:13" x14ac:dyDescent="0.25">
      <c r="M114" s="1018"/>
    </row>
    <row r="115" spans="13:13" x14ac:dyDescent="0.25">
      <c r="M115" s="1018"/>
    </row>
    <row r="116" spans="13:13" x14ac:dyDescent="0.25">
      <c r="M116" s="1018"/>
    </row>
    <row r="117" spans="13:13" x14ac:dyDescent="0.25">
      <c r="M117" s="1018"/>
    </row>
    <row r="118" spans="13:13" x14ac:dyDescent="0.25">
      <c r="M118" s="1018"/>
    </row>
    <row r="119" spans="13:13" x14ac:dyDescent="0.25">
      <c r="M119" s="1018"/>
    </row>
    <row r="120" spans="13:13" x14ac:dyDescent="0.25">
      <c r="M120" s="1018"/>
    </row>
    <row r="121" spans="13:13" x14ac:dyDescent="0.25">
      <c r="M121" s="1018"/>
    </row>
    <row r="122" spans="13:13" x14ac:dyDescent="0.25">
      <c r="M122" s="1018"/>
    </row>
    <row r="123" spans="13:13" x14ac:dyDescent="0.25">
      <c r="M123" s="1018"/>
    </row>
    <row r="124" spans="13:13" x14ac:dyDescent="0.25">
      <c r="M124" s="1018"/>
    </row>
    <row r="125" spans="13:13" x14ac:dyDescent="0.25">
      <c r="M125" s="1018"/>
    </row>
    <row r="126" spans="13:13" x14ac:dyDescent="0.25">
      <c r="M126" s="1018"/>
    </row>
    <row r="127" spans="13:13" x14ac:dyDescent="0.25">
      <c r="M127" s="1018"/>
    </row>
    <row r="128" spans="13:13" x14ac:dyDescent="0.25">
      <c r="M128" s="1018"/>
    </row>
    <row r="129" spans="13:13" x14ac:dyDescent="0.25">
      <c r="M129" s="1018"/>
    </row>
    <row r="130" spans="13:13" x14ac:dyDescent="0.25">
      <c r="M130" s="1018"/>
    </row>
    <row r="131" spans="13:13" x14ac:dyDescent="0.25">
      <c r="M131" s="1018"/>
    </row>
    <row r="132" spans="13:13" x14ac:dyDescent="0.25">
      <c r="M132" s="1018"/>
    </row>
    <row r="133" spans="13:13" x14ac:dyDescent="0.25">
      <c r="M133" s="1018"/>
    </row>
    <row r="134" spans="13:13" x14ac:dyDescent="0.25">
      <c r="M134" s="1018"/>
    </row>
    <row r="135" spans="13:13" x14ac:dyDescent="0.25">
      <c r="M135" s="1018"/>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39997558519241921"/>
  </sheetPr>
  <dimension ref="A1:M37"/>
  <sheetViews>
    <sheetView showGridLines="0" topLeftCell="C1" zoomScale="98" zoomScaleNormal="98" workbookViewId="0">
      <selection activeCell="P31" sqref="P31"/>
    </sheetView>
  </sheetViews>
  <sheetFormatPr baseColWidth="10" defaultRowHeight="15" x14ac:dyDescent="0.25"/>
  <cols>
    <col min="1" max="1" width="24.85546875" style="5" customWidth="1"/>
    <col min="2" max="2" width="47.140625" style="5" bestFit="1" customWidth="1"/>
    <col min="3" max="4" width="14.7109375" style="5" customWidth="1"/>
    <col min="5" max="5" width="14.42578125" style="5" customWidth="1"/>
    <col min="6" max="8" width="14.7109375" style="5" hidden="1" customWidth="1"/>
    <col min="9" max="9" width="40.7109375" style="5" customWidth="1"/>
    <col min="10" max="10" width="14.7109375" style="5" customWidth="1"/>
    <col min="11" max="11" width="33.5703125" style="5" bestFit="1" customWidth="1"/>
    <col min="12" max="12" width="14.7109375" style="5" customWidth="1"/>
    <col min="13" max="13" width="14.28515625" style="5" customWidth="1"/>
  </cols>
  <sheetData>
    <row r="1" spans="1:13" x14ac:dyDescent="0.25">
      <c r="B1" s="3"/>
      <c r="C1" s="3"/>
      <c r="D1" s="3"/>
      <c r="E1" s="3"/>
      <c r="F1" s="3"/>
      <c r="G1" s="3"/>
      <c r="H1" s="3"/>
      <c r="I1" s="3"/>
      <c r="J1" s="3"/>
      <c r="L1" s="3"/>
    </row>
    <row r="2" spans="1:13" x14ac:dyDescent="0.25">
      <c r="B2" s="3"/>
      <c r="C2" s="3"/>
      <c r="D2" s="3" t="s">
        <v>180</v>
      </c>
      <c r="E2" s="3"/>
      <c r="F2" s="3"/>
      <c r="G2" s="3"/>
      <c r="H2" s="3"/>
      <c r="I2" s="3"/>
      <c r="J2" s="3"/>
      <c r="L2" s="3"/>
    </row>
    <row r="3" spans="1:13" x14ac:dyDescent="0.25">
      <c r="C3" s="2"/>
      <c r="D3" s="2"/>
      <c r="E3" s="2"/>
      <c r="F3" s="2"/>
      <c r="G3" s="2"/>
      <c r="H3" s="2"/>
      <c r="J3" s="2"/>
      <c r="L3" s="2"/>
    </row>
    <row r="4" spans="1:13" ht="15.75" x14ac:dyDescent="0.25">
      <c r="C4" s="205" t="s">
        <v>1</v>
      </c>
      <c r="D4" s="1331" t="s">
        <v>35</v>
      </c>
      <c r="E4" s="1332"/>
      <c r="F4" s="3"/>
      <c r="G4" s="3"/>
      <c r="H4" s="3"/>
      <c r="J4" s="3"/>
      <c r="L4" s="3"/>
    </row>
    <row r="5" spans="1:13" x14ac:dyDescent="0.25">
      <c r="A5" s="8"/>
      <c r="B5" s="8"/>
      <c r="C5" s="3"/>
      <c r="D5" s="3"/>
      <c r="E5" s="3"/>
      <c r="F5" s="3"/>
      <c r="G5" s="3"/>
      <c r="H5" s="3"/>
      <c r="I5" s="3"/>
      <c r="J5" s="3"/>
      <c r="L5" s="3"/>
    </row>
    <row r="6" spans="1:13" x14ac:dyDescent="0.25">
      <c r="A6" s="8"/>
      <c r="B6" s="8"/>
      <c r="C6" s="3"/>
      <c r="D6" s="3"/>
      <c r="E6" s="3"/>
      <c r="F6" s="3"/>
      <c r="G6" s="3"/>
      <c r="H6" s="3"/>
      <c r="I6" s="3"/>
      <c r="J6" s="3"/>
      <c r="L6" s="3"/>
    </row>
    <row r="7" spans="1:13" x14ac:dyDescent="0.25">
      <c r="A7" s="1333" t="s">
        <v>181</v>
      </c>
      <c r="B7" s="1334"/>
      <c r="C7" s="1334"/>
      <c r="D7" s="1334"/>
      <c r="E7" s="1334"/>
      <c r="F7" s="1334"/>
      <c r="G7" s="1334"/>
      <c r="H7" s="1334"/>
      <c r="I7" s="1334"/>
      <c r="J7" s="1334"/>
      <c r="K7" s="1334"/>
      <c r="L7" s="1335"/>
    </row>
    <row r="8" spans="1:13" x14ac:dyDescent="0.25">
      <c r="A8" s="1336"/>
      <c r="B8" s="1337"/>
      <c r="C8" s="1337"/>
      <c r="D8" s="1337"/>
      <c r="E8" s="1337"/>
      <c r="F8" s="1337"/>
      <c r="G8" s="1337"/>
      <c r="H8" s="1337"/>
      <c r="I8" s="1337"/>
      <c r="J8" s="1337"/>
      <c r="K8" s="1337"/>
      <c r="L8" s="1338"/>
    </row>
    <row r="9" spans="1:13" x14ac:dyDescent="0.25">
      <c r="A9" s="1336"/>
      <c r="B9" s="1337"/>
      <c r="C9" s="1337"/>
      <c r="D9" s="1337"/>
      <c r="E9" s="1337"/>
      <c r="F9" s="1337"/>
      <c r="G9" s="1337"/>
      <c r="H9" s="1337"/>
      <c r="I9" s="1337"/>
      <c r="J9" s="1337"/>
      <c r="K9" s="1337"/>
      <c r="L9" s="1338"/>
    </row>
    <row r="10" spans="1:13" x14ac:dyDescent="0.25">
      <c r="A10" s="1339"/>
      <c r="B10" s="1340"/>
      <c r="C10" s="1340"/>
      <c r="D10" s="1340"/>
      <c r="E10" s="1340"/>
      <c r="F10" s="1340"/>
      <c r="G10" s="1340"/>
      <c r="H10" s="1340"/>
      <c r="I10" s="1340"/>
      <c r="J10" s="1340"/>
      <c r="K10" s="1340"/>
      <c r="L10" s="1341"/>
    </row>
    <row r="11" spans="1:13" x14ac:dyDescent="0.25">
      <c r="A11" s="206"/>
      <c r="B11" s="206"/>
      <c r="C11" s="206"/>
      <c r="D11" s="206"/>
      <c r="E11" s="206"/>
      <c r="F11" s="206"/>
      <c r="G11" s="206"/>
      <c r="H11" s="206"/>
      <c r="I11" s="206"/>
      <c r="J11" s="206"/>
      <c r="K11" s="206"/>
      <c r="L11" s="206"/>
    </row>
    <row r="12" spans="1:13" x14ac:dyDescent="0.25">
      <c r="A12" s="206"/>
      <c r="B12" s="206"/>
      <c r="C12" s="206"/>
      <c r="D12" s="206"/>
      <c r="E12" s="206"/>
      <c r="H12" s="206"/>
      <c r="I12" s="206"/>
      <c r="J12" s="206"/>
      <c r="K12" s="206"/>
      <c r="L12" s="206"/>
    </row>
    <row r="13" spans="1:13" ht="15.75" x14ac:dyDescent="0.25">
      <c r="A13" s="1273" t="s">
        <v>182</v>
      </c>
      <c r="B13" s="1273"/>
      <c r="C13" s="1273"/>
      <c r="D13" s="1273"/>
      <c r="E13" s="206"/>
      <c r="F13" s="206"/>
      <c r="G13" s="207"/>
      <c r="H13" s="206"/>
      <c r="I13" s="206"/>
      <c r="J13" s="206"/>
      <c r="K13" s="206"/>
      <c r="L13" s="206"/>
    </row>
    <row r="14" spans="1:13" ht="15.75" thickBot="1" x14ac:dyDescent="0.3">
      <c r="A14" s="8"/>
      <c r="B14" s="8"/>
      <c r="C14" s="3"/>
      <c r="D14" s="3"/>
      <c r="E14" s="3"/>
      <c r="F14" s="3"/>
      <c r="G14" s="3"/>
      <c r="H14" s="3"/>
      <c r="I14" s="3"/>
      <c r="J14" s="3"/>
      <c r="L14" s="3"/>
    </row>
    <row r="15" spans="1:13" ht="15.75" x14ac:dyDescent="0.25">
      <c r="A15" s="1342" t="s">
        <v>3</v>
      </c>
      <c r="B15" s="1344" t="s">
        <v>23</v>
      </c>
      <c r="C15" s="1346" t="s">
        <v>358</v>
      </c>
      <c r="D15" s="1347"/>
      <c r="E15" s="1347"/>
      <c r="F15" s="1348" t="s">
        <v>183</v>
      </c>
      <c r="G15" s="1349"/>
      <c r="H15" s="1350"/>
      <c r="I15" s="1351" t="s">
        <v>184</v>
      </c>
      <c r="J15" s="1352"/>
      <c r="K15" s="1353" t="s">
        <v>185</v>
      </c>
      <c r="L15" s="1351"/>
      <c r="M15" s="1309" t="s">
        <v>186</v>
      </c>
    </row>
    <row r="16" spans="1:13" ht="26.25" customHeight="1" thickBot="1" x14ac:dyDescent="0.3">
      <c r="A16" s="1343"/>
      <c r="B16" s="1345"/>
      <c r="C16" s="509" t="s">
        <v>171</v>
      </c>
      <c r="D16" s="509" t="s">
        <v>172</v>
      </c>
      <c r="E16" s="510" t="s">
        <v>173</v>
      </c>
      <c r="F16" s="511" t="s">
        <v>171</v>
      </c>
      <c r="G16" s="512" t="s">
        <v>172</v>
      </c>
      <c r="H16" s="513" t="s">
        <v>173</v>
      </c>
      <c r="I16" s="514" t="s">
        <v>187</v>
      </c>
      <c r="J16" s="512" t="s">
        <v>188</v>
      </c>
      <c r="K16" s="515" t="s">
        <v>187</v>
      </c>
      <c r="L16" s="516" t="s">
        <v>188</v>
      </c>
      <c r="M16" s="1310"/>
    </row>
    <row r="17" spans="1:13" ht="15.75" thickBot="1" x14ac:dyDescent="0.3">
      <c r="A17" s="1311" t="str">
        <f>+'B) Reajuste Tarifas y Ocupación'!A12</f>
        <v>C. H. Hanga Roa</v>
      </c>
      <c r="B17" s="520" t="str">
        <f>+'B) Reajuste Tarifas y Ocupación'!B12</f>
        <v>Simple</v>
      </c>
      <c r="C17" s="479">
        <f>+'B) Reajuste Tarifas y Ocupación'!K12</f>
        <v>56900</v>
      </c>
      <c r="D17" s="208">
        <f>+'B) Reajuste Tarifas y Ocupación'!L12</f>
        <v>67800</v>
      </c>
      <c r="E17" s="471">
        <f>+'B) Reajuste Tarifas y Ocupación'!M12</f>
        <v>71000</v>
      </c>
      <c r="F17" s="527">
        <f>IFERROR(C17/$M17,0)</f>
        <v>1.0115555555555555</v>
      </c>
      <c r="G17" s="215">
        <f t="shared" ref="G17:H29" si="0">IFERROR(D17/$M17,0)</f>
        <v>1.2053333333333334</v>
      </c>
      <c r="H17" s="528">
        <f>IFERROR(E17/$M17,0)</f>
        <v>1.2622222222222221</v>
      </c>
      <c r="I17" s="397" t="s">
        <v>293</v>
      </c>
      <c r="J17" s="209">
        <v>46500</v>
      </c>
      <c r="K17" s="210" t="s">
        <v>361</v>
      </c>
      <c r="L17" s="531">
        <v>66000</v>
      </c>
      <c r="M17" s="534">
        <f>AVERAGE(J17,L17)</f>
        <v>56250</v>
      </c>
    </row>
    <row r="18" spans="1:13" ht="15.75" thickBot="1" x14ac:dyDescent="0.3">
      <c r="A18" s="1312"/>
      <c r="B18" s="521" t="str">
        <f>+'B) Reajuste Tarifas y Ocupación'!B13</f>
        <v>Doble (Cama Matrimonial + cama plaza 1 1/2)</v>
      </c>
      <c r="C18" s="519">
        <f>+'B) Reajuste Tarifas y Ocupación'!K13</f>
        <v>84500</v>
      </c>
      <c r="D18" s="422">
        <f>+'B) Reajuste Tarifas y Ocupación'!L13</f>
        <v>100500</v>
      </c>
      <c r="E18" s="423">
        <f>+'B) Reajuste Tarifas y Ocupación'!M13</f>
        <v>105300</v>
      </c>
      <c r="F18" s="525">
        <f t="shared" ref="F18:H36" si="1">IFERROR(C18/$M18,0)</f>
        <v>1.0889175257731958</v>
      </c>
      <c r="G18" s="517">
        <f t="shared" si="0"/>
        <v>1.2951030927835052</v>
      </c>
      <c r="H18" s="529">
        <f t="shared" si="0"/>
        <v>1.356958762886598</v>
      </c>
      <c r="I18" s="397" t="s">
        <v>293</v>
      </c>
      <c r="J18" s="518">
        <v>56200</v>
      </c>
      <c r="K18" s="210" t="s">
        <v>361</v>
      </c>
      <c r="L18" s="532">
        <v>99000</v>
      </c>
      <c r="M18" s="535">
        <f t="shared" ref="M18:M36" si="2">AVERAGE(J18,L18)</f>
        <v>77600</v>
      </c>
    </row>
    <row r="19" spans="1:13" x14ac:dyDescent="0.25">
      <c r="A19" s="1312"/>
      <c r="B19" s="521" t="str">
        <f>+'B) Reajuste Tarifas y Ocupación'!B14</f>
        <v>Matrimonial</v>
      </c>
      <c r="C19" s="519">
        <f>+'B) Reajuste Tarifas y Ocupación'!K14</f>
        <v>77800</v>
      </c>
      <c r="D19" s="422">
        <f>+'B) Reajuste Tarifas y Ocupación'!L14</f>
        <v>92500</v>
      </c>
      <c r="E19" s="423">
        <f>+'B) Reajuste Tarifas y Ocupación'!M14</f>
        <v>96900</v>
      </c>
      <c r="F19" s="525">
        <f t="shared" si="1"/>
        <v>1.0077720207253886</v>
      </c>
      <c r="G19" s="517">
        <f t="shared" si="0"/>
        <v>1.1981865284974094</v>
      </c>
      <c r="H19" s="529">
        <f t="shared" si="0"/>
        <v>1.2551813471502591</v>
      </c>
      <c r="I19" s="397" t="s">
        <v>293</v>
      </c>
      <c r="J19" s="518">
        <v>71400</v>
      </c>
      <c r="K19" s="210" t="s">
        <v>361</v>
      </c>
      <c r="L19" s="532">
        <v>83000</v>
      </c>
      <c r="M19" s="535">
        <f t="shared" si="2"/>
        <v>77200</v>
      </c>
    </row>
    <row r="20" spans="1:13" ht="15.75" thickBot="1" x14ac:dyDescent="0.3">
      <c r="A20" s="1312"/>
      <c r="B20" s="522" t="str">
        <f>+'B) Reajuste Tarifas y Ocupación'!B15</f>
        <v>Early check in/Late check out/Uso por tránsito</v>
      </c>
      <c r="C20" s="1314"/>
      <c r="D20" s="1315"/>
      <c r="E20" s="1316"/>
      <c r="F20" s="1317"/>
      <c r="G20" s="1318"/>
      <c r="H20" s="1319"/>
      <c r="I20" s="1320"/>
      <c r="J20" s="1321"/>
      <c r="K20" s="1321"/>
      <c r="L20" s="1322"/>
      <c r="M20" s="536"/>
    </row>
    <row r="21" spans="1:13" ht="15.75" thickBot="1" x14ac:dyDescent="0.3">
      <c r="A21" s="1312"/>
      <c r="B21" s="523" t="str">
        <f>+'B) Reajuste Tarifas y Ocupación'!B16</f>
        <v>Simple</v>
      </c>
      <c r="C21" s="519">
        <f>+'B) Reajuste Tarifas y Ocupación'!K16</f>
        <v>17100</v>
      </c>
      <c r="D21" s="422">
        <f>+'B) Reajuste Tarifas y Ocupación'!L16</f>
        <v>20400</v>
      </c>
      <c r="E21" s="423">
        <f>+'B) Reajuste Tarifas y Ocupación'!M16</f>
        <v>21300</v>
      </c>
      <c r="F21" s="525">
        <f t="shared" ref="F21:H21" si="3">IFERROR(C21/$M21,0)</f>
        <v>0</v>
      </c>
      <c r="G21" s="517">
        <f t="shared" si="3"/>
        <v>0</v>
      </c>
      <c r="H21" s="529">
        <f t="shared" si="3"/>
        <v>0</v>
      </c>
      <c r="I21" s="397" t="s">
        <v>293</v>
      </c>
      <c r="J21" s="518">
        <v>0</v>
      </c>
      <c r="K21" s="398"/>
      <c r="L21" s="532">
        <v>0</v>
      </c>
      <c r="M21" s="535">
        <f t="shared" ref="M21" si="4">AVERAGE(J21,L21)</f>
        <v>0</v>
      </c>
    </row>
    <row r="22" spans="1:13" ht="15.75" thickBot="1" x14ac:dyDescent="0.3">
      <c r="A22" s="1312"/>
      <c r="B22" s="523" t="str">
        <f>+'B) Reajuste Tarifas y Ocupación'!B17</f>
        <v>Doble</v>
      </c>
      <c r="C22" s="519">
        <f>+'B) Reajuste Tarifas y Ocupación'!K17</f>
        <v>25400</v>
      </c>
      <c r="D22" s="422">
        <f>+'B) Reajuste Tarifas y Ocupación'!L17</f>
        <v>30200</v>
      </c>
      <c r="E22" s="423">
        <f>+'B) Reajuste Tarifas y Ocupación'!M17</f>
        <v>31600</v>
      </c>
      <c r="F22" s="525">
        <f t="shared" si="1"/>
        <v>0</v>
      </c>
      <c r="G22" s="517">
        <f t="shared" si="0"/>
        <v>0</v>
      </c>
      <c r="H22" s="529">
        <f t="shared" si="0"/>
        <v>0</v>
      </c>
      <c r="I22" s="397" t="s">
        <v>293</v>
      </c>
      <c r="J22" s="518">
        <v>0</v>
      </c>
      <c r="K22" s="398"/>
      <c r="L22" s="532">
        <v>0</v>
      </c>
      <c r="M22" s="535">
        <f t="shared" si="2"/>
        <v>0</v>
      </c>
    </row>
    <row r="23" spans="1:13" ht="15.75" thickBot="1" x14ac:dyDescent="0.3">
      <c r="A23" s="1313"/>
      <c r="B23" s="524" t="str">
        <f>+'B) Reajuste Tarifas y Ocupación'!B18</f>
        <v>Matrimonial</v>
      </c>
      <c r="C23" s="526">
        <f>+'B) Reajuste Tarifas y Ocupación'!K18</f>
        <v>23400</v>
      </c>
      <c r="D23" s="416">
        <f>+'B) Reajuste Tarifas y Ocupación'!L18</f>
        <v>27800</v>
      </c>
      <c r="E23" s="417">
        <f>+'B) Reajuste Tarifas y Ocupación'!M18</f>
        <v>29100</v>
      </c>
      <c r="F23" s="530">
        <f t="shared" si="1"/>
        <v>0</v>
      </c>
      <c r="G23" s="218">
        <f t="shared" si="0"/>
        <v>0</v>
      </c>
      <c r="H23" s="219">
        <f t="shared" si="0"/>
        <v>0</v>
      </c>
      <c r="I23" s="397" t="s">
        <v>293</v>
      </c>
      <c r="J23" s="221">
        <v>0</v>
      </c>
      <c r="K23" s="185"/>
      <c r="L23" s="533">
        <v>0</v>
      </c>
      <c r="M23" s="537">
        <f>AVERAGE(J23,L23)</f>
        <v>0</v>
      </c>
    </row>
    <row r="24" spans="1:13" x14ac:dyDescent="0.25">
      <c r="A24" s="1311" t="str">
        <f>+'B) Reajuste Tarifas y Ocupación'!A19</f>
        <v>Salon de Eventos y Quinchos</v>
      </c>
      <c r="B24" s="469" t="str">
        <f>+'B) Reajuste Tarifas y Ocupación'!B19</f>
        <v>Salón de Eventos (de 1 a 20 personas)</v>
      </c>
      <c r="C24" s="475">
        <f>+'B) Reajuste Tarifas y Ocupación'!K19</f>
        <v>37300</v>
      </c>
      <c r="D24" s="442">
        <f>+'B) Reajuste Tarifas y Ocupación'!L19</f>
        <v>35900</v>
      </c>
      <c r="E24" s="443">
        <f>+'B) Reajuste Tarifas y Ocupación'!M19</f>
        <v>63800</v>
      </c>
      <c r="F24" s="224">
        <f t="shared" si="1"/>
        <v>0</v>
      </c>
      <c r="G24" s="225">
        <f t="shared" si="0"/>
        <v>0</v>
      </c>
      <c r="H24" s="226">
        <f t="shared" si="0"/>
        <v>0</v>
      </c>
      <c r="I24" s="186" t="s">
        <v>359</v>
      </c>
      <c r="J24" s="117">
        <v>0</v>
      </c>
      <c r="K24" s="187"/>
      <c r="L24" s="227">
        <v>0</v>
      </c>
      <c r="M24" s="228">
        <f t="shared" si="2"/>
        <v>0</v>
      </c>
    </row>
    <row r="25" spans="1:13" ht="15.75" thickBot="1" x14ac:dyDescent="0.3">
      <c r="A25" s="1312"/>
      <c r="B25" s="410" t="str">
        <f>+'B) Reajuste Tarifas y Ocupación'!B20</f>
        <v>Salón de Eventos (persona adicional)</v>
      </c>
      <c r="C25" s="418">
        <f>+'B) Reajuste Tarifas y Ocupación'!K20</f>
        <v>2000</v>
      </c>
      <c r="D25" s="419">
        <f>+'B) Reajuste Tarifas y Ocupación'!L20</f>
        <v>2500</v>
      </c>
      <c r="E25" s="420">
        <f>+'B) Reajuste Tarifas y Ocupación'!M20</f>
        <v>2600</v>
      </c>
      <c r="F25" s="217">
        <f t="shared" si="1"/>
        <v>0</v>
      </c>
      <c r="G25" s="218">
        <f t="shared" si="0"/>
        <v>0</v>
      </c>
      <c r="H25" s="219">
        <f t="shared" si="0"/>
        <v>0</v>
      </c>
      <c r="I25" s="220"/>
      <c r="J25" s="221">
        <v>0</v>
      </c>
      <c r="K25" s="185"/>
      <c r="L25" s="222">
        <v>0</v>
      </c>
      <c r="M25" s="223">
        <f t="shared" si="2"/>
        <v>0</v>
      </c>
    </row>
    <row r="26" spans="1:13" ht="15.75" thickBot="1" x14ac:dyDescent="0.3">
      <c r="A26" s="1311" t="str">
        <f>+'B) Reajuste Tarifas y Ocupación'!A23</f>
        <v>C.H. Archipielago Juan Fernandez</v>
      </c>
      <c r="B26" s="408" t="str">
        <f>+'B) Reajuste Tarifas y Ocupación'!B23</f>
        <v>Simple</v>
      </c>
      <c r="C26" s="486">
        <f>+'B) Reajuste Tarifas y Ocupación'!K23</f>
        <v>27600</v>
      </c>
      <c r="D26" s="208">
        <f>+'B) Reajuste Tarifas y Ocupación'!L23</f>
        <v>34400</v>
      </c>
      <c r="E26" s="471">
        <f>+'B) Reajuste Tarifas y Ocupación'!M23</f>
        <v>37600</v>
      </c>
      <c r="F26" s="229">
        <f t="shared" si="1"/>
        <v>0</v>
      </c>
      <c r="G26" s="230">
        <f t="shared" si="0"/>
        <v>0</v>
      </c>
      <c r="H26" s="231">
        <f t="shared" si="0"/>
        <v>0</v>
      </c>
      <c r="I26" s="232" t="s">
        <v>360</v>
      </c>
      <c r="J26" s="233">
        <v>0</v>
      </c>
      <c r="K26" s="210"/>
      <c r="L26" s="235">
        <v>0</v>
      </c>
      <c r="M26" s="236">
        <f t="shared" si="2"/>
        <v>0</v>
      </c>
    </row>
    <row r="27" spans="1:13" ht="15.75" thickBot="1" x14ac:dyDescent="0.3">
      <c r="A27" s="1312"/>
      <c r="B27" s="411" t="str">
        <f>+'B) Reajuste Tarifas y Ocupación'!B24</f>
        <v>Doble</v>
      </c>
      <c r="C27" s="421">
        <f>+'B) Reajuste Tarifas y Ocupación'!K24</f>
        <v>36200</v>
      </c>
      <c r="D27" s="422">
        <f>+'B) Reajuste Tarifas y Ocupación'!L24</f>
        <v>45100</v>
      </c>
      <c r="E27" s="423">
        <f>+'B) Reajuste Tarifas y Ocupación'!M24</f>
        <v>49200</v>
      </c>
      <c r="F27" s="237">
        <f t="shared" si="1"/>
        <v>1.3482309124767224</v>
      </c>
      <c r="G27" s="238">
        <f t="shared" si="0"/>
        <v>1.6797020484171321</v>
      </c>
      <c r="H27" s="239">
        <f t="shared" si="0"/>
        <v>1.8324022346368716</v>
      </c>
      <c r="I27" s="232" t="s">
        <v>360</v>
      </c>
      <c r="J27" s="240">
        <v>53700</v>
      </c>
      <c r="K27" s="210"/>
      <c r="L27" s="213">
        <v>0</v>
      </c>
      <c r="M27" s="241">
        <f t="shared" si="2"/>
        <v>26850</v>
      </c>
    </row>
    <row r="28" spans="1:13" ht="15.75" thickBot="1" x14ac:dyDescent="0.3">
      <c r="A28" s="1312"/>
      <c r="B28" s="410" t="str">
        <f>+'B) Reajuste Tarifas y Ocupación'!B25</f>
        <v>Matrimonial baño privado</v>
      </c>
      <c r="C28" s="421">
        <f>+'B) Reajuste Tarifas y Ocupación'!K25</f>
        <v>39900</v>
      </c>
      <c r="D28" s="422">
        <f>+'B) Reajuste Tarifas y Ocupación'!L25</f>
        <v>49600</v>
      </c>
      <c r="E28" s="423">
        <f>+'B) Reajuste Tarifas y Ocupación'!M25</f>
        <v>54100</v>
      </c>
      <c r="F28" s="237">
        <f t="shared" si="1"/>
        <v>1.4199288256227758</v>
      </c>
      <c r="G28" s="238">
        <f t="shared" si="0"/>
        <v>1.7651245551601424</v>
      </c>
      <c r="H28" s="239">
        <f t="shared" si="0"/>
        <v>1.9252669039145907</v>
      </c>
      <c r="I28" s="232" t="s">
        <v>360</v>
      </c>
      <c r="J28" s="240">
        <v>56200</v>
      </c>
      <c r="K28" s="210"/>
      <c r="L28" s="213">
        <v>0</v>
      </c>
      <c r="M28" s="214">
        <f t="shared" si="2"/>
        <v>28100</v>
      </c>
    </row>
    <row r="29" spans="1:13" x14ac:dyDescent="0.25">
      <c r="A29" s="1312"/>
      <c r="B29" s="538" t="str">
        <f>+'B) Reajuste Tarifas y Ocupación'!B26</f>
        <v>Matrimonial baño compartido</v>
      </c>
      <c r="C29" s="421">
        <f>+'B) Reajuste Tarifas y Ocupación'!K26</f>
        <v>32200</v>
      </c>
      <c r="D29" s="422">
        <f>+'B) Reajuste Tarifas y Ocupación'!L26</f>
        <v>40200</v>
      </c>
      <c r="E29" s="423">
        <f>+'B) Reajuste Tarifas y Ocupación'!M26</f>
        <v>43800</v>
      </c>
      <c r="F29" s="237">
        <f t="shared" si="1"/>
        <v>0</v>
      </c>
      <c r="G29" s="238">
        <f t="shared" si="0"/>
        <v>0</v>
      </c>
      <c r="H29" s="239">
        <f t="shared" si="0"/>
        <v>0</v>
      </c>
      <c r="I29" s="232" t="s">
        <v>360</v>
      </c>
      <c r="J29" s="240"/>
      <c r="K29" s="210"/>
      <c r="L29" s="213">
        <v>0</v>
      </c>
      <c r="M29" s="214">
        <f t="shared" si="2"/>
        <v>0</v>
      </c>
    </row>
    <row r="30" spans="1:13" x14ac:dyDescent="0.25">
      <c r="A30" s="1312"/>
      <c r="B30" s="539" t="str">
        <f>+'B) Reajuste Tarifas y Ocupación'!B27</f>
        <v>Early check in/Late check out/Uso por tránsito</v>
      </c>
      <c r="C30" s="1323"/>
      <c r="D30" s="1324"/>
      <c r="E30" s="1325"/>
      <c r="F30" s="1326"/>
      <c r="G30" s="1327"/>
      <c r="H30" s="1328"/>
      <c r="I30" s="1329"/>
      <c r="J30" s="1330"/>
      <c r="K30" s="1330"/>
      <c r="L30" s="1330"/>
      <c r="M30" s="242"/>
    </row>
    <row r="31" spans="1:13" x14ac:dyDescent="0.25">
      <c r="A31" s="1312"/>
      <c r="B31" s="540" t="str">
        <f>+'B) Reajuste Tarifas y Ocupación'!B28</f>
        <v>Simple</v>
      </c>
      <c r="C31" s="421">
        <f>+'B) Reajuste Tarifas y Ocupación'!K28</f>
        <v>8300</v>
      </c>
      <c r="D31" s="422">
        <f>+'B) Reajuste Tarifas y Ocupación'!L28</f>
        <v>10400</v>
      </c>
      <c r="E31" s="423">
        <f>+'B) Reajuste Tarifas y Ocupación'!M28</f>
        <v>11300</v>
      </c>
      <c r="F31" s="237">
        <f t="shared" si="1"/>
        <v>0</v>
      </c>
      <c r="G31" s="238">
        <f t="shared" si="1"/>
        <v>0</v>
      </c>
      <c r="H31" s="239">
        <f t="shared" si="1"/>
        <v>0</v>
      </c>
      <c r="I31" s="399"/>
      <c r="J31" s="240">
        <v>0</v>
      </c>
      <c r="K31" s="234"/>
      <c r="L31" s="213">
        <v>0</v>
      </c>
      <c r="M31" s="241">
        <f t="shared" si="2"/>
        <v>0</v>
      </c>
    </row>
    <row r="32" spans="1:13" x14ac:dyDescent="0.25">
      <c r="A32" s="1312"/>
      <c r="B32" s="540" t="str">
        <f>+'B) Reajuste Tarifas y Ocupación'!B29</f>
        <v>Doble</v>
      </c>
      <c r="C32" s="421">
        <f>+'B) Reajuste Tarifas y Ocupación'!K29</f>
        <v>10900</v>
      </c>
      <c r="D32" s="422">
        <f>+'B) Reajuste Tarifas y Ocupación'!L29</f>
        <v>13600</v>
      </c>
      <c r="E32" s="423">
        <f>+'B) Reajuste Tarifas y Ocupación'!M29</f>
        <v>14800</v>
      </c>
      <c r="F32" s="243">
        <f t="shared" si="1"/>
        <v>0</v>
      </c>
      <c r="G32" s="244">
        <f t="shared" si="1"/>
        <v>0</v>
      </c>
      <c r="H32" s="245">
        <f t="shared" si="1"/>
        <v>0</v>
      </c>
      <c r="I32" s="399"/>
      <c r="J32" s="246">
        <v>0</v>
      </c>
      <c r="K32" s="234"/>
      <c r="L32" s="247">
        <v>0</v>
      </c>
      <c r="M32" s="248">
        <f t="shared" si="2"/>
        <v>0</v>
      </c>
    </row>
    <row r="33" spans="1:13" x14ac:dyDescent="0.25">
      <c r="A33" s="1312"/>
      <c r="B33" s="540" t="str">
        <f>+'B) Reajuste Tarifas y Ocupación'!B30</f>
        <v>Matrimonial baño privado</v>
      </c>
      <c r="C33" s="421">
        <f>+'B) Reajuste Tarifas y Ocupación'!K30</f>
        <v>12000</v>
      </c>
      <c r="D33" s="422">
        <f>+'B) Reajuste Tarifas y Ocupación'!L30</f>
        <v>14900</v>
      </c>
      <c r="E33" s="423">
        <f>+'B) Reajuste Tarifas y Ocupación'!M30</f>
        <v>16300</v>
      </c>
      <c r="F33" s="249">
        <f t="shared" si="1"/>
        <v>0</v>
      </c>
      <c r="G33" s="250">
        <f t="shared" si="1"/>
        <v>0</v>
      </c>
      <c r="H33" s="251">
        <f t="shared" si="1"/>
        <v>0</v>
      </c>
      <c r="I33" s="399"/>
      <c r="J33" s="246">
        <v>0</v>
      </c>
      <c r="K33" s="234"/>
      <c r="L33" s="252">
        <v>0</v>
      </c>
      <c r="M33" s="248">
        <f t="shared" si="2"/>
        <v>0</v>
      </c>
    </row>
    <row r="34" spans="1:13" ht="15.75" thickBot="1" x14ac:dyDescent="0.3">
      <c r="A34" s="1313"/>
      <c r="B34" s="541" t="str">
        <f>+'B) Reajuste Tarifas y Ocupación'!B31</f>
        <v>Matrimonial baño compartido</v>
      </c>
      <c r="C34" s="415">
        <f>+'B) Reajuste Tarifas y Ocupación'!K31</f>
        <v>9700</v>
      </c>
      <c r="D34" s="416">
        <f>+'B) Reajuste Tarifas y Ocupación'!L31</f>
        <v>12100</v>
      </c>
      <c r="E34" s="417">
        <f>+'B) Reajuste Tarifas y Ocupación'!M31</f>
        <v>13200</v>
      </c>
      <c r="F34" s="253">
        <f t="shared" si="1"/>
        <v>0</v>
      </c>
      <c r="G34" s="254">
        <f t="shared" si="1"/>
        <v>0</v>
      </c>
      <c r="H34" s="255">
        <f t="shared" si="1"/>
        <v>0</v>
      </c>
      <c r="I34" s="399"/>
      <c r="J34" s="256">
        <v>0</v>
      </c>
      <c r="K34" s="257"/>
      <c r="L34" s="258">
        <v>0</v>
      </c>
      <c r="M34" s="259">
        <f t="shared" si="2"/>
        <v>0</v>
      </c>
    </row>
    <row r="35" spans="1:13" ht="15.75" thickBot="1" x14ac:dyDescent="0.3">
      <c r="A35" s="1307" t="str">
        <f>+'B) Reajuste Tarifas y Ocupación'!A32</f>
        <v>Piscina</v>
      </c>
      <c r="B35" s="408" t="str">
        <f>+'B) Reajuste Tarifas y Ocupación'!B32</f>
        <v>Piscina Adulto</v>
      </c>
      <c r="C35" s="486">
        <f>+'B) Reajuste Tarifas y Ocupación'!K32</f>
        <v>6400</v>
      </c>
      <c r="D35" s="208">
        <f>+'B) Reajuste Tarifas y Ocupación'!L32</f>
        <v>7700</v>
      </c>
      <c r="E35" s="471">
        <f>+'B) Reajuste Tarifas y Ocupación'!M32</f>
        <v>8000</v>
      </c>
      <c r="F35" s="260">
        <f t="shared" si="1"/>
        <v>2.1333333333333333</v>
      </c>
      <c r="G35" s="215">
        <f t="shared" si="1"/>
        <v>2.5666666666666669</v>
      </c>
      <c r="H35" s="216">
        <f t="shared" si="1"/>
        <v>2.6666666666666665</v>
      </c>
      <c r="I35" s="544" t="s">
        <v>294</v>
      </c>
      <c r="J35" s="209">
        <v>6000</v>
      </c>
      <c r="K35" s="545"/>
      <c r="L35" s="211">
        <v>0</v>
      </c>
      <c r="M35" s="212">
        <f t="shared" si="2"/>
        <v>3000</v>
      </c>
    </row>
    <row r="36" spans="1:13" ht="15.75" thickBot="1" x14ac:dyDescent="0.3">
      <c r="A36" s="1308"/>
      <c r="B36" s="409" t="str">
        <f>+'B) Reajuste Tarifas y Ocupación'!B33</f>
        <v>Piscina Niños</v>
      </c>
      <c r="C36" s="415">
        <f>+'B) Reajuste Tarifas y Ocupación'!K33</f>
        <v>4100</v>
      </c>
      <c r="D36" s="416">
        <f>+'B) Reajuste Tarifas y Ocupación'!L33</f>
        <v>5000</v>
      </c>
      <c r="E36" s="417">
        <f>+'B) Reajuste Tarifas y Ocupación'!M33</f>
        <v>5200</v>
      </c>
      <c r="F36" s="261">
        <f t="shared" si="1"/>
        <v>2.342857142857143</v>
      </c>
      <c r="G36" s="262">
        <f t="shared" si="1"/>
        <v>2.8571428571428572</v>
      </c>
      <c r="H36" s="263">
        <f t="shared" si="1"/>
        <v>2.9714285714285715</v>
      </c>
      <c r="I36" s="544" t="s">
        <v>294</v>
      </c>
      <c r="J36" s="256">
        <v>3500</v>
      </c>
      <c r="K36" s="185"/>
      <c r="L36" s="258">
        <v>0</v>
      </c>
      <c r="M36" s="259">
        <f t="shared" si="2"/>
        <v>1750</v>
      </c>
    </row>
    <row r="37" spans="1:13" ht="30.75" thickBot="1" x14ac:dyDescent="0.3">
      <c r="A37" s="93" t="str">
        <f>+'B) Reajuste Tarifas y Ocupación'!A34</f>
        <v>Departamento Superior</v>
      </c>
      <c r="B37" s="542" t="str">
        <f>+'B) Reajuste Tarifas y Ocupación'!B34</f>
        <v>Departamento</v>
      </c>
      <c r="C37" s="543">
        <f>+'B) Reajuste Tarifas y Ocupación'!K34</f>
        <v>0</v>
      </c>
      <c r="D37" s="264"/>
      <c r="E37" s="265"/>
      <c r="F37" s="266">
        <f t="shared" ref="F37:H37" si="5">IFERROR(C37/$M37,0)</f>
        <v>0</v>
      </c>
      <c r="G37" s="267">
        <f t="shared" si="5"/>
        <v>0</v>
      </c>
      <c r="H37" s="268">
        <f t="shared" si="5"/>
        <v>0</v>
      </c>
      <c r="I37" s="269"/>
      <c r="J37" s="270">
        <v>0</v>
      </c>
      <c r="K37" s="271"/>
      <c r="L37" s="272">
        <v>0</v>
      </c>
      <c r="M37" s="273">
        <f>AVERAGE(J37,L37)</f>
        <v>0</v>
      </c>
    </row>
  </sheetData>
  <mergeCells count="20">
    <mergeCell ref="D4:E4"/>
    <mergeCell ref="A7:L10"/>
    <mergeCell ref="A13:D13"/>
    <mergeCell ref="A15:A16"/>
    <mergeCell ref="B15:B16"/>
    <mergeCell ref="C15:E15"/>
    <mergeCell ref="F15:H15"/>
    <mergeCell ref="I15:J15"/>
    <mergeCell ref="K15:L15"/>
    <mergeCell ref="A35:A36"/>
    <mergeCell ref="M15:M16"/>
    <mergeCell ref="A17:A23"/>
    <mergeCell ref="C20:E20"/>
    <mergeCell ref="F20:H20"/>
    <mergeCell ref="I20:L20"/>
    <mergeCell ref="A24:A25"/>
    <mergeCell ref="A26:A34"/>
    <mergeCell ref="C30:E30"/>
    <mergeCell ref="F30:H30"/>
    <mergeCell ref="I30:L30"/>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7030A0"/>
  </sheetPr>
  <dimension ref="A1:Q86"/>
  <sheetViews>
    <sheetView showGridLines="0" topLeftCell="B1" zoomScale="80" zoomScaleNormal="80" workbookViewId="0">
      <selection activeCell="N21" sqref="N21"/>
    </sheetView>
  </sheetViews>
  <sheetFormatPr baseColWidth="10" defaultRowHeight="15" x14ac:dyDescent="0.25"/>
  <cols>
    <col min="1" max="1" width="19.5703125" style="274" customWidth="1"/>
    <col min="2" max="2" width="16.42578125" style="274" customWidth="1"/>
    <col min="3" max="3" width="15" style="274" customWidth="1"/>
    <col min="4" max="4" width="11.42578125" style="274"/>
    <col min="5" max="5" width="12.28515625" style="274" bestFit="1" customWidth="1"/>
    <col min="6" max="6" width="11" style="274" customWidth="1"/>
    <col min="7" max="8" width="11.42578125" style="274"/>
    <col min="9" max="9" width="22" style="274" customWidth="1"/>
    <col min="10" max="10" width="16" style="274" bestFit="1" customWidth="1"/>
    <col min="11" max="11" width="25.28515625" style="274" bestFit="1" customWidth="1"/>
    <col min="12" max="12" width="14.5703125" style="274" customWidth="1"/>
  </cols>
  <sheetData>
    <row r="1" spans="1:17" x14ac:dyDescent="0.25">
      <c r="A1" s="274" t="s">
        <v>189</v>
      </c>
      <c r="J1" s="3"/>
      <c r="K1" s="275"/>
    </row>
    <row r="2" spans="1:17" x14ac:dyDescent="0.25">
      <c r="J2" s="3" t="s">
        <v>190</v>
      </c>
      <c r="K2" s="275"/>
    </row>
    <row r="4" spans="1:17" ht="15.75" x14ac:dyDescent="0.25">
      <c r="I4" s="8" t="s">
        <v>1</v>
      </c>
      <c r="J4" s="1354" t="s">
        <v>35</v>
      </c>
      <c r="K4" s="1355"/>
    </row>
    <row r="6" spans="1:17" x14ac:dyDescent="0.25">
      <c r="A6"/>
      <c r="B6"/>
      <c r="C6"/>
      <c r="D6"/>
      <c r="E6"/>
      <c r="F6"/>
      <c r="G6"/>
      <c r="H6"/>
      <c r="I6"/>
      <c r="J6"/>
      <c r="K6"/>
      <c r="L6"/>
    </row>
    <row r="7" spans="1:17" x14ac:dyDescent="0.25">
      <c r="A7" s="1356" t="s">
        <v>286</v>
      </c>
      <c r="B7" s="1356"/>
      <c r="C7" s="1356"/>
      <c r="D7" s="1356"/>
      <c r="E7" s="1356"/>
      <c r="F7" s="1356"/>
      <c r="G7" s="1356"/>
      <c r="H7" s="1356"/>
      <c r="I7" s="1356"/>
      <c r="J7" s="1356"/>
      <c r="K7" s="1356"/>
      <c r="L7" s="1356"/>
      <c r="M7" s="1356"/>
      <c r="N7" s="1356"/>
      <c r="O7" s="1356"/>
      <c r="P7" s="1356"/>
      <c r="Q7" s="1356"/>
    </row>
    <row r="8" spans="1:17" x14ac:dyDescent="0.25">
      <c r="A8" s="276"/>
      <c r="B8" s="276"/>
      <c r="C8" s="276"/>
      <c r="D8" s="276"/>
      <c r="E8" s="276"/>
      <c r="F8" s="276"/>
      <c r="G8" s="276"/>
      <c r="H8" s="276"/>
      <c r="I8" s="276"/>
      <c r="J8" s="276"/>
      <c r="K8" s="276"/>
      <c r="L8" s="276"/>
    </row>
    <row r="10" spans="1:17" x14ac:dyDescent="0.25">
      <c r="A10" s="277"/>
      <c r="B10" s="277" t="s">
        <v>365</v>
      </c>
      <c r="C10" s="277"/>
      <c r="D10" s="277"/>
      <c r="E10" s="277"/>
      <c r="F10" s="277"/>
      <c r="G10" s="277"/>
      <c r="H10" s="277"/>
      <c r="I10" s="277"/>
      <c r="J10" s="277"/>
      <c r="K10" s="277"/>
      <c r="L10" s="277"/>
    </row>
    <row r="11" spans="1:17" x14ac:dyDescent="0.25">
      <c r="A11" s="277"/>
      <c r="B11" s="277"/>
      <c r="C11" s="277"/>
      <c r="D11" s="277"/>
      <c r="E11" s="277"/>
      <c r="F11" s="277"/>
      <c r="G11" s="277"/>
      <c r="H11" s="277"/>
      <c r="I11" s="277"/>
      <c r="J11" s="277"/>
      <c r="K11" s="277"/>
      <c r="L11" s="277"/>
    </row>
    <row r="12" spans="1:17" x14ac:dyDescent="0.25">
      <c r="A12" s="277"/>
      <c r="B12" s="277" t="s">
        <v>366</v>
      </c>
      <c r="C12" s="277"/>
      <c r="D12" s="277"/>
      <c r="E12" s="277"/>
      <c r="F12" s="277"/>
      <c r="G12" s="277"/>
      <c r="H12" s="277"/>
      <c r="I12" s="277"/>
      <c r="J12" s="277"/>
      <c r="K12" s="277"/>
      <c r="L12" s="277"/>
    </row>
    <row r="13" spans="1:17" ht="20.25" x14ac:dyDescent="0.3">
      <c r="A13" s="278"/>
      <c r="B13" s="285">
        <v>2022</v>
      </c>
      <c r="C13" s="285">
        <v>2023</v>
      </c>
      <c r="D13" s="285">
        <v>2024</v>
      </c>
      <c r="E13" s="277" t="s">
        <v>367</v>
      </c>
      <c r="F13" s="277"/>
      <c r="G13" s="277" t="s">
        <v>368</v>
      </c>
      <c r="H13" s="277"/>
      <c r="I13" s="278"/>
      <c r="J13" s="278"/>
      <c r="K13" s="278"/>
      <c r="L13" s="278"/>
    </row>
    <row r="14" spans="1:17" ht="18" x14ac:dyDescent="0.25">
      <c r="A14" s="279"/>
      <c r="B14" s="285">
        <v>1567</v>
      </c>
      <c r="C14" s="285">
        <v>1570</v>
      </c>
      <c r="D14" s="285">
        <v>1519</v>
      </c>
      <c r="E14" s="285">
        <v>1552</v>
      </c>
      <c r="F14" s="285"/>
      <c r="G14" s="285">
        <v>129</v>
      </c>
      <c r="H14" s="279"/>
      <c r="I14" s="279"/>
      <c r="J14" s="279"/>
      <c r="K14" s="279"/>
      <c r="L14" s="279"/>
    </row>
    <row r="15" spans="1:17" ht="18" x14ac:dyDescent="0.25">
      <c r="A15" s="279"/>
      <c r="B15" s="277"/>
      <c r="C15" s="279"/>
      <c r="D15" s="279"/>
      <c r="E15" s="279"/>
      <c r="F15" s="279"/>
      <c r="G15" s="279"/>
      <c r="H15" s="279"/>
      <c r="I15" s="279"/>
      <c r="J15" s="279"/>
      <c r="K15" s="279"/>
      <c r="L15" s="279"/>
    </row>
    <row r="16" spans="1:17" x14ac:dyDescent="0.25">
      <c r="A16" s="280"/>
      <c r="B16" s="277" t="s">
        <v>369</v>
      </c>
      <c r="C16" s="277"/>
      <c r="D16" s="277"/>
      <c r="E16" s="277"/>
      <c r="F16" s="277"/>
      <c r="G16" s="277"/>
      <c r="H16" s="277"/>
      <c r="I16" s="277"/>
      <c r="J16" s="277"/>
      <c r="K16" s="277"/>
      <c r="L16" s="277"/>
    </row>
    <row r="17" spans="1:12" x14ac:dyDescent="0.25">
      <c r="A17" s="281"/>
      <c r="B17" s="285">
        <v>2022</v>
      </c>
      <c r="C17" s="285">
        <v>2023</v>
      </c>
      <c r="D17" s="285">
        <v>2024</v>
      </c>
      <c r="E17" s="277" t="s">
        <v>367</v>
      </c>
      <c r="F17" s="277"/>
      <c r="G17" s="277" t="s">
        <v>368</v>
      </c>
      <c r="H17" s="277"/>
      <c r="I17" s="281"/>
      <c r="J17" s="277"/>
      <c r="K17" s="277"/>
      <c r="L17" s="277"/>
    </row>
    <row r="18" spans="1:12" ht="18" x14ac:dyDescent="0.25">
      <c r="A18" s="281"/>
      <c r="B18" s="285">
        <v>2409</v>
      </c>
      <c r="C18" s="285">
        <v>3554</v>
      </c>
      <c r="D18" s="285">
        <v>3130</v>
      </c>
      <c r="E18" s="285">
        <v>3031</v>
      </c>
      <c r="F18" s="285"/>
      <c r="G18" s="285">
        <v>252</v>
      </c>
      <c r="H18" s="279"/>
      <c r="I18" s="277"/>
      <c r="J18" s="277"/>
      <c r="K18" s="277"/>
      <c r="L18" s="277"/>
    </row>
    <row r="19" spans="1:12" ht="18" x14ac:dyDescent="0.25">
      <c r="A19" s="281"/>
      <c r="B19" s="277"/>
      <c r="C19" s="279"/>
      <c r="D19" s="279"/>
      <c r="E19" s="279"/>
      <c r="F19" s="279"/>
      <c r="G19" s="279"/>
      <c r="H19" s="279"/>
      <c r="I19" s="277"/>
      <c r="J19" s="282"/>
      <c r="K19" s="283"/>
      <c r="L19" s="277"/>
    </row>
    <row r="20" spans="1:12" x14ac:dyDescent="0.25">
      <c r="A20" s="281"/>
      <c r="B20" s="277"/>
      <c r="C20" s="277"/>
      <c r="D20" s="277"/>
      <c r="E20" s="277"/>
      <c r="F20" s="277"/>
      <c r="G20" s="277"/>
      <c r="H20" s="277"/>
      <c r="I20" s="277"/>
      <c r="J20" s="282"/>
      <c r="K20" s="277"/>
      <c r="L20" s="277"/>
    </row>
    <row r="21" spans="1:12" x14ac:dyDescent="0.25">
      <c r="A21" s="284"/>
      <c r="B21" s="277"/>
      <c r="C21" s="285"/>
      <c r="D21" s="277"/>
      <c r="E21" s="277"/>
      <c r="F21" s="277"/>
      <c r="G21" s="277"/>
      <c r="H21" s="277"/>
      <c r="I21" s="277"/>
      <c r="J21" s="277"/>
      <c r="K21" s="277"/>
      <c r="L21" s="277"/>
    </row>
    <row r="22" spans="1:12" x14ac:dyDescent="0.25">
      <c r="A22" s="286"/>
      <c r="B22" s="277"/>
      <c r="C22" s="282"/>
      <c r="D22" s="277"/>
      <c r="E22" s="277"/>
      <c r="F22" s="277"/>
      <c r="G22" s="277"/>
      <c r="H22" s="277"/>
      <c r="I22" s="277"/>
      <c r="J22" s="277"/>
      <c r="K22" s="277"/>
      <c r="L22" s="277"/>
    </row>
    <row r="23" spans="1:12" x14ac:dyDescent="0.25">
      <c r="A23" s="277"/>
      <c r="B23" s="277"/>
      <c r="C23" s="277"/>
      <c r="D23" s="277"/>
      <c r="E23" s="277"/>
      <c r="F23" s="277"/>
      <c r="G23" s="277"/>
      <c r="H23" s="277"/>
      <c r="I23" s="281"/>
      <c r="J23" s="277"/>
      <c r="K23" s="277"/>
      <c r="L23" s="277"/>
    </row>
    <row r="24" spans="1:12" x14ac:dyDescent="0.25">
      <c r="A24" s="284"/>
      <c r="B24" s="277"/>
      <c r="C24" s="285"/>
      <c r="D24" s="277"/>
      <c r="E24" s="277"/>
      <c r="F24" s="277"/>
      <c r="G24" s="277"/>
      <c r="H24" s="277"/>
      <c r="I24" s="277"/>
      <c r="J24" s="277"/>
      <c r="K24" s="277"/>
      <c r="L24" s="277"/>
    </row>
    <row r="25" spans="1:12" x14ac:dyDescent="0.25">
      <c r="A25" s="287"/>
      <c r="B25" s="277"/>
      <c r="C25" s="288"/>
      <c r="D25" s="277"/>
      <c r="E25" s="277"/>
      <c r="F25" s="277"/>
      <c r="G25" s="277"/>
      <c r="H25" s="277"/>
      <c r="I25" s="277"/>
      <c r="J25" s="277"/>
      <c r="K25" s="277"/>
      <c r="L25" s="277"/>
    </row>
    <row r="26" spans="1:12" x14ac:dyDescent="0.25">
      <c r="A26" s="289"/>
      <c r="B26" s="277"/>
      <c r="C26" s="277"/>
      <c r="D26" s="277"/>
      <c r="E26" s="277"/>
      <c r="F26" s="277"/>
      <c r="G26" s="277"/>
      <c r="H26" s="277"/>
      <c r="I26" s="277"/>
      <c r="J26" s="282"/>
      <c r="K26" s="277"/>
      <c r="L26" s="290"/>
    </row>
    <row r="27" spans="1:12" x14ac:dyDescent="0.25">
      <c r="A27" s="289"/>
      <c r="B27" s="277"/>
      <c r="C27" s="277"/>
      <c r="D27" s="277"/>
      <c r="E27" s="277"/>
      <c r="F27" s="277"/>
      <c r="G27" s="277"/>
      <c r="H27" s="277"/>
      <c r="I27" s="277"/>
      <c r="J27" s="277"/>
      <c r="K27" s="277"/>
      <c r="L27" s="290"/>
    </row>
    <row r="28" spans="1:12" x14ac:dyDescent="0.25">
      <c r="A28" s="281"/>
      <c r="B28" s="277"/>
      <c r="C28" s="277"/>
      <c r="D28" s="277"/>
      <c r="E28" s="277"/>
      <c r="F28" s="277"/>
      <c r="G28" s="277"/>
      <c r="H28" s="277"/>
      <c r="I28" s="277"/>
      <c r="J28" s="277"/>
      <c r="K28" s="277"/>
      <c r="L28" s="291"/>
    </row>
    <row r="29" spans="1:12" x14ac:dyDescent="0.25">
      <c r="A29" s="281"/>
      <c r="B29" s="277"/>
      <c r="C29" s="277"/>
      <c r="D29" s="277"/>
      <c r="E29" s="277"/>
      <c r="F29" s="277"/>
      <c r="G29" s="277"/>
      <c r="H29" s="277"/>
      <c r="I29" s="281"/>
      <c r="J29" s="277"/>
      <c r="K29" s="277"/>
      <c r="L29" s="291"/>
    </row>
    <row r="30" spans="1:12" x14ac:dyDescent="0.25">
      <c r="A30" s="292"/>
      <c r="B30" s="277"/>
      <c r="C30" s="285"/>
      <c r="D30" s="285"/>
      <c r="E30" s="285"/>
      <c r="F30" s="277"/>
      <c r="G30" s="277"/>
      <c r="H30" s="277"/>
      <c r="I30" s="277"/>
      <c r="J30" s="277"/>
      <c r="K30" s="277"/>
      <c r="L30" s="291"/>
    </row>
    <row r="31" spans="1:12" x14ac:dyDescent="0.25">
      <c r="A31" s="277"/>
      <c r="B31" s="277"/>
      <c r="C31" s="277"/>
      <c r="D31" s="277"/>
      <c r="E31" s="277"/>
      <c r="F31" s="277"/>
      <c r="G31" s="277"/>
      <c r="H31" s="277"/>
      <c r="I31" s="277"/>
      <c r="J31" s="277"/>
      <c r="K31" s="277"/>
      <c r="L31" s="293"/>
    </row>
    <row r="32" spans="1:12" x14ac:dyDescent="0.25">
      <c r="A32" s="277"/>
      <c r="B32" s="277"/>
      <c r="C32" s="277"/>
      <c r="D32" s="277"/>
      <c r="E32" s="277"/>
      <c r="F32" s="277"/>
      <c r="G32" s="277"/>
      <c r="H32" s="277"/>
      <c r="I32" s="277"/>
      <c r="J32" s="277"/>
      <c r="K32" s="277"/>
      <c r="L32" s="277"/>
    </row>
    <row r="33" spans="1:12" x14ac:dyDescent="0.25">
      <c r="A33" s="277"/>
      <c r="B33" s="277"/>
      <c r="C33" s="277"/>
      <c r="D33" s="277"/>
      <c r="E33" s="294"/>
      <c r="F33" s="277"/>
      <c r="G33" s="277"/>
      <c r="H33" s="277"/>
      <c r="I33" s="277"/>
      <c r="J33" s="277"/>
      <c r="K33" s="277"/>
      <c r="L33" s="277"/>
    </row>
    <row r="34" spans="1:12" x14ac:dyDescent="0.25">
      <c r="A34" s="277"/>
      <c r="B34" s="277"/>
      <c r="C34" s="277"/>
      <c r="D34" s="277"/>
      <c r="E34" s="294"/>
      <c r="F34" s="277"/>
      <c r="G34" s="277"/>
      <c r="H34" s="277"/>
      <c r="I34" s="294"/>
      <c r="J34" s="294"/>
      <c r="K34" s="294"/>
      <c r="L34" s="277"/>
    </row>
    <row r="35" spans="1:12" x14ac:dyDescent="0.25">
      <c r="A35" s="277"/>
      <c r="B35" s="277"/>
      <c r="C35" s="277"/>
      <c r="D35" s="277"/>
      <c r="E35" s="294"/>
      <c r="F35" s="277"/>
      <c r="G35" s="277"/>
      <c r="H35" s="277"/>
      <c r="I35" s="277"/>
      <c r="J35" s="277"/>
      <c r="K35" s="277"/>
      <c r="L35" s="277"/>
    </row>
    <row r="36" spans="1:12" x14ac:dyDescent="0.25">
      <c r="A36" s="281"/>
      <c r="B36" s="277"/>
      <c r="C36" s="277"/>
      <c r="D36" s="277"/>
      <c r="E36" s="277"/>
      <c r="F36" s="277"/>
      <c r="G36" s="277"/>
      <c r="H36" s="277"/>
      <c r="I36" s="277"/>
      <c r="J36" s="277"/>
      <c r="K36" s="277"/>
      <c r="L36" s="291"/>
    </row>
    <row r="37" spans="1:12" x14ac:dyDescent="0.25">
      <c r="A37" s="295"/>
      <c r="B37" s="277"/>
      <c r="C37" s="277"/>
      <c r="D37" s="277"/>
      <c r="E37" s="277"/>
      <c r="F37" s="277"/>
      <c r="G37" s="277"/>
      <c r="H37" s="277"/>
      <c r="I37" s="281"/>
      <c r="J37" s="277"/>
      <c r="K37" s="277"/>
      <c r="L37" s="291"/>
    </row>
    <row r="38" spans="1:12" x14ac:dyDescent="0.25">
      <c r="A38" s="295"/>
      <c r="B38" s="277"/>
      <c r="C38" s="277"/>
      <c r="D38" s="277"/>
      <c r="E38" s="277"/>
      <c r="F38" s="277"/>
      <c r="G38" s="277"/>
      <c r="H38" s="277"/>
      <c r="I38" s="277"/>
      <c r="J38" s="277"/>
      <c r="K38" s="282"/>
      <c r="L38" s="293"/>
    </row>
    <row r="39" spans="1:12" x14ac:dyDescent="0.25">
      <c r="A39" s="296"/>
      <c r="B39" s="277"/>
      <c r="C39" s="296"/>
      <c r="D39" s="296"/>
      <c r="E39" s="277"/>
      <c r="F39" s="277"/>
      <c r="G39" s="277"/>
      <c r="H39" s="277"/>
      <c r="I39" s="277"/>
      <c r="J39" s="285"/>
      <c r="K39" s="297"/>
      <c r="L39" s="298"/>
    </row>
    <row r="40" spans="1:12" x14ac:dyDescent="0.25">
      <c r="A40" s="291"/>
      <c r="B40" s="277"/>
      <c r="C40" s="277"/>
      <c r="D40" s="277"/>
      <c r="E40" s="277"/>
      <c r="F40" s="277"/>
      <c r="G40" s="277"/>
      <c r="H40" s="277"/>
      <c r="I40" s="277"/>
      <c r="J40" s="285"/>
      <c r="K40" s="297"/>
      <c r="L40" s="299"/>
    </row>
    <row r="41" spans="1:12" x14ac:dyDescent="0.25">
      <c r="A41" s="281"/>
      <c r="B41" s="277"/>
      <c r="C41" s="277"/>
      <c r="D41" s="277"/>
      <c r="E41" s="277"/>
      <c r="F41" s="277"/>
      <c r="G41" s="277"/>
      <c r="H41" s="277"/>
      <c r="I41" s="277"/>
      <c r="J41" s="300"/>
      <c r="K41" s="297"/>
      <c r="L41" s="299"/>
    </row>
    <row r="42" spans="1:12" x14ac:dyDescent="0.25">
      <c r="A42" s="277"/>
      <c r="B42" s="277"/>
      <c r="C42" s="277"/>
      <c r="D42" s="277"/>
      <c r="E42" s="277"/>
      <c r="F42" s="277"/>
      <c r="G42" s="277"/>
      <c r="H42" s="277"/>
      <c r="I42" s="277"/>
      <c r="J42" s="285"/>
      <c r="K42" s="301"/>
      <c r="L42" s="299"/>
    </row>
    <row r="43" spans="1:12" x14ac:dyDescent="0.25">
      <c r="A43" s="302"/>
      <c r="B43" s="302"/>
      <c r="C43" s="302"/>
      <c r="D43" s="302"/>
      <c r="E43" s="277"/>
      <c r="F43" s="277"/>
      <c r="G43" s="277"/>
      <c r="H43" s="277"/>
      <c r="I43" s="277"/>
      <c r="J43" s="285"/>
      <c r="K43" s="301"/>
      <c r="L43" s="301"/>
    </row>
    <row r="44" spans="1:12" x14ac:dyDescent="0.25">
      <c r="A44" s="277"/>
      <c r="B44" s="294"/>
      <c r="C44" s="282"/>
      <c r="D44" s="303"/>
      <c r="E44" s="294"/>
      <c r="F44" s="294"/>
      <c r="G44" s="294"/>
      <c r="H44" s="277"/>
      <c r="I44" s="277"/>
      <c r="J44" s="277"/>
      <c r="K44" s="277"/>
      <c r="L44" s="277"/>
    </row>
    <row r="45" spans="1:12" x14ac:dyDescent="0.25">
      <c r="A45" s="277"/>
      <c r="B45" s="277"/>
      <c r="C45" s="282"/>
      <c r="D45" s="303"/>
      <c r="E45" s="277"/>
      <c r="F45" s="277"/>
      <c r="G45" s="277"/>
      <c r="H45" s="277"/>
      <c r="I45" s="277"/>
      <c r="J45" s="277"/>
      <c r="K45" s="277"/>
      <c r="L45" s="301"/>
    </row>
    <row r="46" spans="1:12" x14ac:dyDescent="0.25">
      <c r="A46" s="277"/>
      <c r="B46" s="277"/>
      <c r="C46" s="282"/>
      <c r="D46" s="303"/>
      <c r="E46" s="277"/>
      <c r="F46" s="277"/>
      <c r="G46" s="277"/>
      <c r="H46" s="277"/>
      <c r="I46" s="277"/>
      <c r="J46" s="277"/>
      <c r="K46" s="277"/>
      <c r="L46" s="277"/>
    </row>
    <row r="47" spans="1:12" x14ac:dyDescent="0.25">
      <c r="A47" s="277"/>
      <c r="B47" s="277"/>
      <c r="C47" s="282"/>
      <c r="D47" s="303"/>
      <c r="E47" s="277"/>
      <c r="F47" s="277"/>
      <c r="G47" s="277"/>
      <c r="H47" s="277"/>
      <c r="I47" s="281"/>
      <c r="J47" s="277"/>
      <c r="K47" s="277"/>
      <c r="L47" s="277"/>
    </row>
    <row r="48" spans="1:12" x14ac:dyDescent="0.25">
      <c r="A48" s="277"/>
      <c r="B48" s="294"/>
      <c r="C48" s="282"/>
      <c r="D48" s="303"/>
      <c r="E48" s="294"/>
      <c r="F48" s="294"/>
      <c r="G48" s="294"/>
      <c r="H48" s="277"/>
      <c r="I48" s="277"/>
      <c r="J48" s="277"/>
      <c r="K48" s="277"/>
      <c r="L48" s="277"/>
    </row>
    <row r="49" spans="1:12" x14ac:dyDescent="0.25">
      <c r="A49" s="277"/>
      <c r="B49" s="277"/>
      <c r="C49" s="277"/>
      <c r="D49" s="283"/>
      <c r="E49" s="277"/>
      <c r="F49" s="277"/>
      <c r="G49" s="277"/>
      <c r="H49" s="277"/>
      <c r="I49" s="277"/>
      <c r="J49" s="277"/>
      <c r="K49" s="277"/>
      <c r="L49" s="282"/>
    </row>
    <row r="50" spans="1:12" x14ac:dyDescent="0.25">
      <c r="A50" s="294"/>
      <c r="B50" s="277"/>
      <c r="C50" s="277"/>
      <c r="D50" s="277"/>
      <c r="E50" s="277"/>
      <c r="F50" s="277"/>
      <c r="G50" s="277"/>
      <c r="H50" s="277"/>
      <c r="I50" s="277"/>
      <c r="J50" s="277"/>
      <c r="K50" s="277"/>
      <c r="L50" s="277"/>
    </row>
    <row r="51" spans="1:12" x14ac:dyDescent="0.25">
      <c r="A51" s="294"/>
      <c r="B51" s="277"/>
      <c r="C51" s="277"/>
      <c r="D51" s="277"/>
      <c r="E51" s="277"/>
      <c r="F51" s="277"/>
      <c r="G51" s="277"/>
      <c r="H51" s="277"/>
      <c r="I51" s="277"/>
      <c r="J51" s="277"/>
      <c r="K51" s="277"/>
      <c r="L51" s="277"/>
    </row>
    <row r="52" spans="1:12" x14ac:dyDescent="0.25">
      <c r="A52" s="294"/>
      <c r="B52" s="277"/>
      <c r="C52" s="277"/>
      <c r="D52" s="277"/>
      <c r="E52" s="277"/>
      <c r="F52" s="277"/>
      <c r="G52" s="277"/>
      <c r="H52" s="277"/>
      <c r="I52" s="277"/>
      <c r="J52" s="277"/>
      <c r="K52" s="277"/>
      <c r="L52" s="277"/>
    </row>
    <row r="53" spans="1:12" x14ac:dyDescent="0.25">
      <c r="A53" s="294"/>
      <c r="B53" s="277"/>
      <c r="C53" s="277"/>
      <c r="D53" s="277"/>
      <c r="E53" s="277"/>
      <c r="F53" s="277"/>
      <c r="G53" s="277"/>
      <c r="H53" s="277"/>
      <c r="I53" s="281"/>
      <c r="J53" s="277"/>
      <c r="K53" s="277"/>
      <c r="L53" s="277"/>
    </row>
    <row r="54" spans="1:12" x14ac:dyDescent="0.25">
      <c r="A54" s="277"/>
      <c r="B54" s="277"/>
      <c r="C54" s="277"/>
      <c r="D54" s="277"/>
      <c r="E54" s="277"/>
      <c r="F54" s="277"/>
      <c r="G54" s="277"/>
      <c r="H54" s="277"/>
      <c r="I54" s="277"/>
      <c r="J54" s="277"/>
      <c r="K54" s="277"/>
      <c r="L54" s="277"/>
    </row>
    <row r="55" spans="1:12" x14ac:dyDescent="0.25">
      <c r="A55" s="277"/>
      <c r="B55" s="285"/>
      <c r="C55" s="304"/>
      <c r="D55" s="285"/>
      <c r="E55" s="285"/>
      <c r="F55" s="277"/>
      <c r="G55" s="277"/>
      <c r="H55" s="277"/>
      <c r="I55" s="277"/>
      <c r="J55" s="282"/>
      <c r="K55" s="277"/>
      <c r="L55" s="277"/>
    </row>
    <row r="56" spans="1:12" x14ac:dyDescent="0.25">
      <c r="A56" s="281"/>
      <c r="B56" s="282"/>
      <c r="C56" s="282"/>
      <c r="D56" s="305"/>
      <c r="E56" s="285"/>
      <c r="F56" s="277"/>
      <c r="G56" s="277"/>
      <c r="H56" s="277"/>
      <c r="I56" s="277"/>
      <c r="J56" s="282"/>
      <c r="K56" s="277"/>
      <c r="L56" s="277"/>
    </row>
    <row r="57" spans="1:12" x14ac:dyDescent="0.25">
      <c r="A57" s="281"/>
      <c r="B57" s="282"/>
      <c r="C57" s="282"/>
      <c r="D57" s="305"/>
      <c r="E57" s="285"/>
      <c r="F57" s="277"/>
      <c r="G57" s="277"/>
      <c r="H57" s="277"/>
      <c r="I57" s="306"/>
      <c r="J57" s="307"/>
      <c r="K57" s="277"/>
      <c r="L57" s="277"/>
    </row>
    <row r="58" spans="1:12" x14ac:dyDescent="0.25">
      <c r="A58" s="281"/>
      <c r="B58" s="282"/>
      <c r="C58" s="282"/>
      <c r="D58" s="305"/>
      <c r="E58" s="285"/>
      <c r="F58" s="277"/>
      <c r="G58" s="277"/>
      <c r="H58" s="277"/>
      <c r="I58" s="277"/>
      <c r="J58" s="277"/>
      <c r="K58" s="277"/>
      <c r="L58" s="277"/>
    </row>
    <row r="59" spans="1:12" x14ac:dyDescent="0.25">
      <c r="A59" s="308"/>
      <c r="B59" s="308"/>
      <c r="C59" s="308"/>
      <c r="D59" s="308"/>
      <c r="E59" s="308"/>
      <c r="F59" s="308"/>
      <c r="G59" s="308"/>
      <c r="H59" s="308"/>
      <c r="I59" s="308"/>
      <c r="J59" s="308"/>
      <c r="K59" s="308"/>
      <c r="L59" s="308"/>
    </row>
    <row r="60" spans="1:12" x14ac:dyDescent="0.25">
      <c r="A60" s="309"/>
      <c r="B60" s="309"/>
      <c r="C60" s="309"/>
      <c r="D60" s="310"/>
      <c r="E60" s="310"/>
      <c r="F60" s="310"/>
      <c r="G60" s="310"/>
      <c r="H60" s="310"/>
      <c r="I60" s="310"/>
      <c r="J60" s="277"/>
      <c r="K60" s="277"/>
      <c r="L60" s="277"/>
    </row>
    <row r="61" spans="1:12" x14ac:dyDescent="0.25">
      <c r="A61" s="294"/>
      <c r="B61" s="277"/>
      <c r="C61" s="277"/>
      <c r="D61" s="277"/>
      <c r="E61" s="277"/>
      <c r="F61" s="277"/>
      <c r="G61" s="277"/>
      <c r="H61" s="277"/>
      <c r="I61" s="281"/>
      <c r="J61" s="277"/>
      <c r="K61" s="277"/>
      <c r="L61" s="277"/>
    </row>
    <row r="62" spans="1:12" x14ac:dyDescent="0.25">
      <c r="A62" s="277"/>
      <c r="B62" s="277"/>
      <c r="C62" s="277"/>
      <c r="D62" s="277"/>
      <c r="E62" s="277"/>
      <c r="F62" s="277"/>
      <c r="G62" s="277"/>
      <c r="H62" s="277"/>
      <c r="I62" s="277"/>
      <c r="J62" s="277"/>
      <c r="K62" s="277"/>
      <c r="L62" s="277"/>
    </row>
    <row r="63" spans="1:12" x14ac:dyDescent="0.25">
      <c r="A63" s="277"/>
      <c r="B63" s="282"/>
      <c r="C63" s="277"/>
      <c r="D63" s="277"/>
      <c r="E63" s="277"/>
      <c r="F63" s="277"/>
      <c r="G63" s="277"/>
      <c r="H63" s="277"/>
      <c r="I63" s="277"/>
      <c r="J63" s="311"/>
      <c r="K63" s="277"/>
      <c r="L63" s="277"/>
    </row>
    <row r="64" spans="1:12" x14ac:dyDescent="0.25">
      <c r="A64" s="277"/>
      <c r="B64" s="282"/>
      <c r="C64" s="277"/>
      <c r="D64" s="303"/>
      <c r="E64" s="294"/>
      <c r="F64" s="294"/>
      <c r="G64" s="277"/>
      <c r="H64" s="277"/>
      <c r="I64" s="277"/>
      <c r="J64" s="311"/>
      <c r="K64" s="277"/>
      <c r="L64" s="277"/>
    </row>
    <row r="65" spans="1:12" x14ac:dyDescent="0.25">
      <c r="A65" s="309"/>
      <c r="B65" s="309"/>
      <c r="C65" s="309"/>
      <c r="D65" s="277"/>
      <c r="E65" s="277"/>
      <c r="F65" s="277"/>
      <c r="G65" s="277"/>
      <c r="H65" s="277"/>
      <c r="I65" s="277"/>
      <c r="J65" s="311"/>
      <c r="K65" s="277"/>
      <c r="L65" s="277"/>
    </row>
    <row r="66" spans="1:12" x14ac:dyDescent="0.25">
      <c r="A66" s="309"/>
      <c r="B66" s="309"/>
      <c r="C66" s="309"/>
      <c r="D66" s="277"/>
      <c r="E66" s="277"/>
      <c r="F66" s="277"/>
      <c r="G66" s="277"/>
      <c r="H66" s="277"/>
      <c r="I66" s="277"/>
      <c r="J66" s="277"/>
      <c r="K66" s="277"/>
      <c r="L66" s="277"/>
    </row>
    <row r="67" spans="1:12" x14ac:dyDescent="0.25">
      <c r="A67" s="281"/>
      <c r="B67" s="277"/>
      <c r="C67" s="277"/>
      <c r="D67" s="277"/>
      <c r="E67" s="277"/>
      <c r="F67" s="277"/>
      <c r="G67" s="277"/>
      <c r="H67" s="277"/>
      <c r="I67" s="294"/>
      <c r="J67" s="277"/>
      <c r="K67" s="277"/>
      <c r="L67" s="277"/>
    </row>
    <row r="68" spans="1:12" x14ac:dyDescent="0.25">
      <c r="A68" s="277"/>
      <c r="B68" s="277"/>
      <c r="C68" s="277"/>
      <c r="D68" s="277"/>
      <c r="E68" s="277"/>
      <c r="F68" s="277"/>
      <c r="G68" s="277"/>
      <c r="H68" s="277"/>
      <c r="I68" s="294"/>
      <c r="J68" s="277"/>
      <c r="K68" s="277"/>
      <c r="L68" s="277"/>
    </row>
    <row r="69" spans="1:12" x14ac:dyDescent="0.25">
      <c r="A69" s="277"/>
      <c r="B69" s="277"/>
      <c r="C69" s="277"/>
      <c r="D69" s="277"/>
      <c r="E69" s="277"/>
      <c r="F69" s="277"/>
      <c r="G69" s="277"/>
      <c r="H69" s="277"/>
      <c r="I69" s="277"/>
      <c r="J69" s="301"/>
      <c r="K69" s="301"/>
      <c r="L69" s="277"/>
    </row>
    <row r="70" spans="1:12" x14ac:dyDescent="0.25">
      <c r="A70" s="277"/>
      <c r="B70" s="282"/>
      <c r="C70" s="277"/>
      <c r="D70" s="294"/>
      <c r="E70" s="294"/>
      <c r="F70" s="294"/>
      <c r="G70" s="294"/>
      <c r="H70" s="277"/>
      <c r="I70" s="277"/>
      <c r="J70" s="301"/>
      <c r="K70" s="301"/>
      <c r="L70" s="277"/>
    </row>
    <row r="71" spans="1:12" x14ac:dyDescent="0.25">
      <c r="A71" s="277"/>
      <c r="B71" s="277"/>
      <c r="C71" s="277"/>
      <c r="D71" s="277"/>
      <c r="E71" s="277"/>
      <c r="F71" s="277"/>
      <c r="G71" s="277"/>
      <c r="H71" s="277"/>
      <c r="I71" s="277"/>
      <c r="J71" s="301"/>
      <c r="K71" s="301"/>
      <c r="L71" s="277"/>
    </row>
    <row r="72" spans="1:12" x14ac:dyDescent="0.25">
      <c r="A72" s="277"/>
      <c r="B72" s="277"/>
      <c r="C72" s="277"/>
      <c r="D72" s="277"/>
      <c r="E72" s="277"/>
      <c r="F72" s="277"/>
      <c r="G72" s="277"/>
      <c r="H72" s="277"/>
      <c r="I72" s="277"/>
      <c r="J72" s="301"/>
      <c r="K72" s="301"/>
      <c r="L72" s="277"/>
    </row>
    <row r="73" spans="1:12" x14ac:dyDescent="0.25">
      <c r="A73" s="277"/>
      <c r="B73" s="277"/>
      <c r="C73" s="277"/>
      <c r="D73" s="277"/>
      <c r="E73" s="277"/>
      <c r="F73" s="277"/>
      <c r="G73" s="277"/>
      <c r="H73" s="277"/>
      <c r="I73" s="306"/>
      <c r="J73" s="312"/>
      <c r="K73" s="313"/>
      <c r="L73" s="277"/>
    </row>
    <row r="74" spans="1:12" x14ac:dyDescent="0.25">
      <c r="A74" s="281"/>
      <c r="B74" s="277"/>
      <c r="C74" s="277"/>
      <c r="D74" s="277"/>
      <c r="E74" s="277"/>
      <c r="F74" s="277"/>
      <c r="G74" s="277"/>
      <c r="H74" s="277"/>
      <c r="I74" s="277"/>
      <c r="J74" s="277"/>
      <c r="K74" s="277"/>
      <c r="L74" s="277"/>
    </row>
    <row r="75" spans="1:12" x14ac:dyDescent="0.25">
      <c r="A75" s="281"/>
      <c r="B75" s="277"/>
      <c r="C75" s="277"/>
      <c r="D75" s="277"/>
      <c r="E75" s="277"/>
      <c r="F75" s="277"/>
      <c r="G75" s="277"/>
      <c r="H75" s="277"/>
      <c r="I75" s="294"/>
      <c r="J75" s="277"/>
      <c r="K75" s="277"/>
      <c r="L75" s="277"/>
    </row>
    <row r="76" spans="1:12" x14ac:dyDescent="0.25">
      <c r="A76" s="314"/>
      <c r="B76" s="277"/>
      <c r="C76" s="277"/>
      <c r="D76" s="277"/>
      <c r="E76" s="277"/>
      <c r="F76" s="277"/>
      <c r="G76" s="277"/>
      <c r="H76" s="277"/>
      <c r="I76" s="277"/>
      <c r="J76" s="277"/>
      <c r="K76" s="277"/>
      <c r="L76" s="277"/>
    </row>
    <row r="77" spans="1:12" x14ac:dyDescent="0.25">
      <c r="A77" s="294"/>
      <c r="B77" s="277"/>
      <c r="C77" s="277"/>
      <c r="D77" s="277"/>
      <c r="E77" s="277"/>
      <c r="F77" s="277"/>
      <c r="G77" s="277"/>
      <c r="H77" s="277"/>
      <c r="I77" s="277"/>
      <c r="J77" s="277"/>
      <c r="K77" s="277"/>
      <c r="L77" s="277"/>
    </row>
    <row r="78" spans="1:12" x14ac:dyDescent="0.25">
      <c r="A78" s="315"/>
      <c r="B78" s="316"/>
      <c r="C78" s="277"/>
      <c r="D78" s="277"/>
      <c r="E78" s="277"/>
      <c r="F78" s="277"/>
      <c r="G78" s="277"/>
      <c r="H78" s="277"/>
      <c r="I78" s="277"/>
      <c r="J78" s="301"/>
      <c r="K78" s="277"/>
      <c r="L78" s="277"/>
    </row>
    <row r="79" spans="1:12" x14ac:dyDescent="0.25">
      <c r="A79" s="317"/>
      <c r="B79" s="282"/>
      <c r="C79" s="277"/>
      <c r="D79" s="277"/>
      <c r="E79" s="277"/>
      <c r="F79" s="277"/>
      <c r="G79" s="277"/>
      <c r="H79" s="277"/>
      <c r="I79" s="277"/>
      <c r="J79" s="301"/>
      <c r="K79" s="277"/>
      <c r="L79" s="277"/>
    </row>
    <row r="80" spans="1:12" x14ac:dyDescent="0.25">
      <c r="A80" s="317"/>
      <c r="B80" s="282"/>
      <c r="C80" s="277"/>
      <c r="D80" s="277"/>
      <c r="E80" s="277"/>
      <c r="F80" s="277"/>
      <c r="G80" s="277"/>
      <c r="H80" s="277"/>
      <c r="I80" s="277"/>
      <c r="J80" s="301"/>
      <c r="K80" s="277"/>
      <c r="L80" s="277"/>
    </row>
    <row r="81" spans="1:12" x14ac:dyDescent="0.25">
      <c r="A81" s="317"/>
      <c r="B81" s="282"/>
      <c r="C81" s="277"/>
      <c r="D81" s="277"/>
      <c r="E81" s="277"/>
      <c r="F81" s="277"/>
      <c r="G81" s="277"/>
      <c r="H81" s="277"/>
      <c r="I81" s="277"/>
      <c r="J81" s="301"/>
      <c r="K81" s="277"/>
      <c r="L81" s="277"/>
    </row>
    <row r="82" spans="1:12" x14ac:dyDescent="0.25">
      <c r="A82" s="317"/>
      <c r="B82" s="277"/>
      <c r="C82" s="277"/>
      <c r="D82" s="277"/>
      <c r="E82" s="277"/>
      <c r="F82" s="277"/>
      <c r="G82" s="277"/>
      <c r="H82" s="277"/>
      <c r="I82" s="277"/>
      <c r="J82" s="301"/>
      <c r="K82" s="277"/>
      <c r="L82" s="277"/>
    </row>
    <row r="83" spans="1:12" x14ac:dyDescent="0.25">
      <c r="A83" s="318"/>
      <c r="B83" s="307"/>
      <c r="C83" s="277"/>
      <c r="D83" s="277"/>
      <c r="E83" s="277"/>
      <c r="F83" s="277"/>
      <c r="G83" s="277"/>
      <c r="H83" s="277"/>
      <c r="I83" s="277"/>
      <c r="J83" s="301"/>
      <c r="K83" s="277"/>
      <c r="L83" s="277"/>
    </row>
    <row r="84" spans="1:12" ht="20.25" x14ac:dyDescent="0.3">
      <c r="A84" s="278"/>
      <c r="B84" s="278"/>
      <c r="C84" s="278"/>
      <c r="D84" s="278"/>
      <c r="E84" s="278"/>
      <c r="F84" s="278"/>
      <c r="G84" s="278"/>
      <c r="H84" s="278"/>
      <c r="I84" s="278"/>
      <c r="J84" s="278"/>
      <c r="K84" s="278"/>
      <c r="L84" s="278"/>
    </row>
    <row r="85" spans="1:12" x14ac:dyDescent="0.25">
      <c r="A85" s="277"/>
      <c r="B85" s="277"/>
      <c r="C85" s="277"/>
      <c r="D85" s="277"/>
      <c r="E85" s="277"/>
      <c r="F85" s="277"/>
      <c r="G85" s="277"/>
      <c r="H85" s="277"/>
      <c r="I85" s="277"/>
      <c r="J85" s="277"/>
      <c r="K85" s="277"/>
      <c r="L85" s="277"/>
    </row>
    <row r="86" spans="1:12" x14ac:dyDescent="0.25">
      <c r="A86" s="319"/>
    </row>
  </sheetData>
  <mergeCells count="2">
    <mergeCell ref="J4:K4"/>
    <mergeCell ref="A7:Q7"/>
  </mergeCells>
  <pageMargins left="0.7" right="0.7" top="0.75" bottom="0.75" header="0.3" footer="0.3"/>
  <pageSetup paperSize="9" orientation="portrait" horizontalDpi="4294967293"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39997558519241921"/>
  </sheetPr>
  <dimension ref="A2:N35"/>
  <sheetViews>
    <sheetView showGridLines="0" zoomScale="80" zoomScaleNormal="80" workbookViewId="0">
      <selection activeCell="C29" sqref="C29"/>
    </sheetView>
  </sheetViews>
  <sheetFormatPr baseColWidth="10" defaultRowHeight="15" x14ac:dyDescent="0.25"/>
  <cols>
    <col min="1" max="1" width="11.42578125" style="320"/>
    <col min="2" max="2" width="32.140625" style="320" bestFit="1" customWidth="1"/>
    <col min="3" max="3" width="11.42578125" style="320" bestFit="1"/>
    <col min="4" max="4" width="14.140625" style="320" bestFit="1" customWidth="1"/>
    <col min="5" max="5" width="18" style="320" customWidth="1"/>
    <col min="6" max="6" width="20.7109375" style="320" customWidth="1"/>
    <col min="7" max="14" width="11.42578125" style="320"/>
  </cols>
  <sheetData>
    <row r="2" spans="1:14" x14ac:dyDescent="0.25">
      <c r="C2" s="321"/>
      <c r="D2" s="1357" t="s">
        <v>191</v>
      </c>
      <c r="E2" s="1357"/>
      <c r="F2" s="1357"/>
      <c r="G2" s="321"/>
      <c r="H2" s="321"/>
    </row>
    <row r="3" spans="1:14" x14ac:dyDescent="0.25">
      <c r="C3" s="322"/>
      <c r="D3" s="323"/>
      <c r="E3" s="323"/>
      <c r="F3" s="323"/>
      <c r="G3" s="323"/>
      <c r="H3" s="323"/>
    </row>
    <row r="4" spans="1:14" ht="15.75" x14ac:dyDescent="0.25">
      <c r="C4" s="322"/>
      <c r="D4" s="324" t="s">
        <v>1</v>
      </c>
      <c r="E4" s="1358" t="s">
        <v>35</v>
      </c>
      <c r="F4" s="1359"/>
      <c r="G4" s="321"/>
      <c r="H4" s="321"/>
    </row>
    <row r="5" spans="1:14" x14ac:dyDescent="0.25">
      <c r="C5" s="325"/>
      <c r="D5" s="321"/>
      <c r="E5" s="321"/>
      <c r="F5" s="321"/>
      <c r="G5" s="321"/>
      <c r="H5" s="321"/>
    </row>
    <row r="7" spans="1:14" x14ac:dyDescent="0.25">
      <c r="B7" s="1333" t="s">
        <v>192</v>
      </c>
      <c r="C7" s="1334"/>
      <c r="D7" s="1334"/>
      <c r="E7" s="1334"/>
      <c r="F7" s="1334"/>
      <c r="G7" s="1334"/>
      <c r="H7" s="1334"/>
      <c r="I7" s="1334"/>
      <c r="J7" s="1334"/>
      <c r="K7" s="1334"/>
      <c r="L7" s="1334"/>
      <c r="M7" s="1335"/>
    </row>
    <row r="8" spans="1:14" x14ac:dyDescent="0.25">
      <c r="B8" s="1336"/>
      <c r="C8" s="1337"/>
      <c r="D8" s="1337"/>
      <c r="E8" s="1337"/>
      <c r="F8" s="1337"/>
      <c r="G8" s="1337"/>
      <c r="H8" s="1337"/>
      <c r="I8" s="1337"/>
      <c r="J8" s="1337"/>
      <c r="K8" s="1337"/>
      <c r="L8" s="1337"/>
      <c r="M8" s="1338"/>
    </row>
    <row r="9" spans="1:14" x14ac:dyDescent="0.25">
      <c r="B9" s="1336"/>
      <c r="C9" s="1337"/>
      <c r="D9" s="1337"/>
      <c r="E9" s="1337"/>
      <c r="F9" s="1337"/>
      <c r="G9" s="1337"/>
      <c r="H9" s="1337"/>
      <c r="I9" s="1337"/>
      <c r="J9" s="1337"/>
      <c r="K9" s="1337"/>
      <c r="L9" s="1337"/>
      <c r="M9" s="1338"/>
    </row>
    <row r="10" spans="1:14" x14ac:dyDescent="0.25">
      <c r="B10" s="1360"/>
      <c r="C10" s="1340"/>
      <c r="D10" s="1340"/>
      <c r="E10" s="1340"/>
      <c r="F10" s="1340"/>
      <c r="G10" s="1340"/>
      <c r="H10" s="1340"/>
      <c r="I10" s="1340"/>
      <c r="J10" s="1340"/>
      <c r="K10" s="1340"/>
      <c r="L10" s="1340"/>
      <c r="M10" s="1361"/>
    </row>
    <row r="12" spans="1:14" ht="15.75" x14ac:dyDescent="0.25">
      <c r="B12" s="1362" t="s">
        <v>193</v>
      </c>
      <c r="C12" s="1362"/>
      <c r="D12" s="1362"/>
      <c r="E12" s="326"/>
    </row>
    <row r="14" spans="1:14" x14ac:dyDescent="0.25">
      <c r="A14" s="300"/>
      <c r="B14" s="327" t="s">
        <v>194</v>
      </c>
      <c r="C14" s="327" t="s">
        <v>195</v>
      </c>
      <c r="D14" s="327" t="s">
        <v>69</v>
      </c>
      <c r="E14" s="327" t="s">
        <v>70</v>
      </c>
      <c r="F14" s="300"/>
      <c r="G14" s="300"/>
      <c r="H14" s="300"/>
      <c r="I14" s="300"/>
      <c r="J14" s="300"/>
      <c r="K14" s="300"/>
      <c r="L14" s="300"/>
      <c r="M14" s="300"/>
      <c r="N14" s="300"/>
    </row>
    <row r="15" spans="1:14" x14ac:dyDescent="0.25">
      <c r="B15" s="328" t="s">
        <v>295</v>
      </c>
      <c r="C15" s="329">
        <v>288</v>
      </c>
      <c r="D15" s="330">
        <v>381</v>
      </c>
      <c r="E15" s="331">
        <f>C15*D15</f>
        <v>109728</v>
      </c>
    </row>
    <row r="16" spans="1:14" x14ac:dyDescent="0.25">
      <c r="B16" s="328" t="s">
        <v>296</v>
      </c>
      <c r="C16" s="329">
        <v>270</v>
      </c>
      <c r="D16" s="330">
        <v>381</v>
      </c>
      <c r="E16" s="331">
        <f t="shared" ref="E16:E27" si="0">C16*D16</f>
        <v>102870</v>
      </c>
    </row>
    <row r="17" spans="2:13" x14ac:dyDescent="0.25">
      <c r="B17" s="328" t="s">
        <v>297</v>
      </c>
      <c r="C17" s="329">
        <v>338</v>
      </c>
      <c r="D17" s="330">
        <v>381</v>
      </c>
      <c r="E17" s="331">
        <f t="shared" si="0"/>
        <v>128778</v>
      </c>
    </row>
    <row r="18" spans="2:13" x14ac:dyDescent="0.25">
      <c r="B18" s="328" t="s">
        <v>307</v>
      </c>
      <c r="C18" s="329">
        <v>63</v>
      </c>
      <c r="D18" s="330">
        <v>381</v>
      </c>
      <c r="E18" s="331">
        <f t="shared" si="0"/>
        <v>24003</v>
      </c>
    </row>
    <row r="19" spans="2:13" x14ac:dyDescent="0.25">
      <c r="B19" s="328" t="s">
        <v>308</v>
      </c>
      <c r="C19" s="329">
        <v>63</v>
      </c>
      <c r="D19" s="330">
        <v>381</v>
      </c>
      <c r="E19" s="331">
        <f t="shared" si="0"/>
        <v>24003</v>
      </c>
    </row>
    <row r="20" spans="2:13" x14ac:dyDescent="0.25">
      <c r="B20" s="328" t="s">
        <v>309</v>
      </c>
      <c r="C20" s="329">
        <v>262</v>
      </c>
      <c r="D20" s="330">
        <v>381</v>
      </c>
      <c r="E20" s="331">
        <f t="shared" si="0"/>
        <v>99822</v>
      </c>
    </row>
    <row r="21" spans="2:13" x14ac:dyDescent="0.25">
      <c r="B21" s="328" t="s">
        <v>310</v>
      </c>
      <c r="C21" s="329">
        <v>420</v>
      </c>
      <c r="D21" s="330">
        <v>381</v>
      </c>
      <c r="E21" s="331">
        <f t="shared" si="0"/>
        <v>160020</v>
      </c>
    </row>
    <row r="22" spans="2:13" x14ac:dyDescent="0.25">
      <c r="B22" s="328" t="s">
        <v>311</v>
      </c>
      <c r="C22" s="329">
        <v>210</v>
      </c>
      <c r="D22" s="330">
        <v>381</v>
      </c>
      <c r="E22" s="331">
        <f t="shared" si="0"/>
        <v>80010</v>
      </c>
    </row>
    <row r="23" spans="2:13" x14ac:dyDescent="0.25">
      <c r="B23" s="328" t="s">
        <v>312</v>
      </c>
      <c r="C23" s="329">
        <v>262</v>
      </c>
      <c r="D23" s="330">
        <v>381</v>
      </c>
      <c r="E23" s="331">
        <f t="shared" si="0"/>
        <v>99822</v>
      </c>
      <c r="I23"/>
      <c r="K23"/>
      <c r="M23"/>
    </row>
    <row r="24" spans="2:13" x14ac:dyDescent="0.25">
      <c r="B24" s="328" t="s">
        <v>362</v>
      </c>
      <c r="C24" s="329">
        <v>500</v>
      </c>
      <c r="D24" s="330">
        <v>381</v>
      </c>
      <c r="E24" s="331">
        <f t="shared" si="0"/>
        <v>190500</v>
      </c>
      <c r="I24"/>
      <c r="K24"/>
      <c r="M24"/>
    </row>
    <row r="25" spans="2:13" x14ac:dyDescent="0.25">
      <c r="B25" s="328" t="s">
        <v>363</v>
      </c>
      <c r="C25" s="329">
        <v>800</v>
      </c>
      <c r="D25" s="330">
        <v>381</v>
      </c>
      <c r="E25" s="331">
        <f t="shared" si="0"/>
        <v>304800</v>
      </c>
      <c r="I25"/>
      <c r="K25"/>
      <c r="M25"/>
    </row>
    <row r="26" spans="2:13" x14ac:dyDescent="0.25">
      <c r="B26" s="328"/>
      <c r="C26" s="329"/>
      <c r="D26" s="330"/>
      <c r="E26" s="331">
        <f t="shared" si="0"/>
        <v>0</v>
      </c>
      <c r="I26"/>
      <c r="K26"/>
      <c r="M26"/>
    </row>
    <row r="27" spans="2:13" x14ac:dyDescent="0.25">
      <c r="B27" s="328"/>
      <c r="C27" s="329"/>
      <c r="D27" s="330"/>
      <c r="E27" s="331">
        <f t="shared" si="0"/>
        <v>0</v>
      </c>
      <c r="I27"/>
      <c r="K27"/>
      <c r="M27"/>
    </row>
    <row r="28" spans="2:13" ht="15.75" thickBot="1" x14ac:dyDescent="0.3">
      <c r="I28"/>
      <c r="K28"/>
      <c r="M28"/>
    </row>
    <row r="29" spans="2:13" ht="15.75" thickBot="1" x14ac:dyDescent="0.3">
      <c r="C29" s="1023">
        <f>SUM(C15:C28)</f>
        <v>3476</v>
      </c>
      <c r="D29" s="332" t="s">
        <v>70</v>
      </c>
      <c r="E29" s="333">
        <f>SUM(E15:E27)</f>
        <v>1324356</v>
      </c>
      <c r="I29"/>
      <c r="K29"/>
      <c r="M29"/>
    </row>
    <row r="30" spans="2:13" x14ac:dyDescent="0.25">
      <c r="I30"/>
      <c r="K30"/>
      <c r="M30"/>
    </row>
    <row r="31" spans="2:13" x14ac:dyDescent="0.25">
      <c r="I31"/>
      <c r="K31"/>
      <c r="M31"/>
    </row>
    <row r="32" spans="2:13" x14ac:dyDescent="0.25">
      <c r="B32" s="320" t="s">
        <v>364</v>
      </c>
      <c r="I32"/>
      <c r="K32"/>
      <c r="M32"/>
    </row>
    <row r="33" spans="9:13" x14ac:dyDescent="0.25">
      <c r="I33"/>
      <c r="K33"/>
      <c r="M33"/>
    </row>
    <row r="34" spans="9:13" x14ac:dyDescent="0.25">
      <c r="I34"/>
      <c r="K34"/>
      <c r="M34"/>
    </row>
    <row r="35" spans="9:13" x14ac:dyDescent="0.25">
      <c r="I35"/>
      <c r="K35"/>
      <c r="M35"/>
    </row>
  </sheetData>
  <mergeCells count="4">
    <mergeCell ref="D2:F2"/>
    <mergeCell ref="E4:F4"/>
    <mergeCell ref="B7:M10"/>
    <mergeCell ref="B12:D12"/>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tint="-0.249977111117893"/>
  </sheetPr>
  <dimension ref="A1:R62"/>
  <sheetViews>
    <sheetView showGridLines="0" zoomScale="80" zoomScaleNormal="80" workbookViewId="0">
      <pane xSplit="2" topLeftCell="C1" activePane="topRight" state="frozen"/>
      <selection activeCell="A7" sqref="A7"/>
      <selection pane="topRight" activeCell="A66" sqref="A66"/>
    </sheetView>
  </sheetViews>
  <sheetFormatPr baseColWidth="10" defaultRowHeight="15" x14ac:dyDescent="0.25"/>
  <cols>
    <col min="1" max="1" width="11.42578125" style="320"/>
    <col min="2" max="2" width="60.7109375" style="320" customWidth="1"/>
    <col min="3" max="4" width="17.7109375" style="320" bestFit="1" customWidth="1"/>
    <col min="5" max="5" width="17.28515625" style="320" bestFit="1" customWidth="1"/>
    <col min="6" max="6" width="18.28515625" style="320" bestFit="1" customWidth="1"/>
    <col min="7" max="7" width="17.28515625" style="320" bestFit="1" customWidth="1"/>
    <col min="8" max="8" width="17.7109375" style="320" bestFit="1" customWidth="1"/>
    <col min="9" max="9" width="18.7109375" style="320" bestFit="1" customWidth="1"/>
    <col min="10" max="10" width="17.7109375" style="320" bestFit="1" customWidth="1"/>
    <col min="11" max="11" width="19.140625" style="320" bestFit="1" customWidth="1"/>
    <col min="12" max="12" width="17.28515625" style="320" bestFit="1" customWidth="1"/>
    <col min="13" max="14" width="17.7109375" style="320" bestFit="1" customWidth="1"/>
    <col min="15" max="15" width="21.5703125" style="320" bestFit="1" customWidth="1"/>
    <col min="16" max="16" width="14.42578125" hidden="1" customWidth="1"/>
    <col min="17" max="17" width="30.5703125" hidden="1" customWidth="1"/>
    <col min="18" max="18" width="13.85546875" bestFit="1" customWidth="1"/>
  </cols>
  <sheetData>
    <row r="1" spans="2:18" x14ac:dyDescent="0.25">
      <c r="B1" s="274"/>
      <c r="C1" s="274"/>
      <c r="D1" s="275"/>
      <c r="E1" s="404"/>
      <c r="F1" s="275"/>
      <c r="G1" s="274"/>
    </row>
    <row r="2" spans="2:18" x14ac:dyDescent="0.25">
      <c r="B2" s="274"/>
      <c r="C2" s="274"/>
      <c r="D2" s="275"/>
      <c r="E2" s="404"/>
      <c r="F2" s="275"/>
      <c r="G2" s="274"/>
    </row>
    <row r="3" spans="2:18" x14ac:dyDescent="0.25">
      <c r="B3" s="274"/>
      <c r="C3" s="274"/>
      <c r="D3" s="274"/>
      <c r="E3" s="274"/>
      <c r="F3" s="274"/>
      <c r="G3" s="274"/>
    </row>
    <row r="4" spans="2:18" ht="15.75" x14ac:dyDescent="0.25">
      <c r="B4" s="334" t="s">
        <v>196</v>
      </c>
      <c r="C4" s="1331" t="s">
        <v>35</v>
      </c>
      <c r="D4" s="1332"/>
      <c r="E4" s="1363"/>
      <c r="F4" s="1363"/>
      <c r="G4" s="274"/>
    </row>
    <row r="5" spans="2:18" x14ac:dyDescent="0.25">
      <c r="C5"/>
      <c r="D5"/>
    </row>
    <row r="6" spans="2:18" x14ac:dyDescent="0.25">
      <c r="B6" s="1364" t="s">
        <v>284</v>
      </c>
      <c r="C6" s="1364"/>
      <c r="D6" s="1364"/>
      <c r="E6" s="1364"/>
      <c r="F6" s="1364"/>
      <c r="G6" s="1364"/>
      <c r="H6" s="1364"/>
      <c r="I6" s="1364"/>
      <c r="J6" s="1364"/>
      <c r="K6" s="1364"/>
    </row>
    <row r="7" spans="2:18" ht="15.75" thickBot="1" x14ac:dyDescent="0.3">
      <c r="F7" s="335"/>
      <c r="G7" s="335"/>
      <c r="H7" s="335"/>
      <c r="I7" s="335"/>
      <c r="J7" s="335"/>
      <c r="K7" s="335"/>
      <c r="L7" s="335"/>
      <c r="M7" s="335"/>
      <c r="N7" s="335"/>
    </row>
    <row r="8" spans="2:18" ht="15.75" thickBot="1" x14ac:dyDescent="0.3">
      <c r="B8" s="625" t="s">
        <v>197</v>
      </c>
      <c r="C8" s="626" t="s">
        <v>198</v>
      </c>
      <c r="D8" s="626" t="s">
        <v>199</v>
      </c>
      <c r="E8" s="626" t="s">
        <v>200</v>
      </c>
      <c r="F8" s="626" t="s">
        <v>201</v>
      </c>
      <c r="G8" s="626" t="s">
        <v>202</v>
      </c>
      <c r="H8" s="626" t="s">
        <v>203</v>
      </c>
      <c r="I8" s="626" t="s">
        <v>204</v>
      </c>
      <c r="J8" s="627" t="s">
        <v>205</v>
      </c>
      <c r="K8" s="626" t="s">
        <v>206</v>
      </c>
      <c r="L8" s="626" t="s">
        <v>207</v>
      </c>
      <c r="M8" s="626" t="s">
        <v>208</v>
      </c>
      <c r="N8" s="626" t="s">
        <v>209</v>
      </c>
      <c r="O8" s="628" t="s">
        <v>313</v>
      </c>
      <c r="P8" s="552"/>
      <c r="Q8" s="553" t="s">
        <v>288</v>
      </c>
      <c r="R8" s="699"/>
    </row>
    <row r="9" spans="2:18" x14ac:dyDescent="0.25">
      <c r="B9" s="622" t="s">
        <v>211</v>
      </c>
      <c r="C9" s="623">
        <f>'A) Resumen Ingresos y Egresos'!$D$9*'J)Estructura Económica Mensual'!C16</f>
        <v>3641842.3711312651</v>
      </c>
      <c r="D9" s="623">
        <f>'A) Resumen Ingresos y Egresos'!$D$9*'J)Estructura Económica Mensual'!D16</f>
        <v>4620432.206288158</v>
      </c>
      <c r="E9" s="623">
        <f>'A) Resumen Ingresos y Egresos'!$D$9*'J)Estructura Económica Mensual'!E16</f>
        <v>5553806.2213940937</v>
      </c>
      <c r="F9" s="623">
        <f>'A) Resumen Ingresos y Egresos'!$D$9*'J)Estructura Económica Mensual'!F16</f>
        <v>6259471.7373244921</v>
      </c>
      <c r="G9" s="623">
        <f>'A) Resumen Ingresos y Egresos'!$D$9*'J)Estructura Económica Mensual'!G16</f>
        <v>3952989.6733738105</v>
      </c>
      <c r="H9" s="623">
        <f>'A) Resumen Ingresos y Egresos'!$D$9*'J)Estructura Económica Mensual'!H16</f>
        <v>4633738.9641409926</v>
      </c>
      <c r="I9" s="623">
        <f>'A) Resumen Ingresos y Egresos'!$D$9*'J)Estructura Económica Mensual'!I16</f>
        <v>9833558.2700010184</v>
      </c>
      <c r="J9" s="623">
        <f>'A) Resumen Ingresos y Egresos'!$D$9*'J)Estructura Económica Mensual'!J16</f>
        <v>6337139.752547157</v>
      </c>
      <c r="K9" s="623">
        <f>'A) Resumen Ingresos y Egresos'!$D$9*'J)Estructura Económica Mensual'!K16</f>
        <v>4520529.6849593548</v>
      </c>
      <c r="L9" s="623">
        <f>'A) Resumen Ingresos y Egresos'!$D$9*'J)Estructura Económica Mensual'!L16</f>
        <v>4671758.2722919472</v>
      </c>
      <c r="M9" s="623">
        <f>'A) Resumen Ingresos y Egresos'!$D$9*'J)Estructura Económica Mensual'!M16</f>
        <v>3475847.3560793293</v>
      </c>
      <c r="N9" s="623">
        <f>'A) Resumen Ingresos y Egresos'!$D$9*'J)Estructura Económica Mensual'!N16</f>
        <v>4732385.49046838</v>
      </c>
      <c r="O9" s="624">
        <f t="shared" ref="O9:O14" si="0">SUM(C9:N9)</f>
        <v>62233500.000000007</v>
      </c>
      <c r="P9" s="552">
        <f t="shared" ref="P9:P14" si="1">IF(Q9=12,C9+D9+E9+F9+G9+H9+I9+J9+K9+L9+M9+N9,IF(Q9=11,C9+D9+E9+F9+G9+H9+I9+J9+K9+L9+M9,IF(Q9=10,C9+D9+E9+F9+G9+H9+I9+J9+K9+L9,IF(Q9=9,C9+D9+E9+F9+G9+H9+I9+J9+K9,IF(Q9=8,C9+D9+E9+F9+G9+H9+I9+J9,IF(Q9=7,C9+D9+E9+F9+G9+H9+I9,IF(Q9=6,C9+D9+E9+F9+G9+H9,IF(Q9=5,C9+D9+E9+F9+G9,0))))))))</f>
        <v>62233500.000000007</v>
      </c>
      <c r="Q9" s="554">
        <f>COUNTA(#REF!,#REF!,#REF!,#REF!,#REF!,#REF!,#REF!,#REF!,#REF!,#REF!,#REF!,#REF!)</f>
        <v>12</v>
      </c>
    </row>
    <row r="10" spans="2:18" x14ac:dyDescent="0.25">
      <c r="B10" s="620" t="s">
        <v>212</v>
      </c>
      <c r="C10" s="619">
        <f>(SUM('F) Remuneraciones'!$L$11:$L$19)-SUM('F) Remuneraciones'!$J$11:$J$19)-SUM('F) Remuneraciones'!$I$11:$I$19))/12</f>
        <v>1540099.0549999999</v>
      </c>
      <c r="D10" s="619">
        <f>(SUM('F) Remuneraciones'!$L$11:$L$19)-SUM('F) Remuneraciones'!$J$11:$J$19)-SUM('F) Remuneraciones'!$I$11:$I$19))/12</f>
        <v>1540099.0549999999</v>
      </c>
      <c r="E10" s="619">
        <f>(SUM('F) Remuneraciones'!$L$11:$L$19)-SUM('F) Remuneraciones'!$J$11:$J$19)-SUM('F) Remuneraciones'!$I$11:$I$19))/12</f>
        <v>1540099.0549999999</v>
      </c>
      <c r="F10" s="619">
        <f>(SUM('F) Remuneraciones'!$L$11:$L$19)-SUM('F) Remuneraciones'!$J$11:$J$19)-SUM('F) Remuneraciones'!$I$11:$I$19))/12</f>
        <v>1540099.0549999999</v>
      </c>
      <c r="G10" s="619">
        <f>(SUM('F) Remuneraciones'!$L$11:$L$19)-SUM('F) Remuneraciones'!$J$11:$J$19)-SUM('F) Remuneraciones'!$I$11:$I$19))/12</f>
        <v>1540099.0549999999</v>
      </c>
      <c r="H10" s="619">
        <f>(SUM('F) Remuneraciones'!$L$11:$L$19)-SUM('F) Remuneraciones'!$J$11:$J$19)-SUM('F) Remuneraciones'!$I$11:$I$19))/12</f>
        <v>1540099.0549999999</v>
      </c>
      <c r="I10" s="619">
        <f>(SUM('F) Remuneraciones'!$L$11:$L$19)-SUM('F) Remuneraciones'!$J$11:$J$19)-SUM('F) Remuneraciones'!$I$11:$I$19))/12</f>
        <v>1540099.0549999999</v>
      </c>
      <c r="J10" s="619">
        <f>(SUM('F) Remuneraciones'!$L$11:$L$19)-SUM('F) Remuneraciones'!$J$11:$J$19)-SUM('F) Remuneraciones'!$I$11:$I$19))/12</f>
        <v>1540099.0549999999</v>
      </c>
      <c r="K10" s="619">
        <f>(SUM('F) Remuneraciones'!$L$11:$L$19)-SUM('F) Remuneraciones'!$J$11:$J$19)-SUM('F) Remuneraciones'!$I$11:$I$19))/12</f>
        <v>1540099.0549999999</v>
      </c>
      <c r="L10" s="619">
        <f>(SUM('F) Remuneraciones'!$L$11:$L$19)-SUM('F) Remuneraciones'!$J$11:$J$19)-SUM('F) Remuneraciones'!$I$11:$I$19))/12</f>
        <v>1540099.0549999999</v>
      </c>
      <c r="M10" s="619">
        <f>(SUM('F) Remuneraciones'!$L$11:$L$19)-SUM('F) Remuneraciones'!$J$11:$J$19)-SUM('F) Remuneraciones'!$I$11:$I$19))/12</f>
        <v>1540099.0549999999</v>
      </c>
      <c r="N10" s="619">
        <f>(SUM('F) Remuneraciones'!$L$11:$L$19)-SUM('F) Remuneraciones'!$J$11:$J$19)-SUM('F) Remuneraciones'!$I$11:$I$19))/12</f>
        <v>1540099.0549999999</v>
      </c>
      <c r="O10" s="621">
        <f t="shared" si="0"/>
        <v>18481188.66</v>
      </c>
      <c r="P10" s="552">
        <f t="shared" si="1"/>
        <v>18481188.66</v>
      </c>
      <c r="Q10" s="554">
        <f>COUNTA(#REF!,#REF!,#REF!,#REF!,#REF!,#REF!,#REF!,#REF!,#REF!,#REF!,#REF!,#REF!)</f>
        <v>12</v>
      </c>
    </row>
    <row r="11" spans="2:18" x14ac:dyDescent="0.25">
      <c r="B11" s="620" t="s">
        <v>213</v>
      </c>
      <c r="C11" s="619">
        <f>SUM('F) Remuneraciones'!$L$20:$L$30)/4</f>
        <v>0</v>
      </c>
      <c r="D11" s="619">
        <f>SUM('F) Remuneraciones'!$L$20:$L$30)/4</f>
        <v>0</v>
      </c>
      <c r="E11" s="619">
        <f>SUM('F) Remuneraciones'!$L$20:$L$30)/4</f>
        <v>0</v>
      </c>
      <c r="F11" s="619">
        <v>0</v>
      </c>
      <c r="G11" s="619">
        <v>0</v>
      </c>
      <c r="H11" s="619">
        <v>0</v>
      </c>
      <c r="I11" s="619">
        <v>0</v>
      </c>
      <c r="J11" s="619">
        <v>0</v>
      </c>
      <c r="K11" s="619">
        <v>0</v>
      </c>
      <c r="L11" s="619">
        <v>0</v>
      </c>
      <c r="M11" s="619">
        <v>0</v>
      </c>
      <c r="N11" s="619">
        <f>SUM('F) Remuneraciones'!$L$20:$L$30)/4</f>
        <v>0</v>
      </c>
      <c r="O11" s="621">
        <f t="shared" si="0"/>
        <v>0</v>
      </c>
      <c r="P11" s="552">
        <f t="shared" si="1"/>
        <v>0</v>
      </c>
      <c r="Q11" s="554">
        <f>COUNTA(#REF!,#REF!,#REF!,#REF!,#REF!,#REF!,#REF!,#REF!,#REF!,#REF!,#REF!,#REF!)</f>
        <v>12</v>
      </c>
    </row>
    <row r="12" spans="2:18" x14ac:dyDescent="0.25">
      <c r="B12" s="620" t="s">
        <v>214</v>
      </c>
      <c r="C12" s="619">
        <f>SUM('F) Remuneraciones'!I11:I12)/2</f>
        <v>238201.5</v>
      </c>
      <c r="D12" s="619">
        <v>0</v>
      </c>
      <c r="E12" s="619">
        <v>0</v>
      </c>
      <c r="F12" s="619">
        <v>0</v>
      </c>
      <c r="G12" s="619">
        <v>0</v>
      </c>
      <c r="H12" s="619">
        <v>0</v>
      </c>
      <c r="I12" s="619">
        <v>0</v>
      </c>
      <c r="J12" s="619">
        <v>0</v>
      </c>
      <c r="K12" s="619">
        <f>SUM('F) Remuneraciones'!J11:J12)/2</f>
        <v>132249</v>
      </c>
      <c r="L12" s="619">
        <v>0</v>
      </c>
      <c r="M12" s="619">
        <v>0</v>
      </c>
      <c r="N12" s="619">
        <f>C12+K12</f>
        <v>370450.5</v>
      </c>
      <c r="O12" s="621">
        <f t="shared" si="0"/>
        <v>740901</v>
      </c>
      <c r="P12" s="552">
        <f t="shared" si="1"/>
        <v>740901</v>
      </c>
      <c r="Q12" s="554">
        <f>COUNTA(#REF!,#REF!,#REF!,#REF!,#REF!,#REF!,#REF!,#REF!,#REF!,#REF!,#REF!,#REF!)</f>
        <v>12</v>
      </c>
    </row>
    <row r="13" spans="2:18" x14ac:dyDescent="0.25">
      <c r="B13" s="620" t="s">
        <v>215</v>
      </c>
      <c r="C13" s="619">
        <f>('C) Estimación Costos Directos'!$H$11-'C) Estimación Costos Directos'!$H$12)*C17</f>
        <v>56768.288000554137</v>
      </c>
      <c r="D13" s="619">
        <f>('C) Estimación Costos Directos'!$H$11-'C) Estimación Costos Directos'!$H$12)*D17</f>
        <v>966502.73867633007</v>
      </c>
      <c r="E13" s="619">
        <f>('C) Estimación Costos Directos'!$H$11-'C) Estimación Costos Directos'!$H$12)*E17</f>
        <v>1464520.8038959783</v>
      </c>
      <c r="F13" s="619">
        <f>('C) Estimación Costos Directos'!$H$11-'C) Estimación Costos Directos'!$H$12)*F17</f>
        <v>483052.64863238181</v>
      </c>
      <c r="G13" s="619">
        <f>('C) Estimación Costos Directos'!$H$11-'C) Estimación Costos Directos'!$H$12)*G17</f>
        <v>832834.00773759151</v>
      </c>
      <c r="H13" s="619">
        <f>('C) Estimación Costos Directos'!$H$11-'C) Estimación Costos Directos'!$H$12)*H17</f>
        <v>937261.12905396183</v>
      </c>
      <c r="I13" s="619">
        <f>('C) Estimación Costos Directos'!$H$11-'C) Estimación Costos Directos'!$H$12)*I17</f>
        <v>1044461.8062332575</v>
      </c>
      <c r="J13" s="619">
        <f>('C) Estimación Costos Directos'!$H$11-'C) Estimación Costos Directos'!$H$12)*J17</f>
        <v>865333.98672390659</v>
      </c>
      <c r="K13" s="619">
        <f>('C) Estimación Costos Directos'!$H$11-'C) Estimación Costos Directos'!$H$12)*K17</f>
        <v>675729.64411620854</v>
      </c>
      <c r="L13" s="619">
        <f>('C) Estimación Costos Directos'!$H$11-'C) Estimación Costos Directos'!$H$12)*L17</f>
        <v>1358848.1223276129</v>
      </c>
      <c r="M13" s="619">
        <f>('C) Estimación Costos Directos'!$H$11-'C) Estimación Costos Directos'!$H$12)*M17</f>
        <v>203455.05388624567</v>
      </c>
      <c r="N13" s="619">
        <f>('C) Estimación Costos Directos'!$H$11-'C) Estimación Costos Directos'!$H$12)*N17</f>
        <v>568694.77071597124</v>
      </c>
      <c r="O13" s="621">
        <f t="shared" si="0"/>
        <v>9457463</v>
      </c>
      <c r="P13" s="552">
        <f t="shared" si="1"/>
        <v>9457463</v>
      </c>
      <c r="Q13" s="554">
        <f>COUNTA(#REF!,#REF!,#REF!,#REF!,#REF!,#REF!,#REF!,#REF!,#REF!,#REF!,#REF!,#REF!)</f>
        <v>12</v>
      </c>
    </row>
    <row r="14" spans="2:18" ht="15.75" thickBot="1" x14ac:dyDescent="0.3">
      <c r="B14" s="629" t="s">
        <v>266</v>
      </c>
      <c r="C14" s="630">
        <f>('C) Estimación Costos Directos'!$H$39)*C18</f>
        <v>64259.52241796899</v>
      </c>
      <c r="D14" s="630">
        <f>('C) Estimación Costos Directos'!$H$39)*D18</f>
        <v>1094043.9916453674</v>
      </c>
      <c r="E14" s="630">
        <f>('C) Estimación Costos Directos'!$H$39)*E18</f>
        <v>1657781.3202437414</v>
      </c>
      <c r="F14" s="630">
        <f>('C) Estimación Costos Directos'!$H$39)*F18</f>
        <v>546797.05161354935</v>
      </c>
      <c r="G14" s="630">
        <f>('C) Estimación Costos Directos'!$H$39)*G18</f>
        <v>942736.1203871133</v>
      </c>
      <c r="H14" s="630">
        <f>('C) Estimación Costos Directos'!$H$39)*H18</f>
        <v>1060943.6122742698</v>
      </c>
      <c r="I14" s="630">
        <f>('C) Estimación Costos Directos'!$H$39)*I18</f>
        <v>1182290.6629085459</v>
      </c>
      <c r="J14" s="630">
        <f>('C) Estimación Costos Directos'!$H$39)*J18</f>
        <v>979524.84877424117</v>
      </c>
      <c r="K14" s="630">
        <f>('C) Estimación Costos Directos'!$H$39)*K18</f>
        <v>764900.01273506531</v>
      </c>
      <c r="L14" s="630">
        <f>('C) Estimación Costos Directos'!$H$39)*L18</f>
        <v>1538163.9019741791</v>
      </c>
      <c r="M14" s="630">
        <f>('C) Estimación Costos Directos'!$H$39)*M18</f>
        <v>230303.3094132533</v>
      </c>
      <c r="N14" s="630">
        <f>('C) Estimación Costos Directos'!$H$39)*N18</f>
        <v>643740.64561270503</v>
      </c>
      <c r="O14" s="631">
        <f t="shared" si="0"/>
        <v>10705485</v>
      </c>
      <c r="P14" s="552">
        <f t="shared" si="1"/>
        <v>10705485</v>
      </c>
      <c r="Q14" s="554">
        <f>COUNTA(#REF!,#REF!,#REF!,#REF!,#REF!,#REF!,#REF!,#REF!,#REF!,#REF!,#REF!,#REF!)</f>
        <v>12</v>
      </c>
    </row>
    <row r="15" spans="2:18" ht="15.75" thickBot="1" x14ac:dyDescent="0.3">
      <c r="B15" s="636" t="s">
        <v>216</v>
      </c>
      <c r="C15" s="634">
        <f>C9-(C13+C14+C10+C11+C12)</f>
        <v>1742514.005712742</v>
      </c>
      <c r="D15" s="634">
        <f t="shared" ref="D15" si="2">D9-(D13+D14+D10+D11+D12)</f>
        <v>1019786.4209664604</v>
      </c>
      <c r="E15" s="634">
        <f>E9-(E13+E14+E10+E11+E12)</f>
        <v>891405.04225437436</v>
      </c>
      <c r="F15" s="634">
        <f t="shared" ref="F15:O15" si="3">F9-(F13+F14+F10+F11+F12)</f>
        <v>3689522.9820785611</v>
      </c>
      <c r="G15" s="634">
        <f t="shared" si="3"/>
        <v>637320.49024910573</v>
      </c>
      <c r="H15" s="634">
        <f t="shared" si="3"/>
        <v>1095435.1678127609</v>
      </c>
      <c r="I15" s="634">
        <f t="shared" si="3"/>
        <v>6066706.745859215</v>
      </c>
      <c r="J15" s="634">
        <f t="shared" si="3"/>
        <v>2952181.8620490097</v>
      </c>
      <c r="K15" s="634">
        <f t="shared" si="3"/>
        <v>1407551.9731080811</v>
      </c>
      <c r="L15" s="634">
        <f t="shared" si="3"/>
        <v>234647.19299015496</v>
      </c>
      <c r="M15" s="634">
        <f t="shared" si="3"/>
        <v>1501989.9377798303</v>
      </c>
      <c r="N15" s="634">
        <f t="shared" si="3"/>
        <v>1609400.5191397038</v>
      </c>
      <c r="O15" s="635">
        <f t="shared" si="3"/>
        <v>22848462.340000011</v>
      </c>
      <c r="R15" s="719"/>
    </row>
    <row r="16" spans="2:18" x14ac:dyDescent="0.25">
      <c r="B16" s="401" t="s">
        <v>217</v>
      </c>
      <c r="C16" s="353">
        <v>5.8519002966750465E-2</v>
      </c>
      <c r="D16" s="353">
        <v>7.424348954000913E-2</v>
      </c>
      <c r="E16" s="353">
        <v>8.9241424978413461E-2</v>
      </c>
      <c r="F16" s="353">
        <v>0.10058042271966854</v>
      </c>
      <c r="G16" s="353">
        <v>6.3518678418758551E-2</v>
      </c>
      <c r="H16" s="353">
        <v>7.4457309393509807E-2</v>
      </c>
      <c r="I16" s="353">
        <v>0.1580106899017574</v>
      </c>
      <c r="J16" s="353">
        <v>0.10182843247683573</v>
      </c>
      <c r="K16" s="353">
        <v>7.263820426232423E-2</v>
      </c>
      <c r="L16" s="353">
        <v>7.5068223260654585E-2</v>
      </c>
      <c r="M16" s="353">
        <v>5.5851709386091561E-2</v>
      </c>
      <c r="N16" s="353">
        <v>7.6042412695226533E-2</v>
      </c>
      <c r="O16" s="403"/>
    </row>
    <row r="17" spans="2:17" x14ac:dyDescent="0.25">
      <c r="B17" s="402" t="s">
        <v>218</v>
      </c>
      <c r="C17" s="353">
        <v>6.002485867568727E-3</v>
      </c>
      <c r="D17" s="353">
        <v>0.10219471529270906</v>
      </c>
      <c r="E17" s="353">
        <v>0.15485345318252666</v>
      </c>
      <c r="F17" s="353">
        <v>5.1076345594202356E-2</v>
      </c>
      <c r="G17" s="353">
        <v>8.8061037905999895E-2</v>
      </c>
      <c r="H17" s="353">
        <v>9.9102806857818193E-2</v>
      </c>
      <c r="I17" s="353">
        <v>0.110437842181699</v>
      </c>
      <c r="J17" s="353">
        <v>9.1497475245095494E-2</v>
      </c>
      <c r="K17" s="353">
        <v>7.1449356356584059E-2</v>
      </c>
      <c r="L17" s="353">
        <v>0.14367998292222903</v>
      </c>
      <c r="M17" s="353">
        <v>2.1512646032688224E-2</v>
      </c>
      <c r="N17" s="353">
        <v>6.0131852560879308E-2</v>
      </c>
    </row>
    <row r="18" spans="2:17" ht="15.75" thickBot="1" x14ac:dyDescent="0.3">
      <c r="B18" s="402" t="s">
        <v>267</v>
      </c>
      <c r="C18" s="353">
        <v>6.002485867568727E-3</v>
      </c>
      <c r="D18" s="353">
        <v>0.10219471529270906</v>
      </c>
      <c r="E18" s="353">
        <v>0.15485345318252666</v>
      </c>
      <c r="F18" s="353">
        <v>5.1076345594202356E-2</v>
      </c>
      <c r="G18" s="353">
        <v>8.8061037905999895E-2</v>
      </c>
      <c r="H18" s="353">
        <v>9.9102806857818193E-2</v>
      </c>
      <c r="I18" s="353">
        <v>0.110437842181699</v>
      </c>
      <c r="J18" s="353">
        <v>9.1497475245095494E-2</v>
      </c>
      <c r="K18" s="353">
        <v>7.1449356356584059E-2</v>
      </c>
      <c r="L18" s="353">
        <v>0.14367998292222903</v>
      </c>
      <c r="M18" s="353">
        <v>2.1512646032688224E-2</v>
      </c>
      <c r="N18" s="353">
        <v>6.0131852560879308E-2</v>
      </c>
    </row>
    <row r="19" spans="2:17" ht="15.75" thickBot="1" x14ac:dyDescent="0.3">
      <c r="B19" s="625" t="s">
        <v>219</v>
      </c>
      <c r="C19" s="626" t="s">
        <v>198</v>
      </c>
      <c r="D19" s="626" t="s">
        <v>199</v>
      </c>
      <c r="E19" s="626" t="s">
        <v>200</v>
      </c>
      <c r="F19" s="626" t="s">
        <v>201</v>
      </c>
      <c r="G19" s="626" t="s">
        <v>202</v>
      </c>
      <c r="H19" s="626" t="s">
        <v>203</v>
      </c>
      <c r="I19" s="626" t="s">
        <v>204</v>
      </c>
      <c r="J19" s="627" t="s">
        <v>205</v>
      </c>
      <c r="K19" s="626" t="s">
        <v>206</v>
      </c>
      <c r="L19" s="626" t="s">
        <v>207</v>
      </c>
      <c r="M19" s="626" t="s">
        <v>208</v>
      </c>
      <c r="N19" s="626" t="s">
        <v>209</v>
      </c>
      <c r="O19" s="628" t="s">
        <v>313</v>
      </c>
      <c r="P19" s="552"/>
      <c r="Q19" s="553" t="s">
        <v>288</v>
      </c>
    </row>
    <row r="20" spans="2:17" x14ac:dyDescent="0.25">
      <c r="B20" s="622" t="s">
        <v>211</v>
      </c>
      <c r="C20" s="623"/>
      <c r="D20" s="623"/>
      <c r="E20" s="623"/>
      <c r="F20" s="623"/>
      <c r="G20" s="623"/>
      <c r="H20" s="623"/>
      <c r="I20" s="623"/>
      <c r="J20" s="623"/>
      <c r="K20" s="623"/>
      <c r="L20" s="623"/>
      <c r="M20" s="623"/>
      <c r="N20" s="623"/>
      <c r="O20" s="624"/>
      <c r="P20" s="552">
        <f t="shared" ref="P20:P25" si="4">IF(Q20=12,C20+D20+E20+F20+G20+H20+I20+J20+K20+L20+M20+N20,IF(Q20=11,C20+D20+E20+F20+G20+H20+I20+J20+K20+L20+M20,IF(Q20=10,C20+D20+E20+F20+G20+H20+I20+J20+K20+L20,IF(Q20=9,C20+D20+E20+F20+G20+H20+I20+J20+K20,IF(Q20=8,C20+D20+E20+F20+G20+H20+I20+J20,IF(Q20=7,C20+D20+E20+F20+G20+H20+I20,IF(Q20=6,C20+D20+E20+F20+G20+H20,IF(Q20=5,C20+D20+E20+F20+G20,0))))))))</f>
        <v>0</v>
      </c>
      <c r="Q20" s="554">
        <f>COUNTA(#REF!,#REF!,#REF!,#REF!,#REF!,#REF!,#REF!,#REF!,#REF!,#REF!,#REF!,#REF!)</f>
        <v>12</v>
      </c>
    </row>
    <row r="21" spans="2:17" x14ac:dyDescent="0.25">
      <c r="B21" s="620" t="s">
        <v>212</v>
      </c>
      <c r="C21" s="619"/>
      <c r="D21" s="619"/>
      <c r="E21" s="619"/>
      <c r="F21" s="619"/>
      <c r="G21" s="619"/>
      <c r="H21" s="619"/>
      <c r="I21" s="619"/>
      <c r="J21" s="619"/>
      <c r="K21" s="619"/>
      <c r="L21" s="619"/>
      <c r="M21" s="619"/>
      <c r="N21" s="619"/>
      <c r="O21" s="621"/>
      <c r="P21" s="552">
        <f t="shared" si="4"/>
        <v>0</v>
      </c>
      <c r="Q21" s="554">
        <f>COUNTA(#REF!,#REF!,#REF!,#REF!,#REF!,#REF!,#REF!,#REF!,#REF!,#REF!,#REF!,#REF!)</f>
        <v>12</v>
      </c>
    </row>
    <row r="22" spans="2:17" x14ac:dyDescent="0.25">
      <c r="B22" s="620" t="s">
        <v>213</v>
      </c>
      <c r="C22" s="619"/>
      <c r="D22" s="619"/>
      <c r="E22" s="619"/>
      <c r="F22" s="619"/>
      <c r="G22" s="619"/>
      <c r="H22" s="619"/>
      <c r="I22" s="619"/>
      <c r="J22" s="619"/>
      <c r="K22" s="619"/>
      <c r="L22" s="619"/>
      <c r="M22" s="619"/>
      <c r="N22" s="619"/>
      <c r="O22" s="621"/>
      <c r="P22" s="552">
        <f t="shared" si="4"/>
        <v>0</v>
      </c>
      <c r="Q22" s="554">
        <f>COUNTA(#REF!,#REF!,#REF!,#REF!,#REF!,#REF!,#REF!,#REF!,#REF!,#REF!,#REF!,#REF!)</f>
        <v>12</v>
      </c>
    </row>
    <row r="23" spans="2:17" x14ac:dyDescent="0.25">
      <c r="B23" s="620" t="s">
        <v>214</v>
      </c>
      <c r="C23" s="619"/>
      <c r="D23" s="619"/>
      <c r="E23" s="619"/>
      <c r="F23" s="619"/>
      <c r="G23" s="619"/>
      <c r="H23" s="619"/>
      <c r="I23" s="619"/>
      <c r="J23" s="619"/>
      <c r="K23" s="619"/>
      <c r="L23" s="619"/>
      <c r="M23" s="619"/>
      <c r="N23" s="619"/>
      <c r="O23" s="621"/>
      <c r="P23" s="552">
        <f t="shared" si="4"/>
        <v>0</v>
      </c>
      <c r="Q23" s="554">
        <f>COUNTA(#REF!,#REF!,#REF!,#REF!,#REF!,#REF!,#REF!,#REF!,#REF!,#REF!,#REF!,#REF!)</f>
        <v>12</v>
      </c>
    </row>
    <row r="24" spans="2:17" x14ac:dyDescent="0.25">
      <c r="B24" s="620" t="s">
        <v>215</v>
      </c>
      <c r="C24" s="619"/>
      <c r="D24" s="637"/>
      <c r="E24" s="637"/>
      <c r="F24" s="637"/>
      <c r="G24" s="637"/>
      <c r="H24" s="637"/>
      <c r="I24" s="637"/>
      <c r="J24" s="637"/>
      <c r="K24" s="637"/>
      <c r="L24" s="637"/>
      <c r="M24" s="637"/>
      <c r="N24" s="637"/>
      <c r="O24" s="621"/>
      <c r="P24" s="552">
        <f t="shared" si="4"/>
        <v>0</v>
      </c>
      <c r="Q24" s="554">
        <f>COUNTA(#REF!,#REF!,#REF!,#REF!,#REF!,#REF!,#REF!,#REF!,#REF!,#REF!,#REF!,#REF!)</f>
        <v>12</v>
      </c>
    </row>
    <row r="25" spans="2:17" ht="15.75" thickBot="1" x14ac:dyDescent="0.3">
      <c r="B25" s="629" t="s">
        <v>266</v>
      </c>
      <c r="C25" s="630"/>
      <c r="D25" s="630"/>
      <c r="E25" s="630"/>
      <c r="F25" s="630"/>
      <c r="G25" s="630"/>
      <c r="H25" s="630"/>
      <c r="I25" s="630"/>
      <c r="J25" s="630"/>
      <c r="K25" s="630"/>
      <c r="L25" s="630"/>
      <c r="M25" s="630"/>
      <c r="N25" s="630"/>
      <c r="O25" s="631"/>
      <c r="P25" s="552">
        <f t="shared" si="4"/>
        <v>0</v>
      </c>
      <c r="Q25" s="554">
        <f>COUNTA(#REF!,#REF!,#REF!,#REF!,#REF!,#REF!,#REF!,#REF!,#REF!,#REF!,#REF!,#REF!)</f>
        <v>12</v>
      </c>
    </row>
    <row r="26" spans="2:17" ht="15.75" thickBot="1" x14ac:dyDescent="0.3">
      <c r="B26" s="632" t="s">
        <v>216</v>
      </c>
      <c r="C26" s="633"/>
      <c r="D26" s="633"/>
      <c r="E26" s="633"/>
      <c r="F26" s="633"/>
      <c r="G26" s="633"/>
      <c r="H26" s="633"/>
      <c r="I26" s="633"/>
      <c r="J26" s="633"/>
      <c r="K26" s="633"/>
      <c r="L26" s="633"/>
      <c r="M26" s="633"/>
      <c r="N26" s="633"/>
      <c r="O26" s="638"/>
    </row>
    <row r="27" spans="2:17" x14ac:dyDescent="0.25">
      <c r="B27" s="401" t="s">
        <v>217</v>
      </c>
      <c r="C27" s="353"/>
      <c r="D27" s="353"/>
      <c r="E27" s="353"/>
      <c r="F27" s="353"/>
      <c r="G27" s="353"/>
      <c r="H27" s="353"/>
      <c r="I27" s="353"/>
      <c r="J27" s="353"/>
      <c r="K27" s="353"/>
      <c r="L27" s="353"/>
      <c r="M27" s="353"/>
      <c r="N27" s="353"/>
      <c r="O27" s="403"/>
    </row>
    <row r="28" spans="2:17" x14ac:dyDescent="0.25">
      <c r="B28" s="402" t="s">
        <v>218</v>
      </c>
      <c r="C28" s="353"/>
      <c r="D28" s="353"/>
      <c r="E28" s="353"/>
      <c r="F28" s="353"/>
      <c r="G28" s="353"/>
      <c r="H28" s="353"/>
      <c r="I28" s="353"/>
      <c r="J28" s="353"/>
      <c r="K28" s="353"/>
      <c r="L28" s="353"/>
      <c r="M28" s="353"/>
      <c r="N28" s="353"/>
    </row>
    <row r="29" spans="2:17" ht="15.75" thickBot="1" x14ac:dyDescent="0.3">
      <c r="B29" s="402" t="s">
        <v>267</v>
      </c>
      <c r="C29" s="353"/>
      <c r="D29" s="353"/>
      <c r="E29" s="353"/>
      <c r="F29" s="353"/>
      <c r="G29" s="353"/>
      <c r="H29" s="353"/>
      <c r="I29" s="353"/>
      <c r="J29" s="353"/>
      <c r="K29" s="353"/>
      <c r="L29" s="353"/>
      <c r="M29" s="353"/>
      <c r="N29" s="353"/>
    </row>
    <row r="30" spans="2:17" ht="15.75" thickBot="1" x14ac:dyDescent="0.3">
      <c r="B30" s="625" t="s">
        <v>291</v>
      </c>
      <c r="C30" s="626" t="s">
        <v>198</v>
      </c>
      <c r="D30" s="626" t="s">
        <v>199</v>
      </c>
      <c r="E30" s="626" t="s">
        <v>200</v>
      </c>
      <c r="F30" s="626" t="s">
        <v>201</v>
      </c>
      <c r="G30" s="626" t="s">
        <v>202</v>
      </c>
      <c r="H30" s="626" t="s">
        <v>203</v>
      </c>
      <c r="I30" s="626" t="s">
        <v>204</v>
      </c>
      <c r="J30" s="627" t="s">
        <v>205</v>
      </c>
      <c r="K30" s="626" t="s">
        <v>206</v>
      </c>
      <c r="L30" s="626" t="s">
        <v>207</v>
      </c>
      <c r="M30" s="626" t="s">
        <v>208</v>
      </c>
      <c r="N30" s="626" t="s">
        <v>209</v>
      </c>
      <c r="O30" s="628" t="s">
        <v>313</v>
      </c>
      <c r="P30" s="552"/>
      <c r="Q30" s="553" t="s">
        <v>288</v>
      </c>
    </row>
    <row r="31" spans="2:17" x14ac:dyDescent="0.25">
      <c r="B31" s="622" t="s">
        <v>211</v>
      </c>
      <c r="C31" s="623">
        <f>'A) Resumen Ingresos y Egresos'!$D$10*C38</f>
        <v>401738.18512057734</v>
      </c>
      <c r="D31" s="623">
        <f>'A) Resumen Ingresos y Egresos'!$D$10*D38</f>
        <v>265235.68874804006</v>
      </c>
      <c r="E31" s="623">
        <f>'A) Resumen Ingresos y Egresos'!$D$10*E38</f>
        <v>297781.74104230152</v>
      </c>
      <c r="F31" s="623">
        <f>'A) Resumen Ingresos y Egresos'!$D$10*F38</f>
        <v>329887.67702986335</v>
      </c>
      <c r="G31" s="623">
        <f>'A) Resumen Ingresos y Egresos'!$D$10*G38</f>
        <v>227802.00091173852</v>
      </c>
      <c r="H31" s="623">
        <f>'A) Resumen Ingresos y Egresos'!$D$10*H38</f>
        <v>261127.02012051261</v>
      </c>
      <c r="I31" s="623">
        <f>'A) Resumen Ingresos y Egresos'!$D$10*I38</f>
        <v>479373.94811191404</v>
      </c>
      <c r="J31" s="623">
        <f>'A) Resumen Ingresos y Egresos'!$D$10*J38</f>
        <v>476108.95665696106</v>
      </c>
      <c r="K31" s="623">
        <f>'A) Resumen Ingresos y Egresos'!$D$10*K38</f>
        <v>247112.99802546855</v>
      </c>
      <c r="L31" s="623">
        <f>'A) Resumen Ingresos y Egresos'!$D$10*L38</f>
        <v>265236.96156979579</v>
      </c>
      <c r="M31" s="623">
        <f>'A) Resumen Ingresos y Egresos'!$D$10*M38</f>
        <v>201914.71563262874</v>
      </c>
      <c r="N31" s="623">
        <f>'A) Resumen Ingresos y Egresos'!$D$10*N38</f>
        <v>159180.10703019853</v>
      </c>
      <c r="O31" s="624">
        <f>SUM(C31:N31)</f>
        <v>3612500</v>
      </c>
      <c r="P31" s="552">
        <f t="shared" ref="P31:P36" si="5">IF(Q31=12,C31+D31+E31+F31+G31+H31+I31+J31+K31+L31+M31+N31,IF(Q31=11,C31+D31+E31+F31+G31+H31+I31+J31+K31+L31+M31,IF(Q31=10,C31+D31+E31+F31+G31+H31+I31+J31+K31+L31,IF(Q31=9,C31+D31+E31+F31+G31+H31+I31+J31+K31,IF(Q31=8,C31+D31+E31+F31+G31+H31+I31+J31,IF(Q31=7,C31+D31+E31+F31+G31+H31+I31,IF(Q31=6,C31+D31+E31+F31+G31+H31,IF(Q31=5,C31+D31+E31+F31+G31,0))))))))</f>
        <v>3612500</v>
      </c>
      <c r="Q31" s="554">
        <f>COUNTA(#REF!,#REF!,#REF!,#REF!,#REF!,#REF!,#REF!,#REF!,#REF!,#REF!,#REF!,#REF!)</f>
        <v>12</v>
      </c>
    </row>
    <row r="32" spans="2:17" x14ac:dyDescent="0.25">
      <c r="B32" s="620" t="s">
        <v>212</v>
      </c>
      <c r="C32" s="619">
        <v>0</v>
      </c>
      <c r="D32" s="619">
        <v>0</v>
      </c>
      <c r="E32" s="619">
        <v>0</v>
      </c>
      <c r="F32" s="619">
        <v>0</v>
      </c>
      <c r="G32" s="619">
        <v>0</v>
      </c>
      <c r="H32" s="619">
        <v>0</v>
      </c>
      <c r="I32" s="619">
        <v>0</v>
      </c>
      <c r="J32" s="619">
        <v>0</v>
      </c>
      <c r="K32" s="619">
        <v>0</v>
      </c>
      <c r="L32" s="619">
        <v>0</v>
      </c>
      <c r="M32" s="619">
        <v>0</v>
      </c>
      <c r="N32" s="619">
        <v>0</v>
      </c>
      <c r="O32" s="624">
        <v>0</v>
      </c>
      <c r="P32" s="552">
        <f t="shared" si="5"/>
        <v>0</v>
      </c>
      <c r="Q32" s="554">
        <f>COUNTA(#REF!,#REF!,#REF!,#REF!,#REF!,#REF!,#REF!,#REF!,#REF!,#REF!,#REF!,#REF!)</f>
        <v>12</v>
      </c>
    </row>
    <row r="33" spans="2:18" x14ac:dyDescent="0.25">
      <c r="B33" s="620" t="s">
        <v>213</v>
      </c>
      <c r="C33" s="619">
        <f>SUM('F) Remuneraciones'!$L$60:$L$70)/4</f>
        <v>0</v>
      </c>
      <c r="D33" s="619">
        <f>SUM('F) Remuneraciones'!$L$60:$L$70)/4</f>
        <v>0</v>
      </c>
      <c r="E33" s="619">
        <f>SUM('F) Remuneraciones'!$L$60:$L$70)/4</f>
        <v>0</v>
      </c>
      <c r="F33" s="619">
        <v>0</v>
      </c>
      <c r="G33" s="619">
        <v>0</v>
      </c>
      <c r="H33" s="619">
        <v>0</v>
      </c>
      <c r="I33" s="619">
        <v>0</v>
      </c>
      <c r="J33" s="619">
        <v>0</v>
      </c>
      <c r="K33" s="619">
        <v>0</v>
      </c>
      <c r="L33" s="619">
        <v>0</v>
      </c>
      <c r="M33" s="619">
        <v>0</v>
      </c>
      <c r="N33" s="619">
        <f>SUM('F) Remuneraciones'!$L$60:$L$70)/4</f>
        <v>0</v>
      </c>
      <c r="O33" s="624">
        <f t="shared" ref="O33:O36" si="6">SUM(C33:N33)</f>
        <v>0</v>
      </c>
      <c r="P33" s="552">
        <f t="shared" si="5"/>
        <v>0</v>
      </c>
      <c r="Q33" s="554">
        <f>COUNTA(#REF!,#REF!,#REF!,#REF!,#REF!,#REF!,#REF!,#REF!,#REF!,#REF!,#REF!,#REF!)</f>
        <v>12</v>
      </c>
    </row>
    <row r="34" spans="2:18" x14ac:dyDescent="0.25">
      <c r="B34" s="620" t="s">
        <v>214</v>
      </c>
      <c r="C34" s="619">
        <f>(SUM('F) Remuneraciones'!$I$51:$I$59)+SUM('F) Remuneraciones'!$J$51:$J$59))/2</f>
        <v>0</v>
      </c>
      <c r="D34" s="619">
        <v>0</v>
      </c>
      <c r="E34" s="619">
        <v>0</v>
      </c>
      <c r="F34" s="619">
        <v>0</v>
      </c>
      <c r="G34" s="619">
        <v>0</v>
      </c>
      <c r="H34" s="619">
        <v>0</v>
      </c>
      <c r="I34" s="619">
        <v>0</v>
      </c>
      <c r="J34" s="619">
        <v>0</v>
      </c>
      <c r="K34" s="619">
        <f>(SUM('F) Remuneraciones'!$I$51:$I$59)+SUM('F) Remuneraciones'!$J$51:$J$59))/2</f>
        <v>0</v>
      </c>
      <c r="L34" s="619">
        <v>0</v>
      </c>
      <c r="M34" s="619">
        <v>0</v>
      </c>
      <c r="N34" s="619">
        <f>C34+K34</f>
        <v>0</v>
      </c>
      <c r="O34" s="624">
        <f t="shared" si="6"/>
        <v>0</v>
      </c>
      <c r="P34" s="552">
        <f t="shared" si="5"/>
        <v>0</v>
      </c>
      <c r="Q34" s="554">
        <f>COUNTA(#REF!,#REF!,#REF!,#REF!,#REF!,#REF!,#REF!,#REF!,#REF!,#REF!,#REF!,#REF!)</f>
        <v>12</v>
      </c>
    </row>
    <row r="35" spans="2:18" x14ac:dyDescent="0.25">
      <c r="B35" s="620" t="s">
        <v>215</v>
      </c>
      <c r="C35" s="619">
        <f>('C) Estimación Costos Directos'!$H$83-'C) Estimación Costos Directos'!$H$84)*C39</f>
        <v>0</v>
      </c>
      <c r="D35" s="619">
        <f>('C) Estimación Costos Directos'!$H$83-'C) Estimación Costos Directos'!$H$84)*D39</f>
        <v>0</v>
      </c>
      <c r="E35" s="619">
        <f>('C) Estimación Costos Directos'!$H$83-'C) Estimación Costos Directos'!$H$84)*E39</f>
        <v>0</v>
      </c>
      <c r="F35" s="619">
        <f>('C) Estimación Costos Directos'!$H$83-'C) Estimación Costos Directos'!$H$84)*F39</f>
        <v>0</v>
      </c>
      <c r="G35" s="619">
        <f>('C) Estimación Costos Directos'!$H$83-'C) Estimación Costos Directos'!$H$84)*G39</f>
        <v>0</v>
      </c>
      <c r="H35" s="619">
        <f>('C) Estimación Costos Directos'!$H$83-'C) Estimación Costos Directos'!$H$84)*H39</f>
        <v>0</v>
      </c>
      <c r="I35" s="619">
        <f>('C) Estimación Costos Directos'!$H$83-'C) Estimación Costos Directos'!$H$84)*I39</f>
        <v>0</v>
      </c>
      <c r="J35" s="619">
        <f>('C) Estimación Costos Directos'!$H$83-'C) Estimación Costos Directos'!$H$84)*J39</f>
        <v>0</v>
      </c>
      <c r="K35" s="619">
        <f>('C) Estimación Costos Directos'!$H$83-'C) Estimación Costos Directos'!$H$84)*K39</f>
        <v>0</v>
      </c>
      <c r="L35" s="619">
        <f>('C) Estimación Costos Directos'!$H$83-'C) Estimación Costos Directos'!$H$84)*L39</f>
        <v>0</v>
      </c>
      <c r="M35" s="619">
        <f>('C) Estimación Costos Directos'!$H$83-'C) Estimación Costos Directos'!$H$84)*M39</f>
        <v>0</v>
      </c>
      <c r="N35" s="619">
        <f>('C) Estimación Costos Directos'!$H$83-'C) Estimación Costos Directos'!$H$84)*N39</f>
        <v>0</v>
      </c>
      <c r="O35" s="624">
        <f t="shared" si="6"/>
        <v>0</v>
      </c>
      <c r="P35" s="552">
        <f t="shared" si="5"/>
        <v>0</v>
      </c>
      <c r="Q35" s="554">
        <f>COUNTA(#REF!,#REF!,#REF!,#REF!,#REF!,#REF!,#REF!,#REF!,#REF!,#REF!,#REF!,#REF!)</f>
        <v>12</v>
      </c>
    </row>
    <row r="36" spans="2:18" ht="15.75" thickBot="1" x14ac:dyDescent="0.3">
      <c r="B36" s="629" t="s">
        <v>266</v>
      </c>
      <c r="C36" s="630">
        <f>'C) Estimación Costos Directos'!$H$111*C40</f>
        <v>4344.9870081441004</v>
      </c>
      <c r="D36" s="630">
        <f>'C) Estimación Costos Directos'!$H$111*D40</f>
        <v>94800.000057435842</v>
      </c>
      <c r="E36" s="630">
        <f>'C) Estimación Costos Directos'!$H$111*E40</f>
        <v>106585.27077114244</v>
      </c>
      <c r="F36" s="630">
        <f>'C) Estimación Costos Directos'!$H$111*F40</f>
        <v>32174.914450833108</v>
      </c>
      <c r="G36" s="630">
        <f>'C) Estimación Costos Directos'!$H$111*G40</f>
        <v>57600.609626459227</v>
      </c>
      <c r="H36" s="630">
        <f>'C) Estimación Costos Directos'!$H$111*H40</f>
        <v>86236.6672954604</v>
      </c>
      <c r="I36" s="630">
        <f>'C) Estimación Costos Directos'!$H$111*I40</f>
        <v>55075.648198690251</v>
      </c>
      <c r="J36" s="630">
        <f>'C) Estimación Costos Directos'!$H$111*J40</f>
        <v>53544.702949394108</v>
      </c>
      <c r="K36" s="630">
        <f>'C) Estimación Costos Directos'!$H$111*K40</f>
        <v>42542.411545287403</v>
      </c>
      <c r="L36" s="630">
        <f>'C) Estimación Costos Directos'!$H$111*L40</f>
        <v>113996.43406741894</v>
      </c>
      <c r="M36" s="630">
        <f>'C) Estimación Costos Directos'!$H$111*M40</f>
        <v>16878.223661546948</v>
      </c>
      <c r="N36" s="630">
        <f>'C) Estimación Costos Directos'!$H$111*N40</f>
        <v>50428.130368187238</v>
      </c>
      <c r="O36" s="624">
        <f t="shared" si="6"/>
        <v>714208</v>
      </c>
      <c r="P36" s="552">
        <f t="shared" si="5"/>
        <v>714208</v>
      </c>
      <c r="Q36" s="554">
        <f>COUNTA(#REF!,#REF!,#REF!,#REF!,#REF!,#REF!,#REF!,#REF!,#REF!,#REF!,#REF!,#REF!)</f>
        <v>12</v>
      </c>
    </row>
    <row r="37" spans="2:18" ht="15.75" thickBot="1" x14ac:dyDescent="0.3">
      <c r="B37" s="636" t="s">
        <v>216</v>
      </c>
      <c r="C37" s="634">
        <f t="shared" ref="C37:E37" si="7">C31-C35-C36</f>
        <v>397393.19811243325</v>
      </c>
      <c r="D37" s="634">
        <f t="shared" si="7"/>
        <v>170435.68869060423</v>
      </c>
      <c r="E37" s="634">
        <f t="shared" si="7"/>
        <v>191196.47027115908</v>
      </c>
      <c r="F37" s="634">
        <f>F31-(F32+F33+F34+F35+F36)</f>
        <v>297712.76257903024</v>
      </c>
      <c r="G37" s="634">
        <f t="shared" ref="G37:N37" si="8">G31-(G32+G33+G34+G35+G36)</f>
        <v>170201.3912852793</v>
      </c>
      <c r="H37" s="634">
        <f t="shared" si="8"/>
        <v>174890.35282505222</v>
      </c>
      <c r="I37" s="634">
        <f t="shared" si="8"/>
        <v>424298.29991322377</v>
      </c>
      <c r="J37" s="634">
        <f t="shared" si="8"/>
        <v>422564.25370756694</v>
      </c>
      <c r="K37" s="634">
        <f t="shared" si="8"/>
        <v>204570.58648018114</v>
      </c>
      <c r="L37" s="634">
        <f t="shared" si="8"/>
        <v>151240.52750237685</v>
      </c>
      <c r="M37" s="634">
        <f t="shared" si="8"/>
        <v>185036.49197108179</v>
      </c>
      <c r="N37" s="634">
        <f t="shared" si="8"/>
        <v>108751.97666201129</v>
      </c>
      <c r="O37" s="634">
        <f>O31-(O32+O33+O34+O35+O36)</f>
        <v>2898292</v>
      </c>
      <c r="R37" s="719"/>
    </row>
    <row r="38" spans="2:18" x14ac:dyDescent="0.25">
      <c r="B38" s="401" t="s">
        <v>217</v>
      </c>
      <c r="C38" s="353">
        <v>0.11120780210950237</v>
      </c>
      <c r="D38" s="353">
        <v>7.3421643944094131E-2</v>
      </c>
      <c r="E38" s="353">
        <v>8.2430931776415653E-2</v>
      </c>
      <c r="F38" s="353">
        <v>9.1318388105152484E-2</v>
      </c>
      <c r="G38" s="353">
        <v>6.305937741501412E-2</v>
      </c>
      <c r="H38" s="353">
        <v>7.228429622713152E-2</v>
      </c>
      <c r="I38" s="353">
        <v>0.13269867075762326</v>
      </c>
      <c r="J38" s="353">
        <v>0.1317948668946605</v>
      </c>
      <c r="K38" s="353">
        <v>6.8404982152378835E-2</v>
      </c>
      <c r="L38" s="353">
        <v>7.3421996282296412E-2</v>
      </c>
      <c r="M38" s="353">
        <v>5.5893346887924911E-2</v>
      </c>
      <c r="N38" s="353">
        <v>4.4063697447805819E-2</v>
      </c>
      <c r="O38" s="403"/>
      <c r="R38" s="719"/>
    </row>
    <row r="39" spans="2:18" x14ac:dyDescent="0.25">
      <c r="B39" s="402" t="s">
        <v>218</v>
      </c>
      <c r="C39" s="353">
        <v>6.0836437118375886E-3</v>
      </c>
      <c r="D39" s="353">
        <v>0.13273444158765491</v>
      </c>
      <c r="E39" s="353">
        <v>0.14923561591461093</v>
      </c>
      <c r="F39" s="353">
        <v>4.5049781647409588E-2</v>
      </c>
      <c r="G39" s="353">
        <v>8.0649628156586356E-2</v>
      </c>
      <c r="H39" s="353">
        <v>0.12074447121211244</v>
      </c>
      <c r="I39" s="353">
        <v>7.7114297513735844E-2</v>
      </c>
      <c r="J39" s="353">
        <v>7.4970740945766653E-2</v>
      </c>
      <c r="K39" s="353">
        <v>5.9565856928636196E-2</v>
      </c>
      <c r="L39" s="353">
        <v>0.15961237352062557</v>
      </c>
      <c r="M39" s="353">
        <v>2.3632084296937233E-2</v>
      </c>
      <c r="N39" s="353">
        <v>7.0607064564086705E-2</v>
      </c>
    </row>
    <row r="40" spans="2:18" ht="15.75" thickBot="1" x14ac:dyDescent="0.3">
      <c r="B40" s="402" t="s">
        <v>267</v>
      </c>
      <c r="C40" s="353">
        <v>6.0836437118375886E-3</v>
      </c>
      <c r="D40" s="353">
        <v>0.13273444158765491</v>
      </c>
      <c r="E40" s="353">
        <v>0.14923561591461093</v>
      </c>
      <c r="F40" s="353">
        <v>4.5049781647409588E-2</v>
      </c>
      <c r="G40" s="353">
        <v>8.0649628156586356E-2</v>
      </c>
      <c r="H40" s="353">
        <v>0.12074447121211244</v>
      </c>
      <c r="I40" s="353">
        <v>7.7114297513735844E-2</v>
      </c>
      <c r="J40" s="353">
        <v>7.4970740945766653E-2</v>
      </c>
      <c r="K40" s="353">
        <v>5.9565856928636196E-2</v>
      </c>
      <c r="L40" s="353">
        <v>0.15961237352062557</v>
      </c>
      <c r="M40" s="353">
        <v>2.3632084296937233E-2</v>
      </c>
      <c r="N40" s="353">
        <v>7.0607064564086705E-2</v>
      </c>
    </row>
    <row r="41" spans="2:18" ht="15.75" thickBot="1" x14ac:dyDescent="0.3">
      <c r="B41" s="625" t="s">
        <v>221</v>
      </c>
      <c r="C41" s="626" t="s">
        <v>198</v>
      </c>
      <c r="D41" s="626" t="s">
        <v>199</v>
      </c>
      <c r="E41" s="626" t="s">
        <v>200</v>
      </c>
      <c r="F41" s="626" t="s">
        <v>201</v>
      </c>
      <c r="G41" s="626" t="s">
        <v>202</v>
      </c>
      <c r="H41" s="626" t="s">
        <v>203</v>
      </c>
      <c r="I41" s="626" t="s">
        <v>204</v>
      </c>
      <c r="J41" s="627" t="s">
        <v>205</v>
      </c>
      <c r="K41" s="626" t="s">
        <v>206</v>
      </c>
      <c r="L41" s="626" t="s">
        <v>207</v>
      </c>
      <c r="M41" s="626" t="s">
        <v>208</v>
      </c>
      <c r="N41" s="626" t="s">
        <v>209</v>
      </c>
      <c r="O41" s="628" t="s">
        <v>313</v>
      </c>
      <c r="P41" s="552"/>
      <c r="Q41" s="553" t="s">
        <v>288</v>
      </c>
    </row>
    <row r="42" spans="2:18" x14ac:dyDescent="0.25">
      <c r="B42" s="622" t="s">
        <v>211</v>
      </c>
      <c r="C42" s="623">
        <f>'A) Resumen Ingresos y Egresos'!$D$11*C49</f>
        <v>3131798.8806033791</v>
      </c>
      <c r="D42" s="623">
        <f>'A) Resumen Ingresos y Egresos'!$D$11*D49</f>
        <v>4173949.2988551441</v>
      </c>
      <c r="E42" s="623">
        <f>'A) Resumen Ingresos y Egresos'!$D$11*E49</f>
        <v>4327757.2042000592</v>
      </c>
      <c r="F42" s="623">
        <f>'A) Resumen Ingresos y Egresos'!$D$11*F49</f>
        <v>4530585.0131524187</v>
      </c>
      <c r="G42" s="623">
        <f>'A) Resumen Ingresos y Egresos'!$D$11*G49</f>
        <v>3848762.7175216055</v>
      </c>
      <c r="H42" s="623">
        <f>'A) Resumen Ingresos y Egresos'!$D$11*H49</f>
        <v>4297072.0177860484</v>
      </c>
      <c r="I42" s="623">
        <f>'A) Resumen Ingresos y Egresos'!$D$11*I49</f>
        <v>5098770.2595114289</v>
      </c>
      <c r="J42" s="623">
        <f>'A) Resumen Ingresos y Egresos'!$D$11*J49</f>
        <v>4680318.5368987927</v>
      </c>
      <c r="K42" s="623">
        <f>'A) Resumen Ingresos y Egresos'!$D$11*K49</f>
        <v>3679548.556757208</v>
      </c>
      <c r="L42" s="623">
        <f>'A) Resumen Ingresos y Egresos'!$D$11*L49</f>
        <v>4434136.7612494603</v>
      </c>
      <c r="M42" s="623">
        <f>'A) Resumen Ingresos y Egresos'!$D$11*M49</f>
        <v>3490694.6034435942</v>
      </c>
      <c r="N42" s="644">
        <f>'A) Resumen Ingresos y Egresos'!$D$11*N49</f>
        <v>5442406.1500208592</v>
      </c>
      <c r="O42" s="647">
        <f>SUM(C42:N42)</f>
        <v>51135800</v>
      </c>
      <c r="P42" s="552">
        <f t="shared" ref="P42:P47" si="9">IF(Q42=12,C42+D42+E42+F42+G42+H42+I42+J42+K42+L42+M42+N42,IF(Q42=11,C42+D42+E42+F42+G42+H42+I42+J42+K42+L42+M42,IF(Q42=10,C42+D42+E42+F42+G42+H42+I42+J42+K42+L42,IF(Q42=9,C42+D42+E42+F42+G42+H42+I42+J42+K42,IF(Q42=8,C42+D42+E42+F42+G42+H42+I42+J42,IF(Q42=7,C42+D42+E42+F42+G42+H42+I42,IF(Q42=6,C42+D42+E42+F42+G42+H42,IF(Q42=5,C42+D42+E42+F42+G42,0))))))))</f>
        <v>51135800</v>
      </c>
      <c r="Q42" s="554">
        <f>COUNTA(#REF!,#REF!,#REF!,#REF!,#REF!,#REF!,#REF!,#REF!,#REF!,#REF!,#REF!,#REF!)</f>
        <v>12</v>
      </c>
    </row>
    <row r="43" spans="2:18" x14ac:dyDescent="0.25">
      <c r="B43" s="620" t="s">
        <v>212</v>
      </c>
      <c r="C43" s="619">
        <f>(SUM('F) Remuneraciones'!$L$71:$L$79)-SUM('F) Remuneraciones'!$J$71:$J$79)-SUM('F) Remuneraciones'!$I$71:$I$79))/12</f>
        <v>783750</v>
      </c>
      <c r="D43" s="619">
        <f>(SUM('F) Remuneraciones'!$L$71:$L$79)-SUM('F) Remuneraciones'!$J$71:$J$79)-SUM('F) Remuneraciones'!$I$71:$I$79))/12</f>
        <v>783750</v>
      </c>
      <c r="E43" s="619">
        <f>(SUM('F) Remuneraciones'!$L$71:$L$79)-SUM('F) Remuneraciones'!$J$71:$J$79)-SUM('F) Remuneraciones'!$I$71:$I$79))/12</f>
        <v>783750</v>
      </c>
      <c r="F43" s="619">
        <f>(SUM('F) Remuneraciones'!$L$71:$L$79)-SUM('F) Remuneraciones'!$J$71:$J$79)-SUM('F) Remuneraciones'!$I$71:$I$79))/12</f>
        <v>783750</v>
      </c>
      <c r="G43" s="619">
        <f>(SUM('F) Remuneraciones'!$L$71:$L$79)-SUM('F) Remuneraciones'!$J$71:$J$79)-SUM('F) Remuneraciones'!$I$71:$I$79))/12</f>
        <v>783750</v>
      </c>
      <c r="H43" s="619">
        <f>(SUM('F) Remuneraciones'!$L$71:$L$79)-SUM('F) Remuneraciones'!$J$71:$J$79)-SUM('F) Remuneraciones'!$I$71:$I$79))/12</f>
        <v>783750</v>
      </c>
      <c r="I43" s="619">
        <f>(SUM('F) Remuneraciones'!$L$71:$L$79)-SUM('F) Remuneraciones'!$J$71:$J$79)-SUM('F) Remuneraciones'!$I$71:$I$79))/12</f>
        <v>783750</v>
      </c>
      <c r="J43" s="619">
        <f>(SUM('F) Remuneraciones'!$L$71:$L$79)-SUM('F) Remuneraciones'!$J$71:$J$79)-SUM('F) Remuneraciones'!$I$71:$I$79))/12</f>
        <v>783750</v>
      </c>
      <c r="K43" s="619">
        <f>(SUM('F) Remuneraciones'!$L$71:$L$79)-SUM('F) Remuneraciones'!$J$71:$J$79)-SUM('F) Remuneraciones'!$I$71:$I$79))/12</f>
        <v>783750</v>
      </c>
      <c r="L43" s="619">
        <f>(SUM('F) Remuneraciones'!$L$71:$L$79)-SUM('F) Remuneraciones'!$J$71:$J$79)-SUM('F) Remuneraciones'!$I$71:$I$79))/12</f>
        <v>783750</v>
      </c>
      <c r="M43" s="619">
        <f>(SUM('F) Remuneraciones'!$L$71:$L$79)-SUM('F) Remuneraciones'!$J$71:$J$79)-SUM('F) Remuneraciones'!$I$71:$I$79))/12</f>
        <v>783750</v>
      </c>
      <c r="N43" s="619">
        <f>(SUM('F) Remuneraciones'!$L$71:$L$79)-SUM('F) Remuneraciones'!$J$71:$J$79)-SUM('F) Remuneraciones'!$I$71:$I$79))/12</f>
        <v>783750</v>
      </c>
      <c r="O43" s="648">
        <f>SUM(C43:N43)</f>
        <v>9405000</v>
      </c>
      <c r="P43" s="552">
        <f t="shared" si="9"/>
        <v>9405000</v>
      </c>
      <c r="Q43" s="554">
        <f>COUNTA(#REF!,#REF!,#REF!,#REF!,#REF!,#REF!,#REF!,#REF!,#REF!,#REF!,#REF!,#REF!)</f>
        <v>12</v>
      </c>
    </row>
    <row r="44" spans="2:18" x14ac:dyDescent="0.25">
      <c r="B44" s="620" t="s">
        <v>213</v>
      </c>
      <c r="C44" s="619">
        <f>SUM('F) Remuneraciones'!$L$80:$L$90)/4</f>
        <v>0</v>
      </c>
      <c r="D44" s="619">
        <f>SUM('F) Remuneraciones'!$L$80:$L$90)/4</f>
        <v>0</v>
      </c>
      <c r="E44" s="619">
        <f>SUM('F) Remuneraciones'!$L$80:$L$90)/4</f>
        <v>0</v>
      </c>
      <c r="F44" s="619">
        <v>0</v>
      </c>
      <c r="G44" s="619">
        <v>0</v>
      </c>
      <c r="H44" s="619">
        <v>0</v>
      </c>
      <c r="I44" s="619">
        <v>0</v>
      </c>
      <c r="J44" s="619">
        <v>0</v>
      </c>
      <c r="K44" s="619">
        <v>0</v>
      </c>
      <c r="L44" s="619">
        <v>0</v>
      </c>
      <c r="M44" s="619">
        <v>0</v>
      </c>
      <c r="N44" s="619">
        <f>SUM('F) Remuneraciones'!$L$80:$L$90)/4</f>
        <v>0</v>
      </c>
      <c r="O44" s="648">
        <f t="shared" ref="O44:O47" si="10">SUM(C44:N44)</f>
        <v>0</v>
      </c>
      <c r="P44" s="552">
        <f t="shared" si="9"/>
        <v>0</v>
      </c>
      <c r="Q44" s="554">
        <f>COUNTA(#REF!,#REF!,#REF!,#REF!,#REF!,#REF!,#REF!,#REF!,#REF!,#REF!,#REF!,#REF!)</f>
        <v>12</v>
      </c>
      <c r="R44" s="699"/>
    </row>
    <row r="45" spans="2:18" x14ac:dyDescent="0.25">
      <c r="B45" s="620" t="s">
        <v>214</v>
      </c>
      <c r="C45" s="619">
        <f>SUM('F) Remuneraciones'!I71:I79)/2</f>
        <v>79400.5</v>
      </c>
      <c r="D45" s="619">
        <v>0</v>
      </c>
      <c r="E45" s="619">
        <v>0</v>
      </c>
      <c r="F45" s="619">
        <v>0</v>
      </c>
      <c r="G45" s="619">
        <v>0</v>
      </c>
      <c r="H45" s="619">
        <v>0</v>
      </c>
      <c r="I45" s="619">
        <v>0</v>
      </c>
      <c r="J45" s="619">
        <v>0</v>
      </c>
      <c r="K45" s="619">
        <f>SUM('F) Remuneraciones'!J71:J79)/2</f>
        <v>44083</v>
      </c>
      <c r="L45" s="619">
        <v>0</v>
      </c>
      <c r="M45" s="619">
        <v>0</v>
      </c>
      <c r="N45" s="619">
        <f>+C45+K45</f>
        <v>123483.5</v>
      </c>
      <c r="O45" s="648">
        <f t="shared" si="10"/>
        <v>246967</v>
      </c>
      <c r="P45" s="552">
        <f t="shared" si="9"/>
        <v>246967</v>
      </c>
      <c r="Q45" s="554">
        <f>COUNTA(#REF!,#REF!,#REF!,#REF!,#REF!,#REF!,#REF!,#REF!,#REF!,#REF!,#REF!,#REF!)</f>
        <v>12</v>
      </c>
      <c r="R45" s="699"/>
    </row>
    <row r="46" spans="2:18" x14ac:dyDescent="0.25">
      <c r="B46" s="620" t="s">
        <v>215</v>
      </c>
      <c r="C46" s="619">
        <f>('C) Estimación Costos Directos'!$H$155-'C) Estimación Costos Directos'!$H$156)*C50</f>
        <v>11192.692375273626</v>
      </c>
      <c r="D46" s="619">
        <f>('C) Estimación Costos Directos'!$H$155-'C) Estimación Costos Directos'!$H$156)*D50</f>
        <v>813160.32408850384</v>
      </c>
      <c r="E46" s="619">
        <f>('C) Estimación Costos Directos'!$H$155-'C) Estimación Costos Directos'!$H$156)*E50</f>
        <v>555349.2432114355</v>
      </c>
      <c r="F46" s="619">
        <f>('C) Estimación Costos Directos'!$H$155-'C) Estimación Costos Directos'!$H$156)*F50</f>
        <v>296096.7619504297</v>
      </c>
      <c r="G46" s="619">
        <f>('C) Estimación Costos Directos'!$H$155-'C) Estimación Costos Directos'!$H$156)*G50</f>
        <v>430944.74239774386</v>
      </c>
      <c r="H46" s="619">
        <f>('C) Estimación Costos Directos'!$H$155-'C) Estimación Costos Directos'!$H$156)*H50</f>
        <v>414987.42097556515</v>
      </c>
      <c r="I46" s="619">
        <f>('C) Estimación Costos Directos'!$H$155-'C) Estimación Costos Directos'!$H$156)*I50</f>
        <v>226644.43747437542</v>
      </c>
      <c r="J46" s="619">
        <f>('C) Estimación Costos Directos'!$H$155-'C) Estimación Costos Directos'!$H$156)*J50</f>
        <v>405564.93328056514</v>
      </c>
      <c r="K46" s="619">
        <f>('C) Estimación Costos Directos'!$H$155-'C) Estimación Costos Directos'!$H$156)*K50</f>
        <v>359976.39958858344</v>
      </c>
      <c r="L46" s="619">
        <f>('C) Estimación Costos Directos'!$H$155-'C) Estimación Costos Directos'!$H$156)*L50</f>
        <v>586506.78686422971</v>
      </c>
      <c r="M46" s="619">
        <f>('C) Estimación Costos Directos'!$H$155-'C) Estimación Costos Directos'!$H$156)*M50</f>
        <v>231438.79237094926</v>
      </c>
      <c r="N46" s="645">
        <f>('C) Estimación Costos Directos'!$H$155-'C) Estimación Costos Directos'!$H$156)*N50</f>
        <v>101193.46542234512</v>
      </c>
      <c r="O46" s="648">
        <f>SUM(C46:N46)</f>
        <v>4433056</v>
      </c>
      <c r="P46" s="552">
        <f t="shared" si="9"/>
        <v>4433056</v>
      </c>
      <c r="Q46" s="554">
        <f>COUNTA(#REF!,#REF!,#REF!,#REF!,#REF!,#REF!,#REF!,#REF!,#REF!,#REF!,#REF!,#REF!)</f>
        <v>12</v>
      </c>
    </row>
    <row r="47" spans="2:18" ht="15.75" thickBot="1" x14ac:dyDescent="0.3">
      <c r="B47" s="629" t="s">
        <v>266</v>
      </c>
      <c r="C47" s="630">
        <f>'C) Estimación Costos Directos'!$H$183*C51</f>
        <v>35646.260076721846</v>
      </c>
      <c r="D47" s="630">
        <f>'C) Estimación Costos Directos'!$H$183*D51</f>
        <v>2589736.5374362497</v>
      </c>
      <c r="E47" s="630">
        <f>'C) Estimación Costos Directos'!$H$183*E51</f>
        <v>1768665.026536257</v>
      </c>
      <c r="F47" s="630">
        <f>'C) Estimación Costos Directos'!$H$183*F51</f>
        <v>943002.97287516447</v>
      </c>
      <c r="G47" s="630">
        <f>'C) Estimación Costos Directos'!$H$183*G51</f>
        <v>1372464.0909583059</v>
      </c>
      <c r="H47" s="630">
        <f>'C) Estimación Costos Directos'!$H$183*H51</f>
        <v>1321643.5367546154</v>
      </c>
      <c r="I47" s="630">
        <f>'C) Estimación Costos Directos'!$H$183*I51</f>
        <v>721812.6159709096</v>
      </c>
      <c r="J47" s="630">
        <f>'C) Estimación Costos Directos'!$H$183*J51</f>
        <v>1291634.9887052039</v>
      </c>
      <c r="K47" s="630">
        <f>'C) Estimación Costos Directos'!$H$183*K51</f>
        <v>1146445.5495591066</v>
      </c>
      <c r="L47" s="630">
        <f>'C) Estimación Costos Directos'!$H$183*L51</f>
        <v>1867894.9407660908</v>
      </c>
      <c r="M47" s="630">
        <f>'C) Estimación Costos Directos'!$H$183*M51</f>
        <v>737081.58038209297</v>
      </c>
      <c r="N47" s="646">
        <f>'C) Estimación Costos Directos'!$H$183*N51</f>
        <v>322278.89997928136</v>
      </c>
      <c r="O47" s="649">
        <f t="shared" si="10"/>
        <v>14118307</v>
      </c>
      <c r="P47" s="552">
        <f t="shared" si="9"/>
        <v>14118307</v>
      </c>
      <c r="Q47" s="554">
        <f>COUNTA(#REF!,#REF!,#REF!,#REF!,#REF!,#REF!,#REF!,#REF!,#REF!,#REF!,#REF!,#REF!)</f>
        <v>12</v>
      </c>
    </row>
    <row r="48" spans="2:18" ht="15.75" thickBot="1" x14ac:dyDescent="0.3">
      <c r="B48" s="636" t="s">
        <v>216</v>
      </c>
      <c r="C48" s="634">
        <f>C42-(C43+C44+C45+C46+C47)</f>
        <v>2221809.4281513835</v>
      </c>
      <c r="D48" s="634">
        <f t="shared" ref="D48:M48" si="11">D42-(D43+D44+D45+D46+D47)</f>
        <v>-12697.562669609208</v>
      </c>
      <c r="E48" s="634">
        <f t="shared" si="11"/>
        <v>1219992.9344523665</v>
      </c>
      <c r="F48" s="634">
        <f t="shared" si="11"/>
        <v>2507735.2783268243</v>
      </c>
      <c r="G48" s="634">
        <f t="shared" si="11"/>
        <v>1261603.8841655557</v>
      </c>
      <c r="H48" s="634">
        <f t="shared" si="11"/>
        <v>1776691.0600558678</v>
      </c>
      <c r="I48" s="634">
        <f t="shared" si="11"/>
        <v>3366563.2060661437</v>
      </c>
      <c r="J48" s="634">
        <f t="shared" si="11"/>
        <v>2199368.614913024</v>
      </c>
      <c r="K48" s="634">
        <f t="shared" si="11"/>
        <v>1345293.6076095179</v>
      </c>
      <c r="L48" s="634">
        <f t="shared" si="11"/>
        <v>1195985.0336191398</v>
      </c>
      <c r="M48" s="634">
        <f t="shared" si="11"/>
        <v>1738424.2306905519</v>
      </c>
      <c r="N48" s="650">
        <f>N42-(N43+N44+N45+N46+N47)</f>
        <v>4111700.2846192326</v>
      </c>
      <c r="O48" s="700">
        <f>O42-(O43+O44+O45+O46+O47)</f>
        <v>22932470</v>
      </c>
      <c r="R48" s="719"/>
    </row>
    <row r="49" spans="2:18" x14ac:dyDescent="0.25">
      <c r="B49" s="401" t="s">
        <v>217</v>
      </c>
      <c r="C49" s="357">
        <v>6.1244742051622919E-2</v>
      </c>
      <c r="D49" s="357">
        <v>8.1624797086486262E-2</v>
      </c>
      <c r="E49" s="357">
        <v>8.4632629277337196E-2</v>
      </c>
      <c r="F49" s="357">
        <v>8.8599083482656354E-2</v>
      </c>
      <c r="G49" s="357">
        <v>7.5265522735962001E-2</v>
      </c>
      <c r="H49" s="357">
        <v>8.4032556795553187E-2</v>
      </c>
      <c r="I49" s="357">
        <v>9.9710384104901628E-2</v>
      </c>
      <c r="J49" s="357">
        <v>9.152723799957746E-2</v>
      </c>
      <c r="K49" s="357">
        <v>7.1956409340563909E-2</v>
      </c>
      <c r="L49" s="357">
        <v>8.6712963545098748E-2</v>
      </c>
      <c r="M49" s="357">
        <v>6.8263224657550955E-2</v>
      </c>
      <c r="N49" s="357">
        <v>0.10643044892268938</v>
      </c>
      <c r="O49" s="403"/>
    </row>
    <row r="50" spans="2:18" x14ac:dyDescent="0.25">
      <c r="B50" s="402" t="s">
        <v>218</v>
      </c>
      <c r="C50" s="358">
        <v>2.5248253970339253E-3</v>
      </c>
      <c r="D50" s="358">
        <v>0.18343109676225697</v>
      </c>
      <c r="E50" s="358">
        <v>0.12527458331485899</v>
      </c>
      <c r="F50" s="358">
        <v>6.6792921621208867E-2</v>
      </c>
      <c r="G50" s="358">
        <v>9.7211662202720622E-2</v>
      </c>
      <c r="H50" s="358">
        <v>9.3612041213908675E-2</v>
      </c>
      <c r="I50" s="358">
        <v>5.1126003703624634E-2</v>
      </c>
      <c r="J50" s="358">
        <v>9.148653508563058E-2</v>
      </c>
      <c r="K50" s="358">
        <v>8.1202763869570663E-2</v>
      </c>
      <c r="L50" s="358">
        <v>0.13230304035505749</v>
      </c>
      <c r="M50" s="358">
        <v>5.2207504793747084E-2</v>
      </c>
      <c r="N50" s="358">
        <v>2.2827021680381462E-2</v>
      </c>
    </row>
    <row r="51" spans="2:18" ht="15.75" thickBot="1" x14ac:dyDescent="0.3">
      <c r="B51" s="402" t="s">
        <v>267</v>
      </c>
      <c r="C51" s="358">
        <v>2.5248253970339253E-3</v>
      </c>
      <c r="D51" s="358">
        <v>0.18343109676225697</v>
      </c>
      <c r="E51" s="358">
        <v>0.12527458331485899</v>
      </c>
      <c r="F51" s="358">
        <v>6.6792921621208867E-2</v>
      </c>
      <c r="G51" s="358">
        <v>9.7211662202720622E-2</v>
      </c>
      <c r="H51" s="358">
        <v>9.3612041213908675E-2</v>
      </c>
      <c r="I51" s="358">
        <v>5.1126003703624634E-2</v>
      </c>
      <c r="J51" s="358">
        <v>9.148653508563058E-2</v>
      </c>
      <c r="K51" s="358">
        <v>8.1202763869570663E-2</v>
      </c>
      <c r="L51" s="358">
        <v>0.13230304035505749</v>
      </c>
      <c r="M51" s="358">
        <v>5.2207504793747084E-2</v>
      </c>
      <c r="N51" s="358">
        <v>2.2827021680381462E-2</v>
      </c>
    </row>
    <row r="52" spans="2:18" ht="15.75" thickBot="1" x14ac:dyDescent="0.3">
      <c r="B52" s="625" t="s">
        <v>222</v>
      </c>
      <c r="C52" s="626" t="s">
        <v>198</v>
      </c>
      <c r="D52" s="626" t="s">
        <v>199</v>
      </c>
      <c r="E52" s="626" t="s">
        <v>200</v>
      </c>
      <c r="F52" s="626" t="s">
        <v>201</v>
      </c>
      <c r="G52" s="626" t="s">
        <v>202</v>
      </c>
      <c r="H52" s="626" t="s">
        <v>203</v>
      </c>
      <c r="I52" s="626" t="s">
        <v>204</v>
      </c>
      <c r="J52" s="627" t="s">
        <v>205</v>
      </c>
      <c r="K52" s="626" t="s">
        <v>206</v>
      </c>
      <c r="L52" s="626" t="s">
        <v>207</v>
      </c>
      <c r="M52" s="626" t="s">
        <v>208</v>
      </c>
      <c r="N52" s="626" t="s">
        <v>209</v>
      </c>
      <c r="O52" s="628" t="s">
        <v>313</v>
      </c>
      <c r="P52" s="552"/>
      <c r="Q52" s="553" t="s">
        <v>288</v>
      </c>
    </row>
    <row r="53" spans="2:18" x14ac:dyDescent="0.25">
      <c r="B53" s="622" t="s">
        <v>211</v>
      </c>
      <c r="C53" s="623">
        <f>'A) Resumen Ingresos y Egresos'!$D$12*C60</f>
        <v>1021264.9999999999</v>
      </c>
      <c r="D53" s="623">
        <f>'A) Resumen Ingresos y Egresos'!$D$12*D60</f>
        <v>1021264.9999999999</v>
      </c>
      <c r="E53" s="623">
        <f>'A) Resumen Ingresos y Egresos'!$D$12*E60</f>
        <v>437685</v>
      </c>
      <c r="F53" s="623">
        <f>'A) Resumen Ingresos y Egresos'!$D$12*F60</f>
        <v>0</v>
      </c>
      <c r="G53" s="623">
        <f>'A) Resumen Ingresos y Egresos'!$D$12*G60</f>
        <v>0</v>
      </c>
      <c r="H53" s="623">
        <f>'A) Resumen Ingresos y Egresos'!$D$12*H60</f>
        <v>0</v>
      </c>
      <c r="I53" s="623">
        <f>'A) Resumen Ingresos y Egresos'!$D$12*I60</f>
        <v>0</v>
      </c>
      <c r="J53" s="623">
        <f>'A) Resumen Ingresos y Egresos'!$D$12*J60</f>
        <v>0</v>
      </c>
      <c r="K53" s="623">
        <f>'A) Resumen Ingresos y Egresos'!$D$12*K60</f>
        <v>0</v>
      </c>
      <c r="L53" s="623">
        <f>'A) Resumen Ingresos y Egresos'!$D$12*L60</f>
        <v>0</v>
      </c>
      <c r="M53" s="623">
        <f>'A) Resumen Ingresos y Egresos'!$D$12*M60</f>
        <v>0</v>
      </c>
      <c r="N53" s="644">
        <f>'A) Resumen Ingresos y Egresos'!$D$12*N60</f>
        <v>437685</v>
      </c>
      <c r="O53" s="647">
        <f>SUM(C53:N53)</f>
        <v>2917900</v>
      </c>
      <c r="P53" s="552">
        <f t="shared" ref="P53:P58" si="12">IF(Q53=12,C53+D53+E53+F53+G53+H53+I53+J53+K53+L53+M53+N53,IF(Q53=11,C53+D53+E53+F53+G53+H53+I53+J53+K53+L53+M53,IF(Q53=10,C53+D53+E53+F53+G53+H53+I53+J53+K53+L53,IF(Q53=9,C53+D53+E53+F53+G53+H53+I53+J53+K53,IF(Q53=8,C53+D53+E53+F53+G53+H53+I53+J53,IF(Q53=7,C53+D53+E53+F53+G53+H53+I53,IF(Q53=6,C53+D53+E53+F53+G53+H53,IF(Q53=5,C53+D53+E53+F53+G53,0))))))))</f>
        <v>2917900</v>
      </c>
      <c r="Q53" s="554">
        <f>COUNTA(#REF!,#REF!,#REF!,#REF!,#REF!,#REF!,#REF!,#REF!,#REF!,#REF!,#REF!,#REF!)</f>
        <v>12</v>
      </c>
    </row>
    <row r="54" spans="2:18" x14ac:dyDescent="0.25">
      <c r="B54" s="620" t="s">
        <v>212</v>
      </c>
      <c r="C54" s="619">
        <f>(SUM('F) Remuneraciones'!$L$91:$L$99)-SUM('F) Remuneraciones'!$I$91:$I$99)-SUM('F) Remuneraciones'!$J$91:$J$99))/4</f>
        <v>2859709.1187499999</v>
      </c>
      <c r="D54" s="619">
        <f>(SUM('F) Remuneraciones'!$L$91:$L$99)-SUM('F) Remuneraciones'!$I$91:$I$99)-SUM('F) Remuneraciones'!$J$91:$J$99))/4</f>
        <v>2859709.1187499999</v>
      </c>
      <c r="E54" s="619">
        <f>(SUM('F) Remuneraciones'!$L$91:$L$99)-SUM('F) Remuneraciones'!$I$91:$I$99)-SUM('F) Remuneraciones'!$J$91:$J$99))/4</f>
        <v>2859709.1187499999</v>
      </c>
      <c r="F54" s="619">
        <v>0</v>
      </c>
      <c r="G54" s="619">
        <v>0</v>
      </c>
      <c r="H54" s="619">
        <v>0</v>
      </c>
      <c r="I54" s="619">
        <v>0</v>
      </c>
      <c r="J54" s="619">
        <v>0</v>
      </c>
      <c r="K54" s="619">
        <v>0</v>
      </c>
      <c r="L54" s="619">
        <v>0</v>
      </c>
      <c r="M54" s="619">
        <v>0</v>
      </c>
      <c r="N54" s="619">
        <f>(SUM('F) Remuneraciones'!$L$91:$L$99)-SUM('F) Remuneraciones'!$I$91:$I$99)-SUM('F) Remuneraciones'!$J$91:$J$99))/4</f>
        <v>2859709.1187499999</v>
      </c>
      <c r="O54" s="648">
        <f t="shared" ref="O54:O56" si="13">SUM(C54:N54)</f>
        <v>11438836.475</v>
      </c>
      <c r="P54" s="552">
        <f t="shared" si="12"/>
        <v>11438836.475</v>
      </c>
      <c r="Q54" s="554">
        <f>COUNTA(#REF!,#REF!,#REF!,#REF!,#REF!,#REF!,#REF!,#REF!,#REF!,#REF!,#REF!,#REF!)</f>
        <v>12</v>
      </c>
    </row>
    <row r="55" spans="2:18" x14ac:dyDescent="0.25">
      <c r="B55" s="620" t="s">
        <v>213</v>
      </c>
      <c r="C55" s="619">
        <f>SUM('F) Remuneraciones'!$L$111:$L$119)/4</f>
        <v>0</v>
      </c>
      <c r="D55" s="619">
        <f>SUM('F) Remuneraciones'!$L$111:$L$119)/4</f>
        <v>0</v>
      </c>
      <c r="E55" s="619">
        <f>SUM('F) Remuneraciones'!$L$111:$L$119)/4</f>
        <v>0</v>
      </c>
      <c r="F55" s="619">
        <v>0</v>
      </c>
      <c r="G55" s="619">
        <v>0</v>
      </c>
      <c r="H55" s="619">
        <v>0</v>
      </c>
      <c r="I55" s="619">
        <v>0</v>
      </c>
      <c r="J55" s="619">
        <v>0</v>
      </c>
      <c r="K55" s="619">
        <v>0</v>
      </c>
      <c r="L55" s="619">
        <v>0</v>
      </c>
      <c r="M55" s="619">
        <v>0</v>
      </c>
      <c r="N55" s="619">
        <f>SUM('F) Remuneraciones'!$L$111:$L$119)/4</f>
        <v>0</v>
      </c>
      <c r="O55" s="648">
        <f t="shared" si="13"/>
        <v>0</v>
      </c>
      <c r="P55" s="552">
        <f t="shared" si="12"/>
        <v>0</v>
      </c>
      <c r="Q55" s="554">
        <f>COUNTA(#REF!,#REF!,#REF!,#REF!,#REF!,#REF!,#REF!,#REF!,#REF!,#REF!,#REF!,#REF!)</f>
        <v>12</v>
      </c>
    </row>
    <row r="56" spans="2:18" x14ac:dyDescent="0.25">
      <c r="B56" s="620" t="s">
        <v>214</v>
      </c>
      <c r="C56" s="619">
        <f>(SUM('F) Remuneraciones'!$I91:$I$99)+SUM('F) Remuneraciones'!$J$91:$J$99))/2</f>
        <v>0</v>
      </c>
      <c r="D56" s="619">
        <v>0</v>
      </c>
      <c r="E56" s="619">
        <v>0</v>
      </c>
      <c r="F56" s="619">
        <v>0</v>
      </c>
      <c r="G56" s="619">
        <v>0</v>
      </c>
      <c r="H56" s="619">
        <v>0</v>
      </c>
      <c r="I56" s="619">
        <v>0</v>
      </c>
      <c r="J56" s="619">
        <v>0</v>
      </c>
      <c r="K56" s="619">
        <f>(SUM('F) Remuneraciones'!$I91:$I$99)+SUM('F) Remuneraciones'!$J$91:$J$99))/2</f>
        <v>0</v>
      </c>
      <c r="L56" s="619">
        <v>0</v>
      </c>
      <c r="M56" s="619">
        <v>0</v>
      </c>
      <c r="N56" s="701">
        <f>C56+K56</f>
        <v>0</v>
      </c>
      <c r="O56" s="648">
        <f t="shared" si="13"/>
        <v>0</v>
      </c>
      <c r="P56" s="552">
        <f t="shared" si="12"/>
        <v>0</v>
      </c>
      <c r="Q56" s="554">
        <f>COUNTA(#REF!,#REF!,#REF!,#REF!,#REF!,#REF!,#REF!,#REF!,#REF!,#REF!,#REF!,#REF!)</f>
        <v>12</v>
      </c>
    </row>
    <row r="57" spans="2:18" x14ac:dyDescent="0.25">
      <c r="B57" s="620" t="s">
        <v>215</v>
      </c>
      <c r="C57" s="619">
        <f>'C) Estimación Costos Directos'!$H$235*C61</f>
        <v>1219430.7</v>
      </c>
      <c r="D57" s="619">
        <f>'C) Estimación Costos Directos'!$H$235*D61</f>
        <v>2845338.3</v>
      </c>
      <c r="E57" s="619">
        <f>'C) Estimación Costos Directos'!$H$235*E61</f>
        <v>2845338.3</v>
      </c>
      <c r="F57" s="619">
        <f>('C) Estimación Costos Directos'!$H$227-'C) Estimación Costos Directos'!$H$228)*F61</f>
        <v>0</v>
      </c>
      <c r="G57" s="619">
        <f>('C) Estimación Costos Directos'!$H$227-'C) Estimación Costos Directos'!$H$228)*G61</f>
        <v>0</v>
      </c>
      <c r="H57" s="619">
        <f>('C) Estimación Costos Directos'!$H$227-'C) Estimación Costos Directos'!$H$228)*H61</f>
        <v>0</v>
      </c>
      <c r="I57" s="619">
        <f>('C) Estimación Costos Directos'!$H$227-'C) Estimación Costos Directos'!$H$228)*I61</f>
        <v>0</v>
      </c>
      <c r="J57" s="619">
        <f>('C) Estimación Costos Directos'!$H$227-'C) Estimación Costos Directos'!$H$228)*J61</f>
        <v>0</v>
      </c>
      <c r="K57" s="619">
        <f>('C) Estimación Costos Directos'!$H$227-'C) Estimación Costos Directos'!$H$228)*K61</f>
        <v>0</v>
      </c>
      <c r="L57" s="619">
        <f>('C) Estimación Costos Directos'!$H$227-'C) Estimación Costos Directos'!$H$228)*L61</f>
        <v>0</v>
      </c>
      <c r="M57" s="619">
        <f>('C) Estimación Costos Directos'!$H$227-'C) Estimación Costos Directos'!$H$228)*M61</f>
        <v>0</v>
      </c>
      <c r="N57" s="619">
        <f>'C) Estimación Costos Directos'!$H$235*N61</f>
        <v>1219430.7</v>
      </c>
      <c r="O57" s="648">
        <f>SUM(C57:N57)</f>
        <v>8129538</v>
      </c>
      <c r="P57" s="552">
        <f t="shared" si="12"/>
        <v>8129538</v>
      </c>
      <c r="Q57" s="554">
        <f>COUNTA(#REF!,#REF!,#REF!,#REF!,#REF!,#REF!,#REF!,#REF!,#REF!,#REF!,#REF!,#REF!)</f>
        <v>12</v>
      </c>
    </row>
    <row r="58" spans="2:18" ht="15.75" thickBot="1" x14ac:dyDescent="0.3">
      <c r="B58" s="702" t="s">
        <v>266</v>
      </c>
      <c r="C58" s="703">
        <f>'C) Estimación Costos Directos'!$H$255*C62</f>
        <v>222559.5</v>
      </c>
      <c r="D58" s="703">
        <f>'C) Estimación Costos Directos'!$H$255*D62</f>
        <v>519305.49999999994</v>
      </c>
      <c r="E58" s="703">
        <f>'C) Estimación Costos Directos'!$H$255*E62</f>
        <v>519305.49999999994</v>
      </c>
      <c r="F58" s="703">
        <f>'C) Estimación Costos Directos'!$H$255*F62</f>
        <v>0</v>
      </c>
      <c r="G58" s="703">
        <f>'C) Estimación Costos Directos'!$H$255*G62</f>
        <v>0</v>
      </c>
      <c r="H58" s="703">
        <f>'C) Estimación Costos Directos'!$H$255*H62</f>
        <v>0</v>
      </c>
      <c r="I58" s="703">
        <f>'C) Estimación Costos Directos'!$H$255*I62</f>
        <v>0</v>
      </c>
      <c r="J58" s="703">
        <f>'C) Estimación Costos Directos'!$H$255*J62</f>
        <v>0</v>
      </c>
      <c r="K58" s="703">
        <f>'C) Estimación Costos Directos'!$H$255*K62</f>
        <v>0</v>
      </c>
      <c r="L58" s="703">
        <f>'C) Estimación Costos Directos'!$H$255*L62</f>
        <v>0</v>
      </c>
      <c r="M58" s="703">
        <f>'C) Estimación Costos Directos'!$H$255*M62</f>
        <v>0</v>
      </c>
      <c r="N58" s="703">
        <f>'C) Estimación Costos Directos'!$H$255*N62</f>
        <v>222559.5</v>
      </c>
      <c r="O58" s="649">
        <f>SUM(C58:N58)</f>
        <v>1483730</v>
      </c>
      <c r="P58" s="552">
        <f t="shared" si="12"/>
        <v>1483730</v>
      </c>
      <c r="Q58" s="554">
        <f>COUNTA(#REF!,#REF!,#REF!,#REF!,#REF!,#REF!,#REF!,#REF!,#REF!,#REF!,#REF!,#REF!)</f>
        <v>12</v>
      </c>
    </row>
    <row r="59" spans="2:18" ht="15.75" thickBot="1" x14ac:dyDescent="0.3">
      <c r="B59" s="632" t="s">
        <v>216</v>
      </c>
      <c r="C59" s="349">
        <f>C53-C57-C58-C54</f>
        <v>-3280434.3187500001</v>
      </c>
      <c r="D59" s="349">
        <f t="shared" ref="D59:E59" si="14">D53-D57-D58-D54</f>
        <v>-5203087.9187499993</v>
      </c>
      <c r="E59" s="349">
        <f t="shared" si="14"/>
        <v>-5786667.9187499993</v>
      </c>
      <c r="F59" s="349">
        <f t="shared" ref="F59:M59" si="15">F53-F57-F58</f>
        <v>0</v>
      </c>
      <c r="G59" s="349">
        <f t="shared" si="15"/>
        <v>0</v>
      </c>
      <c r="H59" s="349">
        <f t="shared" si="15"/>
        <v>0</v>
      </c>
      <c r="I59" s="349">
        <f t="shared" si="15"/>
        <v>0</v>
      </c>
      <c r="J59" s="349">
        <f t="shared" si="15"/>
        <v>0</v>
      </c>
      <c r="K59" s="349">
        <f t="shared" si="15"/>
        <v>0</v>
      </c>
      <c r="L59" s="349">
        <f t="shared" si="15"/>
        <v>0</v>
      </c>
      <c r="M59" s="349">
        <f t="shared" si="15"/>
        <v>0</v>
      </c>
      <c r="N59" s="350">
        <f>N53-N57-N58-N54</f>
        <v>-3864014.3187499996</v>
      </c>
      <c r="O59" s="704">
        <f>O53-O57-O58-O54</f>
        <v>-18134204.475000001</v>
      </c>
      <c r="R59" s="719"/>
    </row>
    <row r="60" spans="2:18" x14ac:dyDescent="0.25">
      <c r="B60" s="352" t="s">
        <v>217</v>
      </c>
      <c r="C60" s="353">
        <v>0.35</v>
      </c>
      <c r="D60" s="353">
        <v>0.35</v>
      </c>
      <c r="E60" s="353">
        <v>0.15</v>
      </c>
      <c r="F60" s="353">
        <v>0</v>
      </c>
      <c r="G60" s="353">
        <v>0</v>
      </c>
      <c r="H60" s="353">
        <v>0</v>
      </c>
      <c r="I60" s="353">
        <v>0</v>
      </c>
      <c r="J60" s="353">
        <v>0</v>
      </c>
      <c r="K60" s="353">
        <v>0</v>
      </c>
      <c r="L60" s="353">
        <v>0</v>
      </c>
      <c r="M60" s="353">
        <v>0</v>
      </c>
      <c r="N60" s="353">
        <v>0.15</v>
      </c>
      <c r="O60" s="403"/>
    </row>
    <row r="61" spans="2:18" x14ac:dyDescent="0.25">
      <c r="B61" s="355" t="s">
        <v>292</v>
      </c>
      <c r="C61" s="353">
        <v>0.15</v>
      </c>
      <c r="D61" s="353">
        <v>0.35</v>
      </c>
      <c r="E61" s="353">
        <v>0.35</v>
      </c>
      <c r="F61" s="353">
        <v>0</v>
      </c>
      <c r="G61" s="353">
        <v>0</v>
      </c>
      <c r="H61" s="353">
        <v>0</v>
      </c>
      <c r="I61" s="353">
        <v>0</v>
      </c>
      <c r="J61" s="353">
        <v>0</v>
      </c>
      <c r="K61" s="353">
        <v>0</v>
      </c>
      <c r="L61" s="353">
        <v>0</v>
      </c>
      <c r="M61" s="353">
        <v>0</v>
      </c>
      <c r="N61" s="353">
        <v>0.15</v>
      </c>
    </row>
    <row r="62" spans="2:18" x14ac:dyDescent="0.25">
      <c r="B62" s="355" t="s">
        <v>267</v>
      </c>
      <c r="C62" s="353">
        <v>0.15</v>
      </c>
      <c r="D62" s="353">
        <v>0.35</v>
      </c>
      <c r="E62" s="353">
        <v>0.35</v>
      </c>
      <c r="F62" s="353">
        <v>0</v>
      </c>
      <c r="G62" s="353">
        <v>0</v>
      </c>
      <c r="H62" s="353">
        <v>0</v>
      </c>
      <c r="I62" s="353">
        <v>0</v>
      </c>
      <c r="J62" s="353">
        <v>0</v>
      </c>
      <c r="K62" s="353">
        <v>0</v>
      </c>
      <c r="L62" s="353">
        <v>0</v>
      </c>
      <c r="M62" s="353">
        <v>0</v>
      </c>
      <c r="N62" s="353">
        <v>0.15</v>
      </c>
    </row>
  </sheetData>
  <sheetProtection sheet="1" objects="1" scenarios="1"/>
  <mergeCells count="3">
    <mergeCell ref="E4:F4"/>
    <mergeCell ref="B6:K6"/>
    <mergeCell ref="C4:D4"/>
  </mergeCells>
  <conditionalFormatting sqref="C15:O15">
    <cfRule type="cellIs" dxfId="4" priority="5" operator="lessThan">
      <formula>0</formula>
    </cfRule>
  </conditionalFormatting>
  <conditionalFormatting sqref="C37:O37">
    <cfRule type="cellIs" dxfId="3" priority="4" operator="lessThan">
      <formula>0</formula>
    </cfRule>
  </conditionalFormatting>
  <conditionalFormatting sqref="C48:O48">
    <cfRule type="cellIs" dxfId="2" priority="2" operator="lessThan">
      <formula>0</formula>
    </cfRule>
  </conditionalFormatting>
  <conditionalFormatting sqref="C59:O59">
    <cfRule type="cellIs" dxfId="1" priority="1" operator="lessThan">
      <formula>0</formula>
    </cfRule>
  </conditionalFormatting>
  <hyperlinks>
    <hyperlink ref="B6:K6" location="'Índice Tablas'!A1" display="TABLA N°13:  INGRESO POR ARRIENDOS " xr:uid="{00000000-0004-0000-0C00-000000000000}"/>
  </hyperlinks>
  <pageMargins left="0.7" right="0.7" top="0.75" bottom="0.75" header="0.3" footer="0.3"/>
  <pageSetup orientation="portrait" r:id="rId1"/>
  <ignoredErrors>
    <ignoredError sqref="D12 E12 G12 H12 L56 L45 M56 M45" formulaRange="1"/>
    <ignoredError sqref="F37" formula="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Q24"/>
  <sheetViews>
    <sheetView workbookViewId="0">
      <selection activeCell="P33" sqref="P33"/>
    </sheetView>
  </sheetViews>
  <sheetFormatPr baseColWidth="10" defaultRowHeight="15" x14ac:dyDescent="0.25"/>
  <cols>
    <col min="1" max="1" width="31.7109375" bestFit="1" customWidth="1"/>
    <col min="2" max="2" width="42.85546875" bestFit="1" customWidth="1"/>
    <col min="3" max="3" width="13" bestFit="1" customWidth="1"/>
    <col min="4" max="4" width="8.42578125" bestFit="1" customWidth="1"/>
    <col min="5" max="6" width="9.42578125" bestFit="1" customWidth="1"/>
    <col min="7" max="7" width="11.5703125" customWidth="1"/>
    <col min="8" max="8" width="11.7109375" bestFit="1" customWidth="1"/>
    <col min="9" max="9" width="11.5703125" customWidth="1"/>
    <col min="10" max="10" width="11.7109375" bestFit="1" customWidth="1"/>
    <col min="11" max="11" width="11.5703125" customWidth="1"/>
    <col min="12" max="12" width="11.140625" bestFit="1" customWidth="1"/>
    <col min="13" max="13" width="11" customWidth="1"/>
    <col min="14" max="14" width="12" bestFit="1" customWidth="1"/>
    <col min="15" max="15" width="11" customWidth="1"/>
    <col min="16" max="16" width="13.42578125" bestFit="1" customWidth="1"/>
    <col min="17" max="17" width="13.140625" bestFit="1" customWidth="1"/>
    <col min="18" max="19" width="11" customWidth="1"/>
    <col min="20" max="20" width="11" bestFit="1" customWidth="1"/>
    <col min="21" max="21" width="12.5703125" bestFit="1" customWidth="1"/>
    <col min="22" max="22" width="11" bestFit="1" customWidth="1"/>
    <col min="23" max="23" width="12.5703125" bestFit="1" customWidth="1"/>
    <col min="24" max="24" width="11.42578125" bestFit="1" customWidth="1"/>
    <col min="25" max="25" width="13.42578125" bestFit="1" customWidth="1"/>
  </cols>
  <sheetData>
    <row r="1" spans="1:17" x14ac:dyDescent="0.25">
      <c r="A1" s="987"/>
      <c r="B1" s="988"/>
      <c r="C1" s="988"/>
      <c r="D1" s="988"/>
      <c r="E1" s="988"/>
      <c r="F1" s="988"/>
      <c r="G1" s="988"/>
      <c r="H1" s="988"/>
      <c r="I1" s="988"/>
      <c r="J1" s="988"/>
      <c r="K1" s="988"/>
      <c r="L1" s="988"/>
      <c r="M1" s="988"/>
      <c r="N1" s="988"/>
      <c r="O1" s="988"/>
      <c r="P1" s="988"/>
      <c r="Q1" s="988"/>
    </row>
    <row r="3" spans="1:17" x14ac:dyDescent="0.25">
      <c r="A3" t="s">
        <v>3</v>
      </c>
      <c r="B3" t="s">
        <v>23</v>
      </c>
      <c r="C3" s="1365" t="s">
        <v>352</v>
      </c>
      <c r="D3" s="1365"/>
      <c r="E3" s="1365"/>
      <c r="F3" s="1365"/>
    </row>
    <row r="4" spans="1:17" x14ac:dyDescent="0.25">
      <c r="C4" t="s">
        <v>27</v>
      </c>
      <c r="D4" t="s">
        <v>171</v>
      </c>
      <c r="E4" t="s">
        <v>172</v>
      </c>
      <c r="F4" t="s">
        <v>173</v>
      </c>
      <c r="H4">
        <v>1.19</v>
      </c>
    </row>
    <row r="5" spans="1:17" x14ac:dyDescent="0.25">
      <c r="A5" t="s">
        <v>42</v>
      </c>
      <c r="B5" t="s">
        <v>43</v>
      </c>
      <c r="C5" s="986">
        <v>37000</v>
      </c>
      <c r="D5" s="1012">
        <v>56900</v>
      </c>
      <c r="E5" s="986">
        <v>67800</v>
      </c>
      <c r="F5" s="986">
        <v>71000</v>
      </c>
      <c r="H5" s="1013">
        <f>E5/$H$4</f>
        <v>56974.789915966387</v>
      </c>
      <c r="I5" s="1013">
        <f>F5/$H$4</f>
        <v>59663.865546218491</v>
      </c>
      <c r="K5" t="b">
        <f>H5&gt;D5</f>
        <v>1</v>
      </c>
    </row>
    <row r="6" spans="1:17" x14ac:dyDescent="0.25">
      <c r="B6" t="s">
        <v>44</v>
      </c>
      <c r="C6" s="986">
        <v>55000</v>
      </c>
      <c r="D6" s="1012">
        <v>84500</v>
      </c>
      <c r="E6" s="986">
        <v>100500</v>
      </c>
      <c r="F6" s="986">
        <v>105300</v>
      </c>
      <c r="H6" s="1013">
        <f t="shared" ref="H6:H17" si="0">E6/$H$4</f>
        <v>84453.781512605041</v>
      </c>
      <c r="I6" s="1013">
        <f t="shared" ref="I6:I17" si="1">F6/$H$4</f>
        <v>88487.394957983197</v>
      </c>
      <c r="K6" t="b">
        <f>H6&gt;D6</f>
        <v>0</v>
      </c>
    </row>
    <row r="7" spans="1:17" x14ac:dyDescent="0.25">
      <c r="B7" t="s">
        <v>45</v>
      </c>
      <c r="C7" s="986">
        <v>50600</v>
      </c>
      <c r="D7" s="1012">
        <v>77800</v>
      </c>
      <c r="E7" s="986">
        <v>92500</v>
      </c>
      <c r="F7" s="986">
        <v>96900</v>
      </c>
      <c r="H7" s="1013">
        <f t="shared" si="0"/>
        <v>77731.092436974795</v>
      </c>
      <c r="I7" s="1013">
        <f t="shared" si="1"/>
        <v>81428.571428571435</v>
      </c>
      <c r="K7" t="b">
        <f>H7&gt;D7</f>
        <v>0</v>
      </c>
    </row>
    <row r="8" spans="1:17" x14ac:dyDescent="0.25">
      <c r="B8" t="s">
        <v>46</v>
      </c>
      <c r="C8" s="986"/>
      <c r="D8" s="1012"/>
      <c r="E8" s="986"/>
      <c r="F8" s="986"/>
    </row>
    <row r="9" spans="1:17" x14ac:dyDescent="0.25">
      <c r="B9" t="s">
        <v>43</v>
      </c>
      <c r="C9" s="986"/>
      <c r="D9" s="1012">
        <v>17100</v>
      </c>
      <c r="E9" s="986">
        <v>20400</v>
      </c>
      <c r="F9" s="986">
        <v>21300</v>
      </c>
      <c r="H9" s="1013">
        <f>E9/$H$4</f>
        <v>17142.857142857145</v>
      </c>
      <c r="I9" s="1013">
        <f t="shared" si="1"/>
        <v>17899.159663865546</v>
      </c>
      <c r="K9" t="b">
        <f>H9&gt;D9</f>
        <v>1</v>
      </c>
    </row>
    <row r="10" spans="1:17" x14ac:dyDescent="0.25">
      <c r="B10" t="s">
        <v>47</v>
      </c>
      <c r="C10" s="986"/>
      <c r="D10" s="1012">
        <v>25400</v>
      </c>
      <c r="E10" s="986">
        <v>30200</v>
      </c>
      <c r="F10" s="986">
        <v>31600</v>
      </c>
      <c r="H10" s="1013">
        <f t="shared" si="0"/>
        <v>25378.151260504204</v>
      </c>
      <c r="I10" s="1013">
        <f t="shared" si="1"/>
        <v>26554.621848739498</v>
      </c>
      <c r="K10" t="b">
        <f>H10&gt;D10</f>
        <v>0</v>
      </c>
    </row>
    <row r="11" spans="1:17" x14ac:dyDescent="0.25">
      <c r="B11" t="s">
        <v>45</v>
      </c>
      <c r="C11" s="986"/>
      <c r="D11" s="1012">
        <v>23400</v>
      </c>
      <c r="E11" s="986">
        <v>27800</v>
      </c>
      <c r="F11" s="986">
        <v>29100</v>
      </c>
      <c r="H11" s="1013">
        <f t="shared" si="0"/>
        <v>23361.344537815126</v>
      </c>
      <c r="I11" s="1013">
        <f t="shared" si="1"/>
        <v>24453.781512605045</v>
      </c>
      <c r="K11" t="b">
        <f t="shared" ref="K11:K24" si="2">H11&gt;D11</f>
        <v>0</v>
      </c>
    </row>
    <row r="12" spans="1:17" x14ac:dyDescent="0.25">
      <c r="A12" t="s">
        <v>289</v>
      </c>
      <c r="B12" t="s">
        <v>51</v>
      </c>
      <c r="C12" s="986"/>
      <c r="D12" s="1012">
        <v>37300</v>
      </c>
      <c r="E12" s="986">
        <v>35900</v>
      </c>
      <c r="F12" s="986">
        <v>63800</v>
      </c>
      <c r="H12" s="1013">
        <f t="shared" si="0"/>
        <v>30168.067226890758</v>
      </c>
      <c r="I12" s="1013">
        <f t="shared" si="1"/>
        <v>53613.445378151264</v>
      </c>
      <c r="K12" t="b">
        <f t="shared" si="2"/>
        <v>0</v>
      </c>
    </row>
    <row r="13" spans="1:17" x14ac:dyDescent="0.25">
      <c r="B13" t="s">
        <v>52</v>
      </c>
      <c r="C13" s="986"/>
      <c r="D13" s="1012">
        <v>2000</v>
      </c>
      <c r="E13" s="986">
        <v>2500</v>
      </c>
      <c r="F13" s="986">
        <v>2600</v>
      </c>
      <c r="H13" s="1013">
        <f t="shared" si="0"/>
        <v>2100.840336134454</v>
      </c>
      <c r="I13" s="1013">
        <f t="shared" si="1"/>
        <v>2184.8739495798322</v>
      </c>
      <c r="K13" t="b">
        <f t="shared" si="2"/>
        <v>1</v>
      </c>
    </row>
    <row r="14" spans="1:17" x14ac:dyDescent="0.25">
      <c r="A14" t="s">
        <v>53</v>
      </c>
      <c r="B14" t="s">
        <v>43</v>
      </c>
      <c r="C14" s="986">
        <v>18000</v>
      </c>
      <c r="D14" s="1012">
        <v>27600</v>
      </c>
      <c r="E14" s="986">
        <v>34400</v>
      </c>
      <c r="F14" s="986">
        <v>37600</v>
      </c>
      <c r="H14" s="1013">
        <f t="shared" si="0"/>
        <v>28907.563025210085</v>
      </c>
      <c r="I14" s="1013">
        <f t="shared" si="1"/>
        <v>31596.638655462186</v>
      </c>
      <c r="K14" t="b">
        <f t="shared" si="2"/>
        <v>1</v>
      </c>
    </row>
    <row r="15" spans="1:17" x14ac:dyDescent="0.25">
      <c r="B15" t="s">
        <v>47</v>
      </c>
      <c r="C15" s="986">
        <v>23600</v>
      </c>
      <c r="D15" s="1012">
        <v>36200</v>
      </c>
      <c r="E15" s="986">
        <v>45100</v>
      </c>
      <c r="F15" s="986">
        <v>49200</v>
      </c>
      <c r="H15" s="1013">
        <f t="shared" si="0"/>
        <v>37899.159663865546</v>
      </c>
      <c r="I15" s="1013">
        <f t="shared" si="1"/>
        <v>41344.537815126052</v>
      </c>
      <c r="K15" t="b">
        <f t="shared" si="2"/>
        <v>1</v>
      </c>
    </row>
    <row r="16" spans="1:17" x14ac:dyDescent="0.25">
      <c r="B16" t="s">
        <v>54</v>
      </c>
      <c r="C16" s="986">
        <v>26000</v>
      </c>
      <c r="D16" s="1012">
        <v>39900</v>
      </c>
      <c r="E16" s="986">
        <v>49600</v>
      </c>
      <c r="F16" s="986">
        <v>54100</v>
      </c>
      <c r="H16" s="1013">
        <f t="shared" si="0"/>
        <v>41680.672268907561</v>
      </c>
      <c r="I16" s="1013">
        <f t="shared" si="1"/>
        <v>45462.184873949584</v>
      </c>
      <c r="K16" t="b">
        <f t="shared" si="2"/>
        <v>1</v>
      </c>
    </row>
    <row r="17" spans="1:11" x14ac:dyDescent="0.25">
      <c r="B17" t="s">
        <v>55</v>
      </c>
      <c r="C17" s="986">
        <v>21000</v>
      </c>
      <c r="D17" s="1012">
        <v>32200</v>
      </c>
      <c r="E17" s="986">
        <v>40200</v>
      </c>
      <c r="F17" s="986">
        <v>43800</v>
      </c>
      <c r="H17" s="1013">
        <f t="shared" si="0"/>
        <v>33781.512605042015</v>
      </c>
      <c r="I17" s="1013">
        <f t="shared" si="1"/>
        <v>36806.722689075628</v>
      </c>
      <c r="K17" t="b">
        <f t="shared" si="2"/>
        <v>1</v>
      </c>
    </row>
    <row r="18" spans="1:11" x14ac:dyDescent="0.25">
      <c r="B18" t="s">
        <v>46</v>
      </c>
      <c r="C18" s="986"/>
      <c r="D18" s="1012"/>
      <c r="E18" s="986"/>
      <c r="F18" s="986"/>
      <c r="H18" s="1013"/>
    </row>
    <row r="19" spans="1:11" x14ac:dyDescent="0.25">
      <c r="B19" t="s">
        <v>43</v>
      </c>
      <c r="C19" s="986"/>
      <c r="D19" s="1012">
        <v>8300</v>
      </c>
      <c r="E19" s="986">
        <v>10400</v>
      </c>
      <c r="F19" s="986">
        <v>11300</v>
      </c>
      <c r="H19" s="1013">
        <f t="shared" ref="H19" si="3">E19/$H$4</f>
        <v>8739.495798319329</v>
      </c>
      <c r="I19" s="1013">
        <f t="shared" ref="I19" si="4">F19/$H$4</f>
        <v>9495.7983193277323</v>
      </c>
      <c r="K19" t="b">
        <f t="shared" si="2"/>
        <v>1</v>
      </c>
    </row>
    <row r="20" spans="1:11" x14ac:dyDescent="0.25">
      <c r="B20" t="s">
        <v>47</v>
      </c>
      <c r="C20" s="986"/>
      <c r="D20" s="1012">
        <v>10900</v>
      </c>
      <c r="E20" s="986">
        <v>13600</v>
      </c>
      <c r="F20" s="986">
        <v>14800</v>
      </c>
      <c r="H20" s="1013">
        <f t="shared" ref="H20:H24" si="5">E20/$H$4</f>
        <v>11428.571428571429</v>
      </c>
      <c r="I20" s="1013">
        <f t="shared" ref="I20:I24" si="6">F20/$H$4</f>
        <v>12436.974789915967</v>
      </c>
      <c r="K20" t="b">
        <f t="shared" si="2"/>
        <v>1</v>
      </c>
    </row>
    <row r="21" spans="1:11" x14ac:dyDescent="0.25">
      <c r="B21" t="s">
        <v>54</v>
      </c>
      <c r="C21" s="986"/>
      <c r="D21" s="1012">
        <v>12000</v>
      </c>
      <c r="E21" s="986">
        <v>14900</v>
      </c>
      <c r="F21" s="986">
        <v>16300</v>
      </c>
      <c r="H21" s="1013">
        <f t="shared" si="5"/>
        <v>12521.008403361346</v>
      </c>
      <c r="I21" s="1013">
        <f t="shared" si="6"/>
        <v>13697.478991596639</v>
      </c>
      <c r="K21" t="b">
        <f t="shared" si="2"/>
        <v>1</v>
      </c>
    </row>
    <row r="22" spans="1:11" x14ac:dyDescent="0.25">
      <c r="B22" t="s">
        <v>55</v>
      </c>
      <c r="C22" s="986"/>
      <c r="D22" s="1012">
        <v>9700</v>
      </c>
      <c r="E22" s="986">
        <v>12100</v>
      </c>
      <c r="F22" s="986">
        <v>13200</v>
      </c>
      <c r="H22" s="1013">
        <f t="shared" si="5"/>
        <v>10168.067226890757</v>
      </c>
      <c r="I22" s="1013">
        <f t="shared" si="6"/>
        <v>11092.436974789916</v>
      </c>
      <c r="K22" t="b">
        <f t="shared" si="2"/>
        <v>1</v>
      </c>
    </row>
    <row r="23" spans="1:11" x14ac:dyDescent="0.25">
      <c r="A23" t="s">
        <v>56</v>
      </c>
      <c r="B23" t="s">
        <v>57</v>
      </c>
      <c r="C23" s="986"/>
      <c r="D23" s="1012">
        <v>6400</v>
      </c>
      <c r="E23" s="986">
        <v>7700</v>
      </c>
      <c r="F23" s="986">
        <v>8000</v>
      </c>
      <c r="H23" s="1013">
        <f t="shared" si="5"/>
        <v>6470.588235294118</v>
      </c>
      <c r="I23" s="1013">
        <f t="shared" si="6"/>
        <v>6722.6890756302528</v>
      </c>
      <c r="K23" t="b">
        <f t="shared" si="2"/>
        <v>1</v>
      </c>
    </row>
    <row r="24" spans="1:11" x14ac:dyDescent="0.25">
      <c r="B24" t="s">
        <v>58</v>
      </c>
      <c r="C24" s="986"/>
      <c r="D24" s="1012">
        <v>4100</v>
      </c>
      <c r="E24" s="986">
        <v>5000</v>
      </c>
      <c r="F24" s="986">
        <v>5200</v>
      </c>
      <c r="H24" s="1013">
        <f t="shared" si="5"/>
        <v>4201.680672268908</v>
      </c>
      <c r="I24" s="1013">
        <f t="shared" si="6"/>
        <v>4369.7478991596645</v>
      </c>
      <c r="K24" t="b">
        <f t="shared" si="2"/>
        <v>1</v>
      </c>
    </row>
  </sheetData>
  <mergeCells count="1">
    <mergeCell ref="C3:F3"/>
  </mergeCells>
  <conditionalFormatting sqref="B1:Q1">
    <cfRule type="cellIs" dxfId="0" priority="1" operator="lessThan">
      <formula>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6:AM73"/>
  <sheetViews>
    <sheetView showGridLines="0" zoomScale="80" zoomScaleNormal="80" workbookViewId="0">
      <selection activeCell="F69" sqref="F69"/>
    </sheetView>
  </sheetViews>
  <sheetFormatPr baseColWidth="10" defaultRowHeight="15" x14ac:dyDescent="0.25"/>
  <cols>
    <col min="2" max="2" width="60.7109375" style="320" customWidth="1"/>
    <col min="3" max="5" width="12.85546875" bestFit="1" customWidth="1"/>
    <col min="6" max="6" width="14.5703125" bestFit="1" customWidth="1"/>
    <col min="7" max="7" width="12.85546875" bestFit="1" customWidth="1"/>
    <col min="8" max="8" width="13.85546875" bestFit="1" customWidth="1"/>
    <col min="9" max="13" width="12.85546875" bestFit="1" customWidth="1"/>
    <col min="14" max="14" width="11.7109375" bestFit="1" customWidth="1"/>
    <col min="15" max="15" width="12.85546875" bestFit="1" customWidth="1"/>
    <col min="16" max="16" width="11.28515625" bestFit="1" customWidth="1"/>
    <col min="17" max="17" width="12.85546875" bestFit="1" customWidth="1"/>
    <col min="18" max="18" width="13.85546875" bestFit="1" customWidth="1"/>
    <col min="19" max="19" width="12.85546875" bestFit="1" customWidth="1"/>
    <col min="20" max="20" width="17.7109375" bestFit="1" customWidth="1"/>
    <col min="21" max="21" width="12.85546875" bestFit="1" customWidth="1"/>
    <col min="22" max="22" width="14.85546875" bestFit="1" customWidth="1"/>
    <col min="23" max="23" width="12.85546875" bestFit="1" customWidth="1"/>
    <col min="24" max="24" width="17.42578125" bestFit="1" customWidth="1"/>
    <col min="25" max="25" width="12.85546875" bestFit="1" customWidth="1"/>
    <col min="26" max="26" width="16.28515625" bestFit="1" customWidth="1"/>
    <col min="27" max="28" width="14.85546875" customWidth="1"/>
    <col min="29" max="32" width="14" customWidth="1"/>
    <col min="33" max="34" width="14.7109375" customWidth="1"/>
    <col min="35" max="36" width="14.42578125" customWidth="1"/>
    <col min="37" max="38" width="15" customWidth="1"/>
    <col min="39" max="39" width="16.42578125" customWidth="1"/>
  </cols>
  <sheetData>
    <row r="6" spans="2:38" x14ac:dyDescent="0.25">
      <c r="B6"/>
    </row>
    <row r="7" spans="2:38" ht="15.75" thickBot="1" x14ac:dyDescent="0.3"/>
    <row r="8" spans="2:38" ht="30.75" thickBot="1" x14ac:dyDescent="0.3">
      <c r="B8" s="336" t="s">
        <v>197</v>
      </c>
      <c r="C8" s="387" t="s">
        <v>198</v>
      </c>
      <c r="D8" s="388" t="s">
        <v>224</v>
      </c>
      <c r="E8" s="389" t="s">
        <v>199</v>
      </c>
      <c r="F8" s="388" t="s">
        <v>225</v>
      </c>
      <c r="G8" s="389" t="s">
        <v>200</v>
      </c>
      <c r="H8" s="388" t="s">
        <v>226</v>
      </c>
      <c r="I8" s="389" t="s">
        <v>201</v>
      </c>
      <c r="J8" s="388" t="s">
        <v>227</v>
      </c>
      <c r="K8" s="389" t="s">
        <v>202</v>
      </c>
      <c r="L8" s="388" t="s">
        <v>228</v>
      </c>
      <c r="M8" s="389" t="s">
        <v>203</v>
      </c>
      <c r="N8" s="388" t="s">
        <v>229</v>
      </c>
      <c r="O8" s="389" t="s">
        <v>204</v>
      </c>
      <c r="P8" s="388" t="s">
        <v>230</v>
      </c>
      <c r="Q8" s="389" t="s">
        <v>205</v>
      </c>
      <c r="R8" s="388" t="s">
        <v>231</v>
      </c>
      <c r="S8" s="389" t="s">
        <v>206</v>
      </c>
      <c r="T8" s="388" t="s">
        <v>232</v>
      </c>
      <c r="U8" s="389" t="s">
        <v>207</v>
      </c>
      <c r="V8" s="388" t="s">
        <v>233</v>
      </c>
      <c r="W8" s="389" t="s">
        <v>208</v>
      </c>
      <c r="X8" s="388" t="s">
        <v>234</v>
      </c>
      <c r="Y8" s="389" t="s">
        <v>209</v>
      </c>
      <c r="Z8" s="390" t="s">
        <v>235</v>
      </c>
      <c r="AA8" s="337" t="s">
        <v>210</v>
      </c>
    </row>
    <row r="9" spans="2:38" x14ac:dyDescent="0.25">
      <c r="B9" s="338" t="s">
        <v>211</v>
      </c>
      <c r="C9" s="339">
        <f>+'A) Resumen Ingresos y Egresos'!$D$9*'J)Estructura Económica Mensual'!C16</f>
        <v>3641842.3711312651</v>
      </c>
      <c r="D9" s="339">
        <v>0</v>
      </c>
      <c r="E9" s="339">
        <f>+'A) Resumen Ingresos y Egresos'!$D$9*'J)Estructura Económica Mensual'!D16</f>
        <v>4620432.206288158</v>
      </c>
      <c r="F9" s="339">
        <v>0</v>
      </c>
      <c r="G9" s="339">
        <f>+'A) Resumen Ingresos y Egresos'!$D$9*'J)Estructura Económica Mensual'!E16</f>
        <v>5553806.2213940937</v>
      </c>
      <c r="H9" s="339">
        <v>0</v>
      </c>
      <c r="I9" s="339">
        <f>+'A) Resumen Ingresos y Egresos'!$D$9*'J)Estructura Económica Mensual'!F16</f>
        <v>6259471.7373244921</v>
      </c>
      <c r="J9" s="339">
        <v>0</v>
      </c>
      <c r="K9" s="339">
        <f>+'A) Resumen Ingresos y Egresos'!$D$9*'J)Estructura Económica Mensual'!G16</f>
        <v>3952989.6733738105</v>
      </c>
      <c r="L9" s="339">
        <v>0</v>
      </c>
      <c r="M9" s="339">
        <f>+'A) Resumen Ingresos y Egresos'!$D$9*'J)Estructura Económica Mensual'!H16</f>
        <v>4633738.9641409926</v>
      </c>
      <c r="N9" s="339"/>
      <c r="O9" s="339">
        <f>+'A) Resumen Ingresos y Egresos'!$D$9*'J)Estructura Económica Mensual'!I16</f>
        <v>9833558.2700010184</v>
      </c>
      <c r="P9" s="339"/>
      <c r="Q9" s="339">
        <f>+'A) Resumen Ingresos y Egresos'!$D$9*'J)Estructura Económica Mensual'!J16</f>
        <v>6337139.752547157</v>
      </c>
      <c r="R9" s="339"/>
      <c r="S9" s="339">
        <f>+'A) Resumen Ingresos y Egresos'!$D$9*'J)Estructura Económica Mensual'!K16</f>
        <v>4520529.6849593548</v>
      </c>
      <c r="T9" s="339"/>
      <c r="U9" s="339">
        <f>+'A) Resumen Ingresos y Egresos'!$D$9*'J)Estructura Económica Mensual'!L16</f>
        <v>4671758.2722919472</v>
      </c>
      <c r="V9" s="339"/>
      <c r="W9" s="339">
        <f>+'A) Resumen Ingresos y Egresos'!$D$9*'J)Estructura Económica Mensual'!M16</f>
        <v>3475847.3560793293</v>
      </c>
      <c r="X9" s="339"/>
      <c r="Y9" s="339">
        <f>+'A) Resumen Ingresos y Egresos'!$D$9*'J)Estructura Económica Mensual'!N16</f>
        <v>4732385.49046838</v>
      </c>
      <c r="Z9" s="360"/>
      <c r="AA9" s="340">
        <f>SUM(C9:Y9)</f>
        <v>62233500.000000007</v>
      </c>
    </row>
    <row r="10" spans="2:38" hidden="1" x14ac:dyDescent="0.25">
      <c r="B10" s="341" t="s">
        <v>212</v>
      </c>
      <c r="C10" s="339" t="e">
        <f>SUM('F) Remuneraciones'!#REF!)/12</f>
        <v>#REF!</v>
      </c>
      <c r="D10" s="1376">
        <v>0</v>
      </c>
      <c r="E10" s="339" t="e">
        <f>SUM('F) Remuneraciones'!#REF!)/12</f>
        <v>#REF!</v>
      </c>
      <c r="F10" s="1379">
        <v>0</v>
      </c>
      <c r="G10" s="339" t="e">
        <f>SUM('F) Remuneraciones'!#REF!)/12</f>
        <v>#REF!</v>
      </c>
      <c r="H10" s="1379">
        <v>0</v>
      </c>
      <c r="I10" s="339" t="e">
        <f>SUM('F) Remuneraciones'!#REF!)/12</f>
        <v>#REF!</v>
      </c>
      <c r="J10" s="1379">
        <v>0</v>
      </c>
      <c r="K10" s="339" t="e">
        <f>SUM('F) Remuneraciones'!#REF!)/12</f>
        <v>#REF!</v>
      </c>
      <c r="L10" s="1379">
        <v>0</v>
      </c>
      <c r="M10" s="339" t="e">
        <f>SUM('F) Remuneraciones'!#REF!)/12</f>
        <v>#REF!</v>
      </c>
      <c r="N10" s="1379"/>
      <c r="O10" s="339" t="e">
        <f>SUM('F) Remuneraciones'!#REF!)/12</f>
        <v>#REF!</v>
      </c>
      <c r="P10" s="1379"/>
      <c r="Q10" s="339" t="e">
        <f>SUM('F) Remuneraciones'!#REF!)/12</f>
        <v>#REF!</v>
      </c>
      <c r="R10" s="1379"/>
      <c r="S10" s="339" t="e">
        <f>SUM('F) Remuneraciones'!#REF!)/12</f>
        <v>#REF!</v>
      </c>
      <c r="T10" s="1379"/>
      <c r="U10" s="339" t="e">
        <f>SUM('F) Remuneraciones'!#REF!)/12</f>
        <v>#REF!</v>
      </c>
      <c r="V10" s="1379"/>
      <c r="W10" s="339" t="e">
        <f>SUM('F) Remuneraciones'!#REF!)/12</f>
        <v>#REF!</v>
      </c>
      <c r="X10" s="1382"/>
      <c r="Y10" s="339" t="e">
        <f>SUM('F) Remuneraciones'!#REF!)/12</f>
        <v>#REF!</v>
      </c>
      <c r="Z10" s="1373"/>
      <c r="AA10" s="340" t="e">
        <f>SUM(C10:Y10)</f>
        <v>#REF!</v>
      </c>
    </row>
    <row r="11" spans="2:38" hidden="1" x14ac:dyDescent="0.25">
      <c r="B11" s="341" t="s">
        <v>213</v>
      </c>
      <c r="C11" s="339" t="e">
        <f>SUM('F) Remuneraciones'!#REF!)/4</f>
        <v>#REF!</v>
      </c>
      <c r="D11" s="1377"/>
      <c r="E11" s="339" t="e">
        <f>SUM('F) Remuneraciones'!#REF!)/4</f>
        <v>#REF!</v>
      </c>
      <c r="F11" s="1380"/>
      <c r="G11" s="339" t="e">
        <f>SUM('F) Remuneraciones'!#REF!)/4</f>
        <v>#REF!</v>
      </c>
      <c r="H11" s="1380"/>
      <c r="I11" s="339" t="e">
        <f>SUM('F) Remuneraciones'!#REF!)/4</f>
        <v>#REF!</v>
      </c>
      <c r="J11" s="1380"/>
      <c r="K11" s="339" t="e">
        <f>SUM('F) Remuneraciones'!#REF!)/4</f>
        <v>#REF!</v>
      </c>
      <c r="L11" s="1380"/>
      <c r="M11" s="339" t="e">
        <f>SUM('F) Remuneraciones'!#REF!)/4</f>
        <v>#REF!</v>
      </c>
      <c r="N11" s="1380"/>
      <c r="O11" s="339" t="e">
        <f>SUM('F) Remuneraciones'!#REF!)/4</f>
        <v>#REF!</v>
      </c>
      <c r="P11" s="1380"/>
      <c r="Q11" s="339" t="e">
        <f>SUM('F) Remuneraciones'!#REF!)/4</f>
        <v>#REF!</v>
      </c>
      <c r="R11" s="1380"/>
      <c r="S11" s="339" t="e">
        <f>SUM('F) Remuneraciones'!#REF!)/4</f>
        <v>#REF!</v>
      </c>
      <c r="T11" s="1380"/>
      <c r="U11" s="339" t="e">
        <f>SUM('F) Remuneraciones'!#REF!)/4</f>
        <v>#REF!</v>
      </c>
      <c r="V11" s="1380"/>
      <c r="W11" s="339" t="e">
        <f>SUM('F) Remuneraciones'!#REF!)/4</f>
        <v>#REF!</v>
      </c>
      <c r="X11" s="1383"/>
      <c r="Y11" s="339" t="e">
        <f>SUM('F) Remuneraciones'!#REF!)/4</f>
        <v>#REF!</v>
      </c>
      <c r="Z11" s="1374"/>
      <c r="AA11" s="340" t="e">
        <f>SUM(C11:Y11)</f>
        <v>#REF!</v>
      </c>
    </row>
    <row r="12" spans="2:38" hidden="1" x14ac:dyDescent="0.25">
      <c r="B12" s="341" t="s">
        <v>214</v>
      </c>
      <c r="C12" s="339">
        <f>SUM('F) Remuneraciones'!I11:I30)*0.5</f>
        <v>238201.5</v>
      </c>
      <c r="D12" s="1377"/>
      <c r="E12" s="342">
        <v>0</v>
      </c>
      <c r="F12" s="1380"/>
      <c r="G12" s="342">
        <v>0</v>
      </c>
      <c r="H12" s="1380"/>
      <c r="I12" s="342">
        <v>0</v>
      </c>
      <c r="J12" s="1380"/>
      <c r="K12" s="342">
        <v>0</v>
      </c>
      <c r="L12" s="1380"/>
      <c r="M12" s="342">
        <v>0</v>
      </c>
      <c r="N12" s="1380"/>
      <c r="O12" s="342">
        <v>0</v>
      </c>
      <c r="P12" s="1380"/>
      <c r="Q12" s="342">
        <v>0</v>
      </c>
      <c r="R12" s="1380"/>
      <c r="S12" s="342">
        <f>SUM('F) Remuneraciones'!J11:J30)*0.5</f>
        <v>132249</v>
      </c>
      <c r="T12" s="1380"/>
      <c r="U12" s="342">
        <v>0</v>
      </c>
      <c r="V12" s="1380"/>
      <c r="W12" s="342">
        <v>0</v>
      </c>
      <c r="X12" s="1383"/>
      <c r="Y12" s="343">
        <f>+C12+S12</f>
        <v>370450.5</v>
      </c>
      <c r="Z12" s="1374"/>
      <c r="AA12" s="340">
        <f>SUM(C12:Y12)</f>
        <v>740901</v>
      </c>
    </row>
    <row r="13" spans="2:38" x14ac:dyDescent="0.25">
      <c r="B13" s="356" t="s">
        <v>236</v>
      </c>
      <c r="C13" s="369" t="e">
        <f>SUM(C10:C12)</f>
        <v>#REF!</v>
      </c>
      <c r="D13" s="1378"/>
      <c r="E13" s="369" t="e">
        <f>SUM(E10:E12)</f>
        <v>#REF!</v>
      </c>
      <c r="F13" s="1381"/>
      <c r="G13" s="369" t="e">
        <f>SUM(G10:G12)</f>
        <v>#REF!</v>
      </c>
      <c r="H13" s="1381"/>
      <c r="I13" s="369" t="e">
        <f>SUM(I10:I12)</f>
        <v>#REF!</v>
      </c>
      <c r="J13" s="1381"/>
      <c r="K13" s="369" t="e">
        <f>SUM(K10:K12)</f>
        <v>#REF!</v>
      </c>
      <c r="L13" s="1381"/>
      <c r="M13" s="369" t="e">
        <f>SUM(M10:M12)</f>
        <v>#REF!</v>
      </c>
      <c r="N13" s="1381"/>
      <c r="O13" s="369" t="e">
        <f>SUM(O10:O12)</f>
        <v>#REF!</v>
      </c>
      <c r="P13" s="1381"/>
      <c r="Q13" s="369" t="e">
        <f>SUM(Q10:Q12)</f>
        <v>#REF!</v>
      </c>
      <c r="R13" s="1381"/>
      <c r="S13" s="369" t="e">
        <f>SUM(S10:S12)</f>
        <v>#REF!</v>
      </c>
      <c r="T13" s="1381"/>
      <c r="U13" s="369" t="e">
        <f>SUM(U10:U12)</f>
        <v>#REF!</v>
      </c>
      <c r="V13" s="1381"/>
      <c r="W13" s="369" t="e">
        <f>SUM(W10:W12)</f>
        <v>#REF!</v>
      </c>
      <c r="X13" s="1384"/>
      <c r="Y13" s="370" t="e">
        <f>SUM(Y10:Y12)</f>
        <v>#REF!</v>
      </c>
      <c r="Z13" s="1375"/>
      <c r="AA13" s="346"/>
    </row>
    <row r="14" spans="2:38" ht="15.75" thickBot="1" x14ac:dyDescent="0.3">
      <c r="B14" s="344" t="s">
        <v>215</v>
      </c>
      <c r="C14" s="345">
        <f>(+'C) Estimación Costos Directos'!$H$80-'C) Estimación Costos Directos'!$D$13)*C17</f>
        <v>121027.81041852311</v>
      </c>
      <c r="D14" s="345">
        <v>0</v>
      </c>
      <c r="E14" s="345">
        <f>(+'C) Estimación Costos Directos'!$H$80-'C) Estimación Costos Directos'!$D$13)*K17</f>
        <v>1775570.1281247044</v>
      </c>
      <c r="F14" s="345">
        <v>0</v>
      </c>
      <c r="G14" s="345">
        <f>(+'C) Estimación Costos Directos'!$H$80-'C) Estimación Costos Directos'!$D$13)*S17</f>
        <v>1440629.6568512735</v>
      </c>
      <c r="H14" s="345">
        <v>0</v>
      </c>
      <c r="I14" s="345">
        <f>(+'C) Estimación Costos Directos'!$H$80-'C) Estimación Costos Directos'!$D$13)*I17</f>
        <v>1029849.700245931</v>
      </c>
      <c r="J14" s="345">
        <v>0</v>
      </c>
      <c r="K14" s="345">
        <f>(+'C) Estimación Costos Directos'!$H$80-'C) Estimación Costos Directos'!$D$13)*K17</f>
        <v>1775570.1281247044</v>
      </c>
      <c r="L14" s="345">
        <v>0</v>
      </c>
      <c r="M14" s="345">
        <f>(+'C) Estimación Costos Directos'!$H$80-'C) Estimación Costos Directos'!$D$13)*M17</f>
        <v>1998204.7413282313</v>
      </c>
      <c r="N14" s="345"/>
      <c r="O14" s="345">
        <f>(+'C) Estimación Costos Directos'!$H$80-'C) Estimación Costos Directos'!$D$13)*AA17</f>
        <v>0</v>
      </c>
      <c r="P14" s="345"/>
      <c r="Q14" s="345">
        <f>(+'C) Estimación Costos Directos'!$H$80-'C) Estimación Costos Directos'!$D$13)*AC17</f>
        <v>0</v>
      </c>
      <c r="R14" s="345"/>
      <c r="S14" s="345">
        <f>(+'C) Estimación Costos Directos'!$H$80-'C) Estimación Costos Directos'!$D$13)*AE17</f>
        <v>0</v>
      </c>
      <c r="T14" s="345"/>
      <c r="U14" s="345">
        <f>(+'C) Estimación Costos Directos'!$H$80-'C) Estimación Costos Directos'!$D$13)*AG17</f>
        <v>0</v>
      </c>
      <c r="V14" s="345"/>
      <c r="W14" s="345">
        <f>(+'C) Estimación Costos Directos'!$H$80-'C) Estimación Costos Directos'!$D$13)*AI17</f>
        <v>0</v>
      </c>
      <c r="X14" s="345"/>
      <c r="Y14" s="345">
        <f>(+'C) Estimación Costos Directos'!$H$80-'C) Estimación Costos Directos'!$D$13)*AK17</f>
        <v>0</v>
      </c>
      <c r="Z14" s="361"/>
      <c r="AA14" s="346">
        <f>SUM(C14:Y14)</f>
        <v>8140852.1650933679</v>
      </c>
    </row>
    <row r="15" spans="2:38" ht="15.75" thickBot="1" x14ac:dyDescent="0.3">
      <c r="B15" s="347" t="s">
        <v>216</v>
      </c>
      <c r="C15" s="348" t="e">
        <f>+C9-C10-C11-C12-C14</f>
        <v>#REF!</v>
      </c>
      <c r="D15" s="348">
        <f>+D9-D10-D14</f>
        <v>0</v>
      </c>
      <c r="E15" s="349" t="e">
        <f t="shared" ref="E15:AA15" si="0">+E9-E10-E11-E12-E14</f>
        <v>#REF!</v>
      </c>
      <c r="F15" s="349">
        <f>+F9-F10-O17</f>
        <v>-0.110437842181699</v>
      </c>
      <c r="G15" s="349" t="e">
        <f t="shared" si="0"/>
        <v>#REF!</v>
      </c>
      <c r="H15" s="349">
        <f>+H9-H10-H14</f>
        <v>0</v>
      </c>
      <c r="I15" s="349" t="e">
        <f t="shared" si="0"/>
        <v>#REF!</v>
      </c>
      <c r="J15" s="349">
        <f>+J9-J10-J14</f>
        <v>0</v>
      </c>
      <c r="K15" s="349" t="e">
        <f t="shared" si="0"/>
        <v>#REF!</v>
      </c>
      <c r="L15" s="349">
        <f>+L9-L10-L14</f>
        <v>0</v>
      </c>
      <c r="M15" s="349" t="e">
        <f t="shared" si="0"/>
        <v>#REF!</v>
      </c>
      <c r="N15" s="349"/>
      <c r="O15" s="349" t="e">
        <f t="shared" si="0"/>
        <v>#REF!</v>
      </c>
      <c r="P15" s="349"/>
      <c r="Q15" s="349" t="e">
        <f t="shared" si="0"/>
        <v>#REF!</v>
      </c>
      <c r="R15" s="349"/>
      <c r="S15" s="349" t="e">
        <f t="shared" si="0"/>
        <v>#REF!</v>
      </c>
      <c r="T15" s="349"/>
      <c r="U15" s="349" t="e">
        <f t="shared" si="0"/>
        <v>#REF!</v>
      </c>
      <c r="V15" s="349"/>
      <c r="W15" s="349" t="e">
        <f t="shared" si="0"/>
        <v>#REF!</v>
      </c>
      <c r="X15" s="350"/>
      <c r="Y15" s="350" t="e">
        <f t="shared" si="0"/>
        <v>#REF!</v>
      </c>
      <c r="Z15" s="362"/>
      <c r="AA15" s="351" t="e">
        <f t="shared" si="0"/>
        <v>#REF!</v>
      </c>
    </row>
    <row r="16" spans="2:38" x14ac:dyDescent="0.25">
      <c r="B16" s="352" t="s">
        <v>217</v>
      </c>
      <c r="C16" s="353">
        <v>5.8519002966750465E-2</v>
      </c>
      <c r="E16" s="353">
        <v>7.424348954000913E-2</v>
      </c>
      <c r="G16" s="353">
        <v>8.9241424978413461E-2</v>
      </c>
      <c r="I16" s="353">
        <v>0.10058042271966854</v>
      </c>
      <c r="K16" s="353">
        <v>6.3518678418758551E-2</v>
      </c>
      <c r="M16" s="353">
        <v>7.4457309393509807E-2</v>
      </c>
      <c r="O16" s="353">
        <v>0.1580106899017574</v>
      </c>
      <c r="Q16" s="353">
        <v>0.10182843247683573</v>
      </c>
      <c r="S16" s="353">
        <v>7.263820426232423E-2</v>
      </c>
      <c r="U16" s="353">
        <v>7.5068223260654585E-2</v>
      </c>
      <c r="W16" s="353">
        <v>5.5851709386091561E-2</v>
      </c>
      <c r="Y16" s="353">
        <v>7.6042412695226533E-2</v>
      </c>
      <c r="Z16" s="353"/>
      <c r="AA16" s="353"/>
      <c r="AB16" s="353"/>
      <c r="AC16" s="353"/>
      <c r="AD16" s="353"/>
      <c r="AE16" s="353"/>
      <c r="AF16" s="353"/>
      <c r="AG16" s="353"/>
      <c r="AH16" s="353"/>
      <c r="AI16" s="353"/>
      <c r="AJ16" s="353"/>
      <c r="AK16" s="353"/>
      <c r="AL16" s="354"/>
    </row>
    <row r="17" spans="2:39" x14ac:dyDescent="0.25">
      <c r="B17" s="355" t="s">
        <v>218</v>
      </c>
      <c r="C17" s="353">
        <v>6.002485867568727E-3</v>
      </c>
      <c r="E17" s="353">
        <v>0.10219471529270906</v>
      </c>
      <c r="G17" s="353">
        <v>0.15485345318252666</v>
      </c>
      <c r="I17" s="353">
        <v>5.1076345594202356E-2</v>
      </c>
      <c r="K17" s="353">
        <v>8.8061037905999895E-2</v>
      </c>
      <c r="M17" s="353">
        <v>9.9102806857818193E-2</v>
      </c>
      <c r="O17" s="353">
        <v>0.110437842181699</v>
      </c>
      <c r="Q17" s="353">
        <v>9.1497475245095494E-2</v>
      </c>
      <c r="S17" s="353">
        <v>7.1449356356584059E-2</v>
      </c>
      <c r="U17" s="353">
        <v>0.14367998292222903</v>
      </c>
      <c r="W17" s="353">
        <v>2.1512646032688224E-2</v>
      </c>
      <c r="Y17" s="353">
        <v>6.0131852560879308E-2</v>
      </c>
      <c r="Z17" s="353"/>
      <c r="AA17" s="353"/>
      <c r="AB17" s="353"/>
      <c r="AC17" s="353"/>
      <c r="AD17" s="353"/>
      <c r="AE17" s="353"/>
      <c r="AF17" s="353"/>
      <c r="AG17" s="353"/>
      <c r="AH17" s="353"/>
      <c r="AI17" s="353"/>
      <c r="AJ17" s="353"/>
      <c r="AK17" s="353"/>
      <c r="AL17" s="353"/>
      <c r="AM17" s="320"/>
    </row>
    <row r="18" spans="2:39" ht="15.75" thickBot="1" x14ac:dyDescent="0.3">
      <c r="B18" s="355"/>
    </row>
    <row r="19" spans="2:39" ht="30.75" thickBot="1" x14ac:dyDescent="0.3">
      <c r="B19" s="336" t="s">
        <v>219</v>
      </c>
      <c r="C19" s="387" t="s">
        <v>198</v>
      </c>
      <c r="D19" s="388" t="s">
        <v>224</v>
      </c>
      <c r="E19" s="389" t="s">
        <v>199</v>
      </c>
      <c r="F19" s="388" t="s">
        <v>225</v>
      </c>
      <c r="G19" s="389" t="s">
        <v>200</v>
      </c>
      <c r="H19" s="388" t="s">
        <v>226</v>
      </c>
      <c r="I19" s="389" t="s">
        <v>201</v>
      </c>
      <c r="J19" s="388" t="s">
        <v>227</v>
      </c>
      <c r="K19" s="389" t="s">
        <v>202</v>
      </c>
      <c r="L19" s="388" t="s">
        <v>228</v>
      </c>
      <c r="M19" s="389" t="s">
        <v>203</v>
      </c>
      <c r="N19" s="388" t="s">
        <v>229</v>
      </c>
      <c r="O19" s="389" t="s">
        <v>204</v>
      </c>
      <c r="P19" s="388" t="s">
        <v>230</v>
      </c>
      <c r="Q19" s="389" t="s">
        <v>205</v>
      </c>
      <c r="R19" s="388" t="s">
        <v>231</v>
      </c>
      <c r="S19" s="389" t="s">
        <v>206</v>
      </c>
      <c r="T19" s="388" t="s">
        <v>232</v>
      </c>
      <c r="U19" s="389" t="s">
        <v>207</v>
      </c>
      <c r="V19" s="388" t="s">
        <v>233</v>
      </c>
      <c r="W19" s="389" t="s">
        <v>208</v>
      </c>
      <c r="X19" s="388" t="s">
        <v>234</v>
      </c>
      <c r="Y19" s="389" t="s">
        <v>209</v>
      </c>
      <c r="Z19" s="390" t="s">
        <v>235</v>
      </c>
      <c r="AA19" s="366" t="s">
        <v>210</v>
      </c>
    </row>
    <row r="20" spans="2:39" x14ac:dyDescent="0.25">
      <c r="B20" s="363" t="s">
        <v>211</v>
      </c>
      <c r="C20" s="372" t="e">
        <f>+'A) Resumen Ingresos y Egresos'!#REF!*'J)Estructura Económica Mensual'!C28</f>
        <v>#REF!</v>
      </c>
      <c r="D20" s="371">
        <v>0</v>
      </c>
      <c r="E20" s="372" t="e">
        <f>+'A) Resumen Ingresos y Egresos'!#REF!*'J)Estructura Económica Mensual'!D28</f>
        <v>#REF!</v>
      </c>
      <c r="F20" s="371">
        <v>0</v>
      </c>
      <c r="G20" s="372" t="e">
        <f>+'A) Resumen Ingresos y Egresos'!#REF!*'J)Estructura Económica Mensual'!E28</f>
        <v>#REF!</v>
      </c>
      <c r="H20" s="371">
        <v>0</v>
      </c>
      <c r="I20" s="372" t="e">
        <f>+'A) Resumen Ingresos y Egresos'!#REF!*'J)Estructura Económica Mensual'!F28</f>
        <v>#REF!</v>
      </c>
      <c r="J20" s="371">
        <v>0</v>
      </c>
      <c r="K20" s="372" t="e">
        <f>+'A) Resumen Ingresos y Egresos'!#REF!*'J)Estructura Económica Mensual'!G28</f>
        <v>#REF!</v>
      </c>
      <c r="L20" s="371">
        <v>0</v>
      </c>
      <c r="M20" s="372" t="e">
        <f>+'A) Resumen Ingresos y Egresos'!#REF!*'J)Estructura Económica Mensual'!H28</f>
        <v>#REF!</v>
      </c>
      <c r="N20" s="371"/>
      <c r="O20" s="342" t="e">
        <f>+'A) Resumen Ingresos y Egresos'!#REF!*'J)Estructura Económica Mensual'!I28</f>
        <v>#REF!</v>
      </c>
      <c r="P20" s="367"/>
      <c r="Q20" s="342" t="e">
        <f>+'A) Resumen Ingresos y Egresos'!#REF!*'J)Estructura Económica Mensual'!J28</f>
        <v>#REF!</v>
      </c>
      <c r="R20" s="367"/>
      <c r="S20" s="342" t="e">
        <f>+'A) Resumen Ingresos y Egresos'!#REF!*'J)Estructura Económica Mensual'!K28</f>
        <v>#REF!</v>
      </c>
      <c r="T20" s="367"/>
      <c r="U20" s="342" t="e">
        <f>+'A) Resumen Ingresos y Egresos'!#REF!*'J)Estructura Económica Mensual'!L28</f>
        <v>#REF!</v>
      </c>
      <c r="V20" s="367"/>
      <c r="W20" s="342" t="e">
        <f>+'A) Resumen Ingresos y Egresos'!#REF!*'J)Estructura Económica Mensual'!M28</f>
        <v>#REF!</v>
      </c>
      <c r="X20" s="367"/>
      <c r="Y20" s="342" t="e">
        <f>+'A) Resumen Ingresos y Egresos'!#REF!*'J)Estructura Económica Mensual'!N28</f>
        <v>#REF!</v>
      </c>
      <c r="Z20" s="367"/>
      <c r="AA20" s="367"/>
    </row>
    <row r="21" spans="2:39" hidden="1" x14ac:dyDescent="0.25">
      <c r="B21" s="363" t="s">
        <v>212</v>
      </c>
      <c r="C21" s="372" t="e">
        <f>SUM('F) Remuneraciones'!#REF!)/12</f>
        <v>#REF!</v>
      </c>
      <c r="D21" s="1386">
        <v>0</v>
      </c>
      <c r="E21" s="372" t="e">
        <f>SUM('F) Remuneraciones'!#REF!)/12</f>
        <v>#REF!</v>
      </c>
      <c r="F21" s="1386">
        <v>0</v>
      </c>
      <c r="G21" s="372" t="e">
        <f>SUM('F) Remuneraciones'!#REF!)/12</f>
        <v>#REF!</v>
      </c>
      <c r="H21" s="1386">
        <v>0</v>
      </c>
      <c r="I21" s="372" t="e">
        <f>SUM('F) Remuneraciones'!#REF!)/12</f>
        <v>#REF!</v>
      </c>
      <c r="J21" s="1386">
        <v>0</v>
      </c>
      <c r="K21" s="372" t="e">
        <f>SUM('F) Remuneraciones'!#REF!)/12</f>
        <v>#REF!</v>
      </c>
      <c r="L21" s="1386">
        <v>0</v>
      </c>
      <c r="M21" s="372" t="e">
        <f>SUM('F) Remuneraciones'!#REF!)/12</f>
        <v>#REF!</v>
      </c>
      <c r="N21" s="1386"/>
      <c r="O21" s="342" t="e">
        <f>SUM('F) Remuneraciones'!#REF!)/12</f>
        <v>#REF!</v>
      </c>
      <c r="P21" s="1385"/>
      <c r="Q21" s="342" t="e">
        <f>SUM('F) Remuneraciones'!#REF!)/12</f>
        <v>#REF!</v>
      </c>
      <c r="R21" s="1385"/>
      <c r="S21" s="342" t="e">
        <f>SUM('F) Remuneraciones'!#REF!)/12</f>
        <v>#REF!</v>
      </c>
      <c r="T21" s="1385"/>
      <c r="U21" s="342" t="e">
        <f>SUM('F) Remuneraciones'!#REF!)/12</f>
        <v>#REF!</v>
      </c>
      <c r="V21" s="1385"/>
      <c r="W21" s="342" t="e">
        <f>SUM('F) Remuneraciones'!#REF!)/12</f>
        <v>#REF!</v>
      </c>
      <c r="X21" s="1385"/>
      <c r="Y21" s="342" t="e">
        <f>SUM('F) Remuneraciones'!#REF!)/12</f>
        <v>#REF!</v>
      </c>
      <c r="Z21" s="1385"/>
      <c r="AA21" s="367"/>
    </row>
    <row r="22" spans="2:39" hidden="1" x14ac:dyDescent="0.25">
      <c r="B22" s="363" t="s">
        <v>213</v>
      </c>
      <c r="C22" s="372" t="e">
        <f>SUM('F) Remuneraciones'!#REF!)/4</f>
        <v>#REF!</v>
      </c>
      <c r="D22" s="1370"/>
      <c r="E22" s="372" t="e">
        <f>SUM('F) Remuneraciones'!#REF!)/4</f>
        <v>#REF!</v>
      </c>
      <c r="F22" s="1370"/>
      <c r="G22" s="372" t="e">
        <f>SUM('F) Remuneraciones'!#REF!)/4</f>
        <v>#REF!</v>
      </c>
      <c r="H22" s="1370"/>
      <c r="I22" s="372" t="e">
        <f>SUM('F) Remuneraciones'!#REF!)/4</f>
        <v>#REF!</v>
      </c>
      <c r="J22" s="1370"/>
      <c r="K22" s="372" t="e">
        <f>SUM('F) Remuneraciones'!#REF!)/4</f>
        <v>#REF!</v>
      </c>
      <c r="L22" s="1370"/>
      <c r="M22" s="372" t="e">
        <f>SUM('F) Remuneraciones'!#REF!)/4</f>
        <v>#REF!</v>
      </c>
      <c r="N22" s="1370"/>
      <c r="O22" s="342" t="e">
        <f>SUM('F) Remuneraciones'!#REF!)/4</f>
        <v>#REF!</v>
      </c>
      <c r="P22" s="1367"/>
      <c r="Q22" s="342" t="e">
        <f>SUM('F) Remuneraciones'!#REF!)/4</f>
        <v>#REF!</v>
      </c>
      <c r="R22" s="1367"/>
      <c r="S22" s="342" t="e">
        <f>SUM('F) Remuneraciones'!#REF!)/4</f>
        <v>#REF!</v>
      </c>
      <c r="T22" s="1367"/>
      <c r="U22" s="342" t="e">
        <f>SUM('F) Remuneraciones'!#REF!)/4</f>
        <v>#REF!</v>
      </c>
      <c r="V22" s="1367"/>
      <c r="W22" s="342" t="e">
        <f>SUM('F) Remuneraciones'!#REF!)/4</f>
        <v>#REF!</v>
      </c>
      <c r="X22" s="1367"/>
      <c r="Y22" s="342" t="e">
        <f>SUM('F) Remuneraciones'!#REF!)/4</f>
        <v>#REF!</v>
      </c>
      <c r="Z22" s="1367"/>
      <c r="AA22" s="367"/>
    </row>
    <row r="23" spans="2:39" hidden="1" x14ac:dyDescent="0.25">
      <c r="B23" s="363" t="s">
        <v>214</v>
      </c>
      <c r="C23" s="372">
        <f>SUM('F) Remuneraciones'!I22:I41)*0.5</f>
        <v>0</v>
      </c>
      <c r="D23" s="1370"/>
      <c r="E23" s="372">
        <f>SUM('F) Remuneraciones'!J22:J41)*0.5</f>
        <v>0</v>
      </c>
      <c r="F23" s="1370"/>
      <c r="G23" s="372">
        <f>SUM('F) Remuneraciones'!L22:L41)*0.5</f>
        <v>0</v>
      </c>
      <c r="H23" s="1370"/>
      <c r="I23" s="372">
        <f>SUM('F) Remuneraciones'!M22:M41)*0.5</f>
        <v>0</v>
      </c>
      <c r="J23" s="1370"/>
      <c r="K23" s="372">
        <f>SUM('F) Remuneraciones'!N22:N41)*0.5</f>
        <v>0</v>
      </c>
      <c r="L23" s="1370"/>
      <c r="M23" s="372">
        <f>SUM('F) Remuneraciones'!O22:O41)*0.5</f>
        <v>0</v>
      </c>
      <c r="N23" s="1370"/>
      <c r="O23" s="342">
        <f>SUM('F) Remuneraciones'!P22:P41)*0.5</f>
        <v>0</v>
      </c>
      <c r="P23" s="1367"/>
      <c r="Q23" s="342">
        <f>SUM('F) Remuneraciones'!Q22:Q41)*0.5</f>
        <v>0</v>
      </c>
      <c r="R23" s="1367"/>
      <c r="S23" s="342">
        <f>SUM('F) Remuneraciones'!R22:R41)*0.5</f>
        <v>0</v>
      </c>
      <c r="T23" s="1367"/>
      <c r="U23" s="342">
        <f>SUM('F) Remuneraciones'!S22:S41)*0.5</f>
        <v>0</v>
      </c>
      <c r="V23" s="1367"/>
      <c r="W23" s="342">
        <f>SUM('F) Remuneraciones'!T22:T41)*0.5</f>
        <v>0</v>
      </c>
      <c r="X23" s="1367"/>
      <c r="Y23" s="342">
        <f>SUM('F) Remuneraciones'!U22:U41)*0.5</f>
        <v>0</v>
      </c>
      <c r="Z23" s="1367"/>
      <c r="AA23" s="367"/>
    </row>
    <row r="24" spans="2:39" x14ac:dyDescent="0.25">
      <c r="B24" s="364" t="s">
        <v>236</v>
      </c>
      <c r="C24" s="374" t="e">
        <f>SUM(C21:C23)</f>
        <v>#REF!</v>
      </c>
      <c r="D24" s="1371"/>
      <c r="E24" s="374" t="e">
        <f>SUM(E21:E23)</f>
        <v>#REF!</v>
      </c>
      <c r="F24" s="1371"/>
      <c r="G24" s="374" t="e">
        <f>SUM(G21:G23)</f>
        <v>#REF!</v>
      </c>
      <c r="H24" s="1371"/>
      <c r="I24" s="374" t="e">
        <f>SUM(I21:I23)</f>
        <v>#REF!</v>
      </c>
      <c r="J24" s="1371"/>
      <c r="K24" s="374" t="e">
        <f>SUM(K21:K23)</f>
        <v>#REF!</v>
      </c>
      <c r="L24" s="1371"/>
      <c r="M24" s="374" t="e">
        <f>SUM(M21:M23)</f>
        <v>#REF!</v>
      </c>
      <c r="N24" s="1371"/>
      <c r="O24" s="375" t="e">
        <f>SUM(O21:O23)</f>
        <v>#REF!</v>
      </c>
      <c r="P24" s="1368"/>
      <c r="Q24" s="375" t="e">
        <f>SUM(Q21:Q23)</f>
        <v>#REF!</v>
      </c>
      <c r="R24" s="1368"/>
      <c r="S24" s="375" t="e">
        <f>SUM(S21:S23)</f>
        <v>#REF!</v>
      </c>
      <c r="T24" s="1368"/>
      <c r="U24" s="375" t="e">
        <f>SUM(U21:U23)</f>
        <v>#REF!</v>
      </c>
      <c r="V24" s="1368"/>
      <c r="W24" s="375" t="e">
        <f>SUM(W21:W23)</f>
        <v>#REF!</v>
      </c>
      <c r="X24" s="1368"/>
      <c r="Y24" s="375" t="e">
        <f>SUM(Y21:Y23)</f>
        <v>#REF!</v>
      </c>
      <c r="Z24" s="1368"/>
      <c r="AA24" s="376"/>
    </row>
    <row r="25" spans="2:39" ht="15.75" thickBot="1" x14ac:dyDescent="0.3">
      <c r="B25" s="364" t="s">
        <v>215</v>
      </c>
      <c r="C25" s="372" t="e">
        <f>(+'C) Estimación Costos Directos'!#REF!-'C) Estimación Costos Directos'!#REF!)*C28</f>
        <v>#REF!</v>
      </c>
      <c r="D25" s="371">
        <f>0-0+0</f>
        <v>0</v>
      </c>
      <c r="E25" s="372" t="e">
        <f>(+'C) Estimación Costos Directos'!#REF!-'C) Estimación Costos Directos'!#REF!)*E28</f>
        <v>#REF!</v>
      </c>
      <c r="F25" s="371">
        <f>0-0+0</f>
        <v>0</v>
      </c>
      <c r="G25" s="372" t="e">
        <f>(+'C) Estimación Costos Directos'!#REF!-'C) Estimación Costos Directos'!#REF!)*G28</f>
        <v>#REF!</v>
      </c>
      <c r="H25" s="371">
        <f>0-0+0</f>
        <v>0</v>
      </c>
      <c r="I25" s="372" t="e">
        <f>(+'C) Estimación Costos Directos'!#REF!-'C) Estimación Costos Directos'!#REF!)*I28</f>
        <v>#REF!</v>
      </c>
      <c r="J25" s="371">
        <f>0-0+0</f>
        <v>0</v>
      </c>
      <c r="K25" s="372" t="e">
        <f>(+'C) Estimación Costos Directos'!#REF!-'C) Estimación Costos Directos'!#REF!)*K28</f>
        <v>#REF!</v>
      </c>
      <c r="L25" s="371">
        <f>0-0+0</f>
        <v>0</v>
      </c>
      <c r="M25" s="372" t="e">
        <f>(+'C) Estimación Costos Directos'!#REF!-'C) Estimación Costos Directos'!#REF!)*M28</f>
        <v>#REF!</v>
      </c>
      <c r="N25" s="371"/>
      <c r="O25" s="342" t="e">
        <f>(+'C) Estimación Costos Directos'!#REF!-'C) Estimación Costos Directos'!#REF!)*O28</f>
        <v>#REF!</v>
      </c>
      <c r="P25" s="367"/>
      <c r="Q25" s="342" t="e">
        <f>(+'C) Estimación Costos Directos'!#REF!-'C) Estimación Costos Directos'!#REF!)*Q28</f>
        <v>#REF!</v>
      </c>
      <c r="R25" s="367"/>
      <c r="S25" s="342" t="e">
        <f>(+'C) Estimación Costos Directos'!#REF!-'C) Estimación Costos Directos'!#REF!)*S28</f>
        <v>#REF!</v>
      </c>
      <c r="T25" s="367"/>
      <c r="U25" s="342" t="e">
        <f>(+'C) Estimación Costos Directos'!#REF!-'C) Estimación Costos Directos'!#REF!)*U28</f>
        <v>#REF!</v>
      </c>
      <c r="V25" s="367"/>
      <c r="W25" s="342" t="e">
        <f>(+'C) Estimación Costos Directos'!#REF!-'C) Estimación Costos Directos'!#REF!)*W28</f>
        <v>#REF!</v>
      </c>
      <c r="X25" s="367"/>
      <c r="Y25" s="342" t="e">
        <f>(+'C) Estimación Costos Directos'!#REF!-'C) Estimación Costos Directos'!#REF!)*Y28</f>
        <v>#REF!</v>
      </c>
      <c r="Z25" s="367"/>
      <c r="AA25" s="367"/>
    </row>
    <row r="26" spans="2:39" ht="15.75" thickBot="1" x14ac:dyDescent="0.3">
      <c r="B26" s="365" t="s">
        <v>216</v>
      </c>
      <c r="C26" s="373" t="e">
        <f>+C20-C21-C22-C23-C25</f>
        <v>#REF!</v>
      </c>
      <c r="D26" s="371">
        <f>+D20-D21-D25</f>
        <v>0</v>
      </c>
      <c r="E26" s="373" t="e">
        <f t="shared" ref="E26" si="1">+E20-E21-E22-E23-E25</f>
        <v>#REF!</v>
      </c>
      <c r="F26" s="371">
        <f>+F20-F21-F25</f>
        <v>0</v>
      </c>
      <c r="G26" s="373" t="e">
        <f>+G20-G21-G22-G23-G25</f>
        <v>#REF!</v>
      </c>
      <c r="H26" s="371">
        <f>+H20-H21-H25</f>
        <v>0</v>
      </c>
      <c r="I26" s="373" t="e">
        <f>+I20-I21-I22-I23-I25</f>
        <v>#REF!</v>
      </c>
      <c r="J26" s="371">
        <f>+J20-J21-J25</f>
        <v>0</v>
      </c>
      <c r="K26" s="373" t="e">
        <f>+K20-K21-K22-K23-K25</f>
        <v>#REF!</v>
      </c>
      <c r="L26" s="371">
        <f>+L20-L21-L25</f>
        <v>0</v>
      </c>
      <c r="M26" s="373" t="e">
        <f>+M20-M21-M22-M23-M25</f>
        <v>#REF!</v>
      </c>
      <c r="N26" s="371"/>
      <c r="O26" s="368" t="e">
        <f>+O20-O21-O22-O23-O25</f>
        <v>#REF!</v>
      </c>
      <c r="P26" s="367"/>
      <c r="Q26" s="368" t="e">
        <f>+Q20-Q21-Q22-Q23-Q25</f>
        <v>#REF!</v>
      </c>
      <c r="R26" s="367"/>
      <c r="S26" s="368" t="e">
        <f>+S20-S21-S22-S23-S25</f>
        <v>#REF!</v>
      </c>
      <c r="T26" s="367"/>
      <c r="U26" s="368" t="e">
        <f>+U20-U21-U22-U23-U25</f>
        <v>#REF!</v>
      </c>
      <c r="V26" s="367"/>
      <c r="W26" s="368" t="e">
        <f>+W20-W21-W22-W23-W25</f>
        <v>#REF!</v>
      </c>
      <c r="X26" s="367"/>
      <c r="Y26" s="368" t="e">
        <f>+Y20-Y21-Y22-Y23-Y25</f>
        <v>#REF!</v>
      </c>
      <c r="Z26" s="367"/>
      <c r="AA26" s="367"/>
    </row>
    <row r="27" spans="2:39" x14ac:dyDescent="0.25">
      <c r="B27" s="352" t="s">
        <v>217</v>
      </c>
      <c r="C27" s="353">
        <v>0.11120780210950237</v>
      </c>
      <c r="E27" s="353">
        <v>7.3421643944094131E-2</v>
      </c>
      <c r="G27" s="353">
        <v>8.2430931776415653E-2</v>
      </c>
      <c r="I27" s="353">
        <v>9.1318388105152484E-2</v>
      </c>
      <c r="K27" s="353">
        <v>6.305937741501412E-2</v>
      </c>
      <c r="M27" s="353">
        <v>7.228429622713152E-2</v>
      </c>
      <c r="O27" s="353">
        <v>0.13269867075762326</v>
      </c>
      <c r="Q27" s="353">
        <v>0.1317948668946605</v>
      </c>
      <c r="S27" s="353">
        <v>6.8404982152378835E-2</v>
      </c>
      <c r="U27" s="353">
        <v>7.3421996282296412E-2</v>
      </c>
      <c r="W27" s="353">
        <v>5.5893346887924911E-2</v>
      </c>
      <c r="Y27" s="353">
        <v>4.4063697447805819E-2</v>
      </c>
    </row>
    <row r="28" spans="2:39" x14ac:dyDescent="0.25">
      <c r="B28" s="355" t="s">
        <v>218</v>
      </c>
      <c r="C28" s="353">
        <v>6.0836437118375886E-3</v>
      </c>
      <c r="E28" s="353">
        <v>0.13273444158765491</v>
      </c>
      <c r="G28" s="353">
        <v>0.14923561591461093</v>
      </c>
      <c r="I28" s="353">
        <v>4.5049781647409588E-2</v>
      </c>
      <c r="K28" s="353">
        <v>8.0649628156586356E-2</v>
      </c>
      <c r="M28" s="353">
        <v>0.12074447121211244</v>
      </c>
      <c r="O28" s="353">
        <v>7.7114297513735844E-2</v>
      </c>
      <c r="Q28" s="353">
        <v>7.4970740945766653E-2</v>
      </c>
      <c r="S28" s="353">
        <v>5.9565856928636196E-2</v>
      </c>
      <c r="U28" s="353">
        <v>0.15961237352062557</v>
      </c>
      <c r="W28" s="353">
        <v>2.3632084296937233E-2</v>
      </c>
      <c r="Y28" s="353">
        <v>7.0607064564086705E-2</v>
      </c>
    </row>
    <row r="29" spans="2:39" ht="15.75" thickBot="1" x14ac:dyDescent="0.3">
      <c r="B29" s="355"/>
    </row>
    <row r="30" spans="2:39" ht="30.75" thickBot="1" x14ac:dyDescent="0.3">
      <c r="B30" s="336" t="s">
        <v>220</v>
      </c>
      <c r="C30" s="387" t="s">
        <v>198</v>
      </c>
      <c r="D30" s="388" t="s">
        <v>224</v>
      </c>
      <c r="E30" s="389" t="s">
        <v>199</v>
      </c>
      <c r="F30" s="388" t="s">
        <v>225</v>
      </c>
      <c r="G30" s="389" t="s">
        <v>200</v>
      </c>
      <c r="H30" s="388" t="s">
        <v>226</v>
      </c>
      <c r="I30" s="389" t="s">
        <v>201</v>
      </c>
      <c r="J30" s="388" t="s">
        <v>227</v>
      </c>
      <c r="K30" s="389" t="s">
        <v>202</v>
      </c>
      <c r="L30" s="388" t="s">
        <v>228</v>
      </c>
      <c r="M30" s="389" t="s">
        <v>203</v>
      </c>
      <c r="N30" s="388" t="s">
        <v>229</v>
      </c>
      <c r="O30" s="389" t="s">
        <v>204</v>
      </c>
      <c r="P30" s="388" t="s">
        <v>230</v>
      </c>
      <c r="Q30" s="389" t="s">
        <v>205</v>
      </c>
      <c r="R30" s="388" t="s">
        <v>231</v>
      </c>
      <c r="S30" s="389" t="s">
        <v>206</v>
      </c>
      <c r="T30" s="388" t="s">
        <v>232</v>
      </c>
      <c r="U30" s="389" t="s">
        <v>207</v>
      </c>
      <c r="V30" s="388" t="s">
        <v>233</v>
      </c>
      <c r="W30" s="389" t="s">
        <v>208</v>
      </c>
      <c r="X30" s="388" t="s">
        <v>234</v>
      </c>
      <c r="Y30" s="389" t="s">
        <v>209</v>
      </c>
      <c r="Z30" s="390" t="s">
        <v>235</v>
      </c>
      <c r="AA30" s="366" t="s">
        <v>210</v>
      </c>
    </row>
    <row r="31" spans="2:39" x14ac:dyDescent="0.25">
      <c r="B31" s="363" t="s">
        <v>211</v>
      </c>
      <c r="C31" s="367"/>
      <c r="D31" s="367"/>
      <c r="E31" s="367"/>
      <c r="F31" s="367"/>
      <c r="G31" s="367"/>
      <c r="H31" s="367"/>
      <c r="I31" s="367"/>
      <c r="J31" s="367"/>
      <c r="K31" s="367"/>
      <c r="L31" s="367"/>
      <c r="M31" s="367"/>
      <c r="N31" s="367"/>
      <c r="O31" s="367"/>
      <c r="P31" s="367"/>
      <c r="Q31" s="367"/>
      <c r="R31" s="367"/>
      <c r="S31" s="367"/>
      <c r="T31" s="367"/>
      <c r="U31" s="367"/>
      <c r="V31" s="367"/>
      <c r="W31" s="367"/>
      <c r="X31" s="367"/>
      <c r="Y31" s="367"/>
      <c r="Z31" s="367"/>
      <c r="AA31" s="367"/>
    </row>
    <row r="32" spans="2:39" hidden="1" x14ac:dyDescent="0.25">
      <c r="B32" s="363" t="s">
        <v>212</v>
      </c>
      <c r="C32" s="367"/>
      <c r="D32" s="367"/>
      <c r="E32" s="367"/>
      <c r="F32" s="367"/>
      <c r="G32" s="367"/>
      <c r="H32" s="367"/>
      <c r="I32" s="367"/>
      <c r="J32" s="367"/>
      <c r="K32" s="367"/>
      <c r="L32" s="367"/>
      <c r="M32" s="367"/>
      <c r="N32" s="367"/>
      <c r="O32" s="367"/>
      <c r="P32" s="367"/>
      <c r="Q32" s="367"/>
      <c r="R32" s="367"/>
      <c r="S32" s="367"/>
      <c r="T32" s="367"/>
      <c r="U32" s="367"/>
      <c r="V32" s="367"/>
      <c r="W32" s="367"/>
      <c r="X32" s="367"/>
      <c r="Y32" s="367"/>
      <c r="Z32" s="367"/>
      <c r="AA32" s="367"/>
    </row>
    <row r="33" spans="2:27" hidden="1" x14ac:dyDescent="0.25">
      <c r="B33" s="363" t="s">
        <v>213</v>
      </c>
      <c r="C33" s="367"/>
      <c r="D33" s="367"/>
      <c r="E33" s="367"/>
      <c r="F33" s="367"/>
      <c r="G33" s="367"/>
      <c r="H33" s="367"/>
      <c r="I33" s="367"/>
      <c r="J33" s="367"/>
      <c r="K33" s="367"/>
      <c r="L33" s="367"/>
      <c r="M33" s="367"/>
      <c r="N33" s="367"/>
      <c r="O33" s="367"/>
      <c r="P33" s="367"/>
      <c r="Q33" s="367"/>
      <c r="R33" s="367"/>
      <c r="S33" s="367"/>
      <c r="T33" s="367"/>
      <c r="U33" s="367"/>
      <c r="V33" s="367"/>
      <c r="W33" s="367"/>
      <c r="X33" s="367"/>
      <c r="Y33" s="367"/>
      <c r="Z33" s="367"/>
      <c r="AA33" s="367"/>
    </row>
    <row r="34" spans="2:27" hidden="1" x14ac:dyDescent="0.25">
      <c r="B34" s="363" t="s">
        <v>214</v>
      </c>
      <c r="C34" s="367"/>
      <c r="D34" s="367"/>
      <c r="E34" s="367"/>
      <c r="F34" s="367"/>
      <c r="G34" s="367"/>
      <c r="H34" s="367"/>
      <c r="I34" s="367"/>
      <c r="J34" s="367"/>
      <c r="K34" s="367"/>
      <c r="L34" s="367"/>
      <c r="M34" s="367"/>
      <c r="N34" s="367"/>
      <c r="O34" s="367"/>
      <c r="P34" s="367"/>
      <c r="Q34" s="367"/>
      <c r="R34" s="367"/>
      <c r="S34" s="367"/>
      <c r="T34" s="367"/>
      <c r="U34" s="367"/>
      <c r="V34" s="367"/>
      <c r="W34" s="367"/>
      <c r="X34" s="367"/>
      <c r="Y34" s="367"/>
      <c r="Z34" s="367"/>
      <c r="AA34" s="367"/>
    </row>
    <row r="35" spans="2:27" x14ac:dyDescent="0.25">
      <c r="B35" s="380" t="s">
        <v>236</v>
      </c>
      <c r="C35" s="367"/>
      <c r="D35" s="367"/>
      <c r="E35" s="367"/>
      <c r="F35" s="367"/>
      <c r="G35" s="367"/>
      <c r="H35" s="367"/>
      <c r="I35" s="367"/>
      <c r="J35" s="367"/>
      <c r="K35" s="367"/>
      <c r="L35" s="367"/>
      <c r="M35" s="367"/>
      <c r="N35" s="367"/>
      <c r="O35" s="367"/>
      <c r="P35" s="367"/>
      <c r="Q35" s="367"/>
      <c r="R35" s="367"/>
      <c r="S35" s="367"/>
      <c r="T35" s="367"/>
      <c r="U35" s="367"/>
      <c r="V35" s="367"/>
      <c r="W35" s="367"/>
      <c r="X35" s="367"/>
      <c r="Y35" s="367"/>
      <c r="Z35" s="367"/>
      <c r="AA35" s="367"/>
    </row>
    <row r="36" spans="2:27" ht="15.75" thickBot="1" x14ac:dyDescent="0.3">
      <c r="B36" s="380" t="s">
        <v>215</v>
      </c>
      <c r="C36" s="367"/>
      <c r="D36" s="367"/>
      <c r="E36" s="367"/>
      <c r="F36" s="367"/>
      <c r="G36" s="367"/>
      <c r="H36" s="367"/>
      <c r="I36" s="367"/>
      <c r="J36" s="367"/>
      <c r="K36" s="367"/>
      <c r="L36" s="367"/>
      <c r="M36" s="367"/>
      <c r="N36" s="367"/>
      <c r="O36" s="367"/>
      <c r="P36" s="367"/>
      <c r="Q36" s="367"/>
      <c r="R36" s="367"/>
      <c r="S36" s="367"/>
      <c r="T36" s="367"/>
      <c r="U36" s="367"/>
      <c r="V36" s="367"/>
      <c r="W36" s="367"/>
      <c r="X36" s="367"/>
      <c r="Y36" s="367"/>
      <c r="Z36" s="367"/>
      <c r="AA36" s="367"/>
    </row>
    <row r="37" spans="2:27" ht="15.75" thickBot="1" x14ac:dyDescent="0.3">
      <c r="B37" s="365" t="s">
        <v>216</v>
      </c>
      <c r="C37" s="367"/>
      <c r="D37" s="367"/>
      <c r="E37" s="367"/>
      <c r="F37" s="367"/>
      <c r="G37" s="367"/>
      <c r="H37" s="367"/>
      <c r="I37" s="367"/>
      <c r="J37" s="367"/>
      <c r="K37" s="367"/>
      <c r="L37" s="367"/>
      <c r="M37" s="367"/>
      <c r="N37" s="367"/>
      <c r="O37" s="367"/>
      <c r="P37" s="367"/>
      <c r="Q37" s="367"/>
      <c r="R37" s="367"/>
      <c r="S37" s="367"/>
      <c r="T37" s="367"/>
      <c r="U37" s="367"/>
      <c r="V37" s="367"/>
      <c r="W37" s="367"/>
      <c r="X37" s="367"/>
      <c r="Y37" s="367"/>
      <c r="Z37" s="367"/>
      <c r="AA37" s="367"/>
    </row>
    <row r="38" spans="2:27" x14ac:dyDescent="0.25">
      <c r="B38" s="352" t="s">
        <v>217</v>
      </c>
    </row>
    <row r="39" spans="2:27" x14ac:dyDescent="0.25">
      <c r="B39" s="355" t="s">
        <v>218</v>
      </c>
    </row>
    <row r="40" spans="2:27" ht="15.75" thickBot="1" x14ac:dyDescent="0.3">
      <c r="B40" s="355"/>
    </row>
    <row r="41" spans="2:27" ht="30.75" thickBot="1" x14ac:dyDescent="0.3">
      <c r="B41" s="336" t="s">
        <v>221</v>
      </c>
      <c r="C41" s="387" t="s">
        <v>198</v>
      </c>
      <c r="D41" s="388" t="s">
        <v>224</v>
      </c>
      <c r="E41" s="389" t="s">
        <v>199</v>
      </c>
      <c r="F41" s="388" t="s">
        <v>225</v>
      </c>
      <c r="G41" s="389" t="s">
        <v>200</v>
      </c>
      <c r="H41" s="388" t="s">
        <v>226</v>
      </c>
      <c r="I41" s="389" t="s">
        <v>201</v>
      </c>
      <c r="J41" s="388" t="s">
        <v>227</v>
      </c>
      <c r="K41" s="389" t="s">
        <v>202</v>
      </c>
      <c r="L41" s="388" t="s">
        <v>228</v>
      </c>
      <c r="M41" s="389" t="s">
        <v>203</v>
      </c>
      <c r="N41" s="388" t="s">
        <v>229</v>
      </c>
      <c r="O41" s="389" t="s">
        <v>204</v>
      </c>
      <c r="P41" s="388" t="s">
        <v>230</v>
      </c>
      <c r="Q41" s="389" t="s">
        <v>205</v>
      </c>
      <c r="R41" s="388" t="s">
        <v>231</v>
      </c>
      <c r="S41" s="389" t="s">
        <v>206</v>
      </c>
      <c r="T41" s="388" t="s">
        <v>232</v>
      </c>
      <c r="U41" s="389" t="s">
        <v>207</v>
      </c>
      <c r="V41" s="388" t="s">
        <v>233</v>
      </c>
      <c r="W41" s="389" t="s">
        <v>208</v>
      </c>
      <c r="X41" s="388" t="s">
        <v>234</v>
      </c>
      <c r="Y41" s="389" t="s">
        <v>209</v>
      </c>
      <c r="Z41" s="390" t="s">
        <v>235</v>
      </c>
      <c r="AA41" s="366" t="s">
        <v>210</v>
      </c>
    </row>
    <row r="42" spans="2:27" x14ac:dyDescent="0.25">
      <c r="B42" s="363" t="s">
        <v>211</v>
      </c>
      <c r="C42" s="378">
        <f>+'A) Resumen Ingresos y Egresos'!$D$11*'J)Estructura Económica Mensual'!C49</f>
        <v>3131798.8806033791</v>
      </c>
      <c r="D42" s="371">
        <v>0</v>
      </c>
      <c r="E42" s="372">
        <f>+'A) Resumen Ingresos y Egresos'!$D$11*'J)Estructura Económica Mensual'!D49</f>
        <v>4173949.2988551441</v>
      </c>
      <c r="F42" s="371">
        <v>0</v>
      </c>
      <c r="G42" s="372">
        <f>+'A) Resumen Ingresos y Egresos'!$D$11*'J)Estructura Económica Mensual'!E49</f>
        <v>4327757.2042000592</v>
      </c>
      <c r="H42" s="371">
        <v>0</v>
      </c>
      <c r="I42" s="372">
        <f>+'A) Resumen Ingresos y Egresos'!$D$11*'J)Estructura Económica Mensual'!F49</f>
        <v>4530585.0131524187</v>
      </c>
      <c r="J42" s="371">
        <v>0</v>
      </c>
      <c r="K42" s="372">
        <f>+'A) Resumen Ingresos y Egresos'!$D$11*'J)Estructura Económica Mensual'!G49</f>
        <v>3848762.7175216055</v>
      </c>
      <c r="L42" s="371">
        <v>0</v>
      </c>
      <c r="M42" s="372">
        <f>+'A) Resumen Ingresos y Egresos'!$D$11*'J)Estructura Económica Mensual'!H49</f>
        <v>4297072.0177860484</v>
      </c>
      <c r="N42" s="371"/>
      <c r="O42" s="372">
        <f>+'A) Resumen Ingresos y Egresos'!$D$11*'J)Estructura Económica Mensual'!I49</f>
        <v>5098770.2595114289</v>
      </c>
      <c r="P42" s="371"/>
      <c r="Q42" s="372">
        <f>+'A) Resumen Ingresos y Egresos'!$D$11*'J)Estructura Económica Mensual'!J49</f>
        <v>4680318.5368987927</v>
      </c>
      <c r="R42" s="371"/>
      <c r="S42" s="372">
        <f>+'A) Resumen Ingresos y Egresos'!$D$11*'J)Estructura Económica Mensual'!K49</f>
        <v>3679548.556757208</v>
      </c>
      <c r="T42" s="371"/>
      <c r="U42" s="372">
        <f>+'A) Resumen Ingresos y Egresos'!$D$11*'J)Estructura Económica Mensual'!L49</f>
        <v>4434136.7612494603</v>
      </c>
      <c r="V42" s="371"/>
      <c r="W42" s="372">
        <f>+'A) Resumen Ingresos y Egresos'!$D$11*'J)Estructura Económica Mensual'!M49</f>
        <v>3490694.6034435942</v>
      </c>
      <c r="X42" s="371"/>
      <c r="Y42" s="372">
        <f>+'A) Resumen Ingresos y Egresos'!$D$11*'J)Estructura Económica Mensual'!N49</f>
        <v>5442406.1500208592</v>
      </c>
      <c r="Z42" s="371"/>
      <c r="AA42" s="368">
        <f>SUM(C42:Y42)</f>
        <v>51135800</v>
      </c>
    </row>
    <row r="43" spans="2:27" hidden="1" x14ac:dyDescent="0.25">
      <c r="B43" s="363" t="s">
        <v>212</v>
      </c>
      <c r="C43" s="372" t="e">
        <f>SUM('F) Remuneraciones'!#REF!)/12</f>
        <v>#REF!</v>
      </c>
      <c r="D43" s="1386">
        <v>0</v>
      </c>
      <c r="E43" s="372" t="e">
        <f>SUM('F) Remuneraciones'!#REF!)/12</f>
        <v>#REF!</v>
      </c>
      <c r="F43" s="1386">
        <v>0</v>
      </c>
      <c r="G43" s="372" t="e">
        <f>SUM('F) Remuneraciones'!#REF!)/12</f>
        <v>#REF!</v>
      </c>
      <c r="H43" s="1386">
        <v>0</v>
      </c>
      <c r="I43" s="372" t="e">
        <f>SUM('F) Remuneraciones'!#REF!)/12</f>
        <v>#REF!</v>
      </c>
      <c r="J43" s="1386">
        <v>0</v>
      </c>
      <c r="K43" s="372" t="e">
        <f>SUM('F) Remuneraciones'!#REF!)/12</f>
        <v>#REF!</v>
      </c>
      <c r="L43" s="1386">
        <v>0</v>
      </c>
      <c r="M43" s="372" t="e">
        <f>SUM('F) Remuneraciones'!#REF!)/12</f>
        <v>#REF!</v>
      </c>
      <c r="N43" s="1386"/>
      <c r="O43" s="372" t="e">
        <f>SUM('F) Remuneraciones'!#REF!)/12</f>
        <v>#REF!</v>
      </c>
      <c r="P43" s="1386"/>
      <c r="Q43" s="372" t="e">
        <f>SUM('F) Remuneraciones'!#REF!)/12</f>
        <v>#REF!</v>
      </c>
      <c r="R43" s="1386"/>
      <c r="S43" s="372" t="e">
        <f>SUM('F) Remuneraciones'!#REF!)/12</f>
        <v>#REF!</v>
      </c>
      <c r="T43" s="1386"/>
      <c r="U43" s="372" t="e">
        <f>SUM('F) Remuneraciones'!#REF!)/12</f>
        <v>#REF!</v>
      </c>
      <c r="V43" s="1386"/>
      <c r="W43" s="372" t="e">
        <f>SUM('F) Remuneraciones'!#REF!)/12</f>
        <v>#REF!</v>
      </c>
      <c r="X43" s="1386"/>
      <c r="Y43" s="372" t="e">
        <f>SUM('F) Remuneraciones'!#REF!)/12</f>
        <v>#REF!</v>
      </c>
      <c r="Z43" s="1386"/>
      <c r="AA43" s="368" t="e">
        <f>SUM(C43:Y43)</f>
        <v>#REF!</v>
      </c>
    </row>
    <row r="44" spans="2:27" hidden="1" x14ac:dyDescent="0.25">
      <c r="B44" s="363" t="s">
        <v>213</v>
      </c>
      <c r="C44" s="372" t="e">
        <f>SUM('F) Remuneraciones'!#REF!)/4</f>
        <v>#REF!</v>
      </c>
      <c r="D44" s="1370"/>
      <c r="E44" s="372" t="e">
        <f>SUM('F) Remuneraciones'!#REF!)/4</f>
        <v>#REF!</v>
      </c>
      <c r="F44" s="1370"/>
      <c r="G44" s="372" t="e">
        <f>SUM('F) Remuneraciones'!#REF!)/4</f>
        <v>#REF!</v>
      </c>
      <c r="H44" s="1370"/>
      <c r="I44" s="372" t="e">
        <f>SUM('F) Remuneraciones'!#REF!)/4</f>
        <v>#REF!</v>
      </c>
      <c r="J44" s="1370"/>
      <c r="K44" s="372" t="e">
        <f>SUM('F) Remuneraciones'!#REF!)/4</f>
        <v>#REF!</v>
      </c>
      <c r="L44" s="1370"/>
      <c r="M44" s="372" t="e">
        <f>SUM('F) Remuneraciones'!#REF!)/4</f>
        <v>#REF!</v>
      </c>
      <c r="N44" s="1370"/>
      <c r="O44" s="372" t="e">
        <f>SUM('F) Remuneraciones'!#REF!)/4</f>
        <v>#REF!</v>
      </c>
      <c r="P44" s="1370"/>
      <c r="Q44" s="372" t="e">
        <f>SUM('F) Remuneraciones'!#REF!)/4</f>
        <v>#REF!</v>
      </c>
      <c r="R44" s="1370"/>
      <c r="S44" s="372" t="e">
        <f>SUM('F) Remuneraciones'!#REF!)/4</f>
        <v>#REF!</v>
      </c>
      <c r="T44" s="1370"/>
      <c r="U44" s="372" t="e">
        <f>SUM('F) Remuneraciones'!#REF!)/4</f>
        <v>#REF!</v>
      </c>
      <c r="V44" s="1370"/>
      <c r="W44" s="372" t="e">
        <f>SUM('F) Remuneraciones'!#REF!)/4</f>
        <v>#REF!</v>
      </c>
      <c r="X44" s="1370"/>
      <c r="Y44" s="372" t="e">
        <f>SUM('F) Remuneraciones'!#REF!)/4</f>
        <v>#REF!</v>
      </c>
      <c r="Z44" s="1370"/>
      <c r="AA44" s="368" t="e">
        <f>SUM(C44:Y44)</f>
        <v>#REF!</v>
      </c>
    </row>
    <row r="45" spans="2:27" hidden="1" x14ac:dyDescent="0.25">
      <c r="B45" s="363" t="s">
        <v>214</v>
      </c>
      <c r="C45" s="378">
        <f>SUM('F) Remuneraciones'!I71:I90)*0.5</f>
        <v>79400.5</v>
      </c>
      <c r="D45" s="1370"/>
      <c r="E45" s="372">
        <v>0</v>
      </c>
      <c r="F45" s="1370"/>
      <c r="G45" s="372">
        <v>0</v>
      </c>
      <c r="H45" s="1370"/>
      <c r="I45" s="372">
        <v>0</v>
      </c>
      <c r="J45" s="1370"/>
      <c r="K45" s="372">
        <v>0</v>
      </c>
      <c r="L45" s="1370"/>
      <c r="M45" s="372">
        <v>0</v>
      </c>
      <c r="N45" s="1370"/>
      <c r="O45" s="372">
        <v>0</v>
      </c>
      <c r="P45" s="1370"/>
      <c r="Q45" s="372">
        <v>0</v>
      </c>
      <c r="R45" s="1370"/>
      <c r="S45" s="372">
        <f>SUM('F) Remuneraciones'!J73:J92)*0.5</f>
        <v>0</v>
      </c>
      <c r="T45" s="1370"/>
      <c r="U45" s="372">
        <v>0</v>
      </c>
      <c r="V45" s="1370"/>
      <c r="W45" s="372">
        <v>0</v>
      </c>
      <c r="X45" s="1370"/>
      <c r="Y45" s="372">
        <f>+C45+S45</f>
        <v>79400.5</v>
      </c>
      <c r="Z45" s="1370"/>
      <c r="AA45" s="368">
        <f>SUM(C45:Y45)</f>
        <v>158801</v>
      </c>
    </row>
    <row r="46" spans="2:27" x14ac:dyDescent="0.25">
      <c r="B46" s="364" t="s">
        <v>236</v>
      </c>
      <c r="C46" s="374" t="e">
        <f>SUM(C43:C45)</f>
        <v>#REF!</v>
      </c>
      <c r="D46" s="1371"/>
      <c r="E46" s="374" t="e">
        <f>SUM(E43:E45)</f>
        <v>#REF!</v>
      </c>
      <c r="F46" s="1371"/>
      <c r="G46" s="374" t="e">
        <f>SUM(G43:G45)</f>
        <v>#REF!</v>
      </c>
      <c r="H46" s="1371"/>
      <c r="I46" s="374" t="e">
        <f>SUM(I43:I45)</f>
        <v>#REF!</v>
      </c>
      <c r="J46" s="1371"/>
      <c r="K46" s="374" t="e">
        <f>SUM(K43:K45)</f>
        <v>#REF!</v>
      </c>
      <c r="L46" s="1371"/>
      <c r="M46" s="374" t="e">
        <f>SUM(M43:M45)</f>
        <v>#REF!</v>
      </c>
      <c r="N46" s="1371"/>
      <c r="O46" s="374" t="e">
        <f>SUM(O43:O45)</f>
        <v>#REF!</v>
      </c>
      <c r="P46" s="1371"/>
      <c r="Q46" s="374" t="e">
        <f>SUM(Q43:Q45)</f>
        <v>#REF!</v>
      </c>
      <c r="R46" s="1371"/>
      <c r="S46" s="374" t="e">
        <f>SUM(S43:S45)</f>
        <v>#REF!</v>
      </c>
      <c r="T46" s="1371"/>
      <c r="U46" s="374" t="e">
        <f>SUM(U43:U45)</f>
        <v>#REF!</v>
      </c>
      <c r="V46" s="1371"/>
      <c r="W46" s="374" t="e">
        <f>SUM(W43:W45)</f>
        <v>#REF!</v>
      </c>
      <c r="X46" s="1371"/>
      <c r="Y46" s="374" t="e">
        <f>SUM(Y43:Y45)</f>
        <v>#REF!</v>
      </c>
      <c r="Z46" s="1371"/>
      <c r="AA46" s="377"/>
    </row>
    <row r="47" spans="2:27" ht="15.75" thickBot="1" x14ac:dyDescent="0.3">
      <c r="B47" s="364" t="s">
        <v>215</v>
      </c>
      <c r="C47" s="379">
        <f>(+'C) Estimación Costos Directos'!$H$224-'C) Estimación Costos Directos'!$D$157)*C50</f>
        <v>46838.952451995472</v>
      </c>
      <c r="D47" s="371">
        <v>0</v>
      </c>
      <c r="E47" s="372">
        <f>(+'C) Estimación Costos Directos'!$H$224-'C) Estimación Costos Directos'!$D$157)*E50</f>
        <v>3402896.8615247537</v>
      </c>
      <c r="F47" s="371">
        <v>0</v>
      </c>
      <c r="G47" s="372">
        <f>(+'C) Estimación Costos Directos'!$H$224-'C) Estimación Costos Directos'!$D$157)*G50</f>
        <v>2324014.2697476926</v>
      </c>
      <c r="H47" s="371">
        <v>0</v>
      </c>
      <c r="I47" s="372">
        <f>(+'C) Estimación Costos Directos'!$H$224-'C) Estimación Costos Directos'!$D$157)*I50</f>
        <v>1239099.7348255941</v>
      </c>
      <c r="J47" s="371">
        <v>0</v>
      </c>
      <c r="K47" s="372">
        <f>(+'C) Estimación Costos Directos'!$H$224-'C) Estimación Costos Directos'!$D$157)*K50</f>
        <v>1803408.8333560498</v>
      </c>
      <c r="L47" s="371">
        <v>0</v>
      </c>
      <c r="M47" s="372">
        <f>(+'C) Estimación Costos Directos'!$H$224-'C) Estimación Costos Directos'!$D$157)*M50</f>
        <v>1736630.9577301806</v>
      </c>
      <c r="N47" s="371"/>
      <c r="O47" s="372">
        <f>(+'C) Estimación Costos Directos'!$H$224-'C) Estimación Costos Directos'!$D$157)*O50</f>
        <v>948457.05344528495</v>
      </c>
      <c r="P47" s="371"/>
      <c r="Q47" s="372">
        <f>(+'C) Estimación Costos Directos'!$H$224-'C) Estimación Costos Directos'!$D$157)*Q50</f>
        <v>1697199.9219857689</v>
      </c>
      <c r="R47" s="371"/>
      <c r="S47" s="372">
        <f>(+'C) Estimación Costos Directos'!$H$224-'C) Estimación Costos Directos'!$D$157)*S50</f>
        <v>1506421.9491476901</v>
      </c>
      <c r="T47" s="371"/>
      <c r="U47" s="372">
        <f>(+'C) Estimación Costos Directos'!$H$224-'C) Estimación Costos Directos'!$D$157)*U50</f>
        <v>2454401.7276303205</v>
      </c>
      <c r="V47" s="371"/>
      <c r="W47" s="372">
        <f>(+'C) Estimación Costos Directos'!$H$224-'C) Estimación Costos Directos'!$D$157)*W50</f>
        <v>968520.37275304226</v>
      </c>
      <c r="X47" s="371"/>
      <c r="Y47" s="372">
        <f>(+'C) Estimación Costos Directos'!$H$224-'C) Estimación Costos Directos'!$D$157)*Y50</f>
        <v>423472.36540162651</v>
      </c>
      <c r="Z47" s="371"/>
      <c r="AA47" s="368">
        <f>SUM(C47:Y47)</f>
        <v>18551363</v>
      </c>
    </row>
    <row r="48" spans="2:27" ht="15.75" thickBot="1" x14ac:dyDescent="0.3">
      <c r="B48" s="365" t="s">
        <v>216</v>
      </c>
      <c r="C48" s="373" t="e">
        <f>+C42-C43-C44-C45-C47</f>
        <v>#REF!</v>
      </c>
      <c r="D48" s="371">
        <f>+D42-D43-D47</f>
        <v>0</v>
      </c>
      <c r="E48" s="373" t="e">
        <f t="shared" ref="E48" si="2">+E42-E43-E44-E45-E47</f>
        <v>#REF!</v>
      </c>
      <c r="F48" s="371">
        <f>+F42-F43-F47</f>
        <v>0</v>
      </c>
      <c r="G48" s="373" t="e">
        <f>+G42-G43-G44-G45-G47</f>
        <v>#REF!</v>
      </c>
      <c r="H48" s="371">
        <f>+H42-H43-H47</f>
        <v>0</v>
      </c>
      <c r="I48" s="373" t="e">
        <f>+I42-I43-I44-I45-I47</f>
        <v>#REF!</v>
      </c>
      <c r="J48" s="371">
        <f>+J42-J43-J47</f>
        <v>0</v>
      </c>
      <c r="K48" s="373" t="e">
        <f>+K42-K43-K44-K45-K47</f>
        <v>#REF!</v>
      </c>
      <c r="L48" s="371">
        <f>+L42-L43-L47</f>
        <v>0</v>
      </c>
      <c r="M48" s="373" t="e">
        <f>+M42-M43-M44-M45-M47</f>
        <v>#REF!</v>
      </c>
      <c r="N48" s="371"/>
      <c r="O48" s="373" t="e">
        <f>+O42-O43-O44-O45-O47</f>
        <v>#REF!</v>
      </c>
      <c r="P48" s="371"/>
      <c r="Q48" s="373" t="e">
        <f>+Q42-Q43-Q44-Q45-Q47</f>
        <v>#REF!</v>
      </c>
      <c r="R48" s="371"/>
      <c r="S48" s="373" t="e">
        <f>+S42-S43-S44-S45-S47</f>
        <v>#REF!</v>
      </c>
      <c r="T48" s="371"/>
      <c r="U48" s="373" t="e">
        <f>+U42-U43-U44-U45-U47</f>
        <v>#REF!</v>
      </c>
      <c r="V48" s="371"/>
      <c r="W48" s="373" t="e">
        <f>+W42-W43-W44-W45-W47</f>
        <v>#REF!</v>
      </c>
      <c r="X48" s="371"/>
      <c r="Y48" s="373" t="e">
        <f>+Y42-Y43-Y44-Y45-Y47</f>
        <v>#REF!</v>
      </c>
      <c r="Z48" s="371"/>
      <c r="AA48" s="368" t="e">
        <f>+AA42-AA43-AA44-AA45-AA47</f>
        <v>#REF!</v>
      </c>
    </row>
    <row r="49" spans="2:27" x14ac:dyDescent="0.25">
      <c r="B49" s="352" t="s">
        <v>217</v>
      </c>
      <c r="C49" s="357">
        <v>6.1244742051622919E-2</v>
      </c>
      <c r="E49" s="357">
        <v>8.1624797086486262E-2</v>
      </c>
      <c r="G49" s="357">
        <v>8.4632629277337196E-2</v>
      </c>
      <c r="I49" s="357">
        <v>8.8599083482656354E-2</v>
      </c>
      <c r="K49" s="357">
        <v>7.5265522735962001E-2</v>
      </c>
      <c r="M49" s="357">
        <v>8.4032556795553187E-2</v>
      </c>
      <c r="O49" s="357">
        <v>9.9710384104901628E-2</v>
      </c>
      <c r="Q49" s="357">
        <v>9.152723799957746E-2</v>
      </c>
      <c r="S49" s="357">
        <v>7.1956409340563909E-2</v>
      </c>
      <c r="U49" s="357">
        <v>8.6712963545098748E-2</v>
      </c>
      <c r="W49" s="357">
        <v>6.8263224657550955E-2</v>
      </c>
      <c r="Y49" s="357">
        <v>0.10643044892268938</v>
      </c>
      <c r="AA49" s="354"/>
    </row>
    <row r="50" spans="2:27" x14ac:dyDescent="0.25">
      <c r="B50" s="355" t="s">
        <v>218</v>
      </c>
      <c r="C50" s="358">
        <v>2.5248253970339253E-3</v>
      </c>
      <c r="E50" s="358">
        <v>0.18343109676225697</v>
      </c>
      <c r="G50" s="358">
        <v>0.12527458331485899</v>
      </c>
      <c r="I50" s="358">
        <v>6.6792921621208867E-2</v>
      </c>
      <c r="K50" s="358">
        <v>9.7211662202720622E-2</v>
      </c>
      <c r="M50" s="358">
        <v>9.3612041213908675E-2</v>
      </c>
      <c r="O50" s="358">
        <v>5.1126003703624634E-2</v>
      </c>
      <c r="Q50" s="358">
        <v>9.148653508563058E-2</v>
      </c>
      <c r="S50" s="358">
        <v>8.1202763869570663E-2</v>
      </c>
      <c r="U50" s="358">
        <v>0.13230304035505749</v>
      </c>
      <c r="W50" s="358">
        <v>5.2207504793747084E-2</v>
      </c>
      <c r="Y50" s="358">
        <v>2.2827021680381462E-2</v>
      </c>
      <c r="AA50" s="320"/>
    </row>
    <row r="51" spans="2:27" ht="15.75" thickBot="1" x14ac:dyDescent="0.3">
      <c r="B51" s="355"/>
    </row>
    <row r="52" spans="2:27" ht="30.75" thickBot="1" x14ac:dyDescent="0.3">
      <c r="B52" s="336" t="s">
        <v>222</v>
      </c>
      <c r="C52" s="387" t="s">
        <v>198</v>
      </c>
      <c r="D52" s="388" t="s">
        <v>224</v>
      </c>
      <c r="E52" s="389" t="s">
        <v>199</v>
      </c>
      <c r="F52" s="388" t="s">
        <v>225</v>
      </c>
      <c r="G52" s="389" t="s">
        <v>200</v>
      </c>
      <c r="H52" s="388" t="s">
        <v>226</v>
      </c>
      <c r="I52" s="389" t="s">
        <v>201</v>
      </c>
      <c r="J52" s="388" t="s">
        <v>227</v>
      </c>
      <c r="K52" s="389" t="s">
        <v>202</v>
      </c>
      <c r="L52" s="388" t="s">
        <v>228</v>
      </c>
      <c r="M52" s="389" t="s">
        <v>203</v>
      </c>
      <c r="N52" s="388" t="s">
        <v>229</v>
      </c>
      <c r="O52" s="389" t="s">
        <v>204</v>
      </c>
      <c r="P52" s="388" t="s">
        <v>230</v>
      </c>
      <c r="Q52" s="389" t="s">
        <v>205</v>
      </c>
      <c r="R52" s="388" t="s">
        <v>231</v>
      </c>
      <c r="S52" s="389" t="s">
        <v>206</v>
      </c>
      <c r="T52" s="388" t="s">
        <v>232</v>
      </c>
      <c r="U52" s="389" t="s">
        <v>207</v>
      </c>
      <c r="V52" s="388" t="s">
        <v>233</v>
      </c>
      <c r="W52" s="389" t="s">
        <v>208</v>
      </c>
      <c r="X52" s="388" t="s">
        <v>234</v>
      </c>
      <c r="Y52" s="389" t="s">
        <v>209</v>
      </c>
      <c r="Z52" s="390" t="s">
        <v>235</v>
      </c>
      <c r="AA52" s="366" t="s">
        <v>210</v>
      </c>
    </row>
    <row r="53" spans="2:27" x14ac:dyDescent="0.25">
      <c r="B53" s="363" t="s">
        <v>211</v>
      </c>
      <c r="C53" s="342">
        <f>+'A) Resumen Ingresos y Egresos'!$D$12*'J)Estructura Económica Mensual'!C60</f>
        <v>1021264.9999999999</v>
      </c>
      <c r="D53" s="371">
        <v>0</v>
      </c>
      <c r="E53" s="342">
        <f>+'A) Resumen Ingresos y Egresos'!$D$12*'J)Estructura Económica Mensual'!D61</f>
        <v>1021264.9999999999</v>
      </c>
      <c r="F53" s="371">
        <v>0</v>
      </c>
      <c r="G53" s="342">
        <f>+'A) Resumen Ingresos y Egresos'!$D$12*'J)Estructura Económica Mensual'!E60</f>
        <v>437685</v>
      </c>
      <c r="H53" s="371">
        <v>0</v>
      </c>
      <c r="I53" s="342">
        <f>+'A) Resumen Ingresos y Egresos'!$D$12*'J)Estructura Económica Mensual'!F60</f>
        <v>0</v>
      </c>
      <c r="J53" s="371">
        <v>0</v>
      </c>
      <c r="K53" s="342">
        <f>+'A) Resumen Ingresos y Egresos'!$D$12*'J)Estructura Económica Mensual'!G60</f>
        <v>0</v>
      </c>
      <c r="L53" s="371">
        <v>0</v>
      </c>
      <c r="M53" s="342">
        <f>+'A) Resumen Ingresos y Egresos'!$D$12*'J)Estructura Económica Mensual'!H60</f>
        <v>0</v>
      </c>
      <c r="N53" s="367"/>
      <c r="O53" s="342">
        <f>+'A) Resumen Ingresos y Egresos'!$D$12*'J)Estructura Económica Mensual'!I60</f>
        <v>0</v>
      </c>
      <c r="P53" s="367"/>
      <c r="Q53" s="342">
        <f>+'A) Resumen Ingresos y Egresos'!$D$12*'J)Estructura Económica Mensual'!J60</f>
        <v>0</v>
      </c>
      <c r="R53" s="367"/>
      <c r="S53" s="342">
        <f>+'A) Resumen Ingresos y Egresos'!$D$12*'J)Estructura Económica Mensual'!K60</f>
        <v>0</v>
      </c>
      <c r="T53" s="367"/>
      <c r="U53" s="342">
        <f>+'A) Resumen Ingresos y Egresos'!$D$12*'J)Estructura Económica Mensual'!L60</f>
        <v>0</v>
      </c>
      <c r="V53" s="367"/>
      <c r="W53" s="342">
        <f>+'A) Resumen Ingresos y Egresos'!$D$12*'J)Estructura Económica Mensual'!M60</f>
        <v>0</v>
      </c>
      <c r="X53" s="367"/>
      <c r="Y53" s="342">
        <f>+'A) Resumen Ingresos y Egresos'!$D$12*'J)Estructura Económica Mensual'!N60</f>
        <v>437685</v>
      </c>
      <c r="Z53" s="367"/>
      <c r="AA53" s="367"/>
    </row>
    <row r="54" spans="2:27" hidden="1" x14ac:dyDescent="0.25">
      <c r="B54" s="363" t="s">
        <v>212</v>
      </c>
      <c r="C54" s="342" t="e">
        <f>SUM('F) Remuneraciones'!#REF!)/12</f>
        <v>#REF!</v>
      </c>
      <c r="D54" s="1372">
        <v>0</v>
      </c>
      <c r="E54" s="342" t="e">
        <f>SUM('F) Remuneraciones'!#REF!)/12</f>
        <v>#REF!</v>
      </c>
      <c r="F54" s="1372">
        <v>0</v>
      </c>
      <c r="G54" s="342" t="e">
        <f>SUM('F) Remuneraciones'!#REF!)/12</f>
        <v>#REF!</v>
      </c>
      <c r="H54" s="1372">
        <v>0</v>
      </c>
      <c r="I54" s="342" t="e">
        <f>SUM('F) Remuneraciones'!#REF!)/12</f>
        <v>#REF!</v>
      </c>
      <c r="J54" s="1372">
        <v>0</v>
      </c>
      <c r="K54" s="342" t="e">
        <f>SUM('F) Remuneraciones'!#REF!)/12</f>
        <v>#REF!</v>
      </c>
      <c r="L54" s="1372">
        <v>0</v>
      </c>
      <c r="M54" s="342" t="e">
        <f>SUM('F) Remuneraciones'!#REF!)/12</f>
        <v>#REF!</v>
      </c>
      <c r="N54" s="367"/>
      <c r="O54" s="342" t="e">
        <f>SUM('F) Remuneraciones'!#REF!)/12</f>
        <v>#REF!</v>
      </c>
      <c r="P54" s="367"/>
      <c r="Q54" s="342" t="e">
        <f>SUM('F) Remuneraciones'!#REF!)/12</f>
        <v>#REF!</v>
      </c>
      <c r="R54" s="367"/>
      <c r="S54" s="342" t="e">
        <f>SUM('F) Remuneraciones'!#REF!)/12</f>
        <v>#REF!</v>
      </c>
      <c r="T54" s="367"/>
      <c r="U54" s="342" t="e">
        <f>SUM('F) Remuneraciones'!#REF!)/12</f>
        <v>#REF!</v>
      </c>
      <c r="V54" s="367"/>
      <c r="W54" s="342" t="e">
        <f>SUM('F) Remuneraciones'!#REF!)/12</f>
        <v>#REF!</v>
      </c>
      <c r="X54" s="367"/>
      <c r="Y54" s="342" t="e">
        <f>SUM('F) Remuneraciones'!#REF!)/12</f>
        <v>#REF!</v>
      </c>
      <c r="Z54" s="367"/>
      <c r="AA54" s="367"/>
    </row>
    <row r="55" spans="2:27" hidden="1" x14ac:dyDescent="0.25">
      <c r="B55" s="363" t="s">
        <v>213</v>
      </c>
      <c r="C55" s="342" t="e">
        <f>SUM('F) Remuneraciones'!#REF!)/4</f>
        <v>#REF!</v>
      </c>
      <c r="D55" s="1372"/>
      <c r="E55" s="342" t="e">
        <f>SUM('F) Remuneraciones'!#REF!)/4</f>
        <v>#REF!</v>
      </c>
      <c r="F55" s="1372"/>
      <c r="G55" s="342" t="e">
        <f>SUM('F) Remuneraciones'!#REF!)/4</f>
        <v>#REF!</v>
      </c>
      <c r="H55" s="1372"/>
      <c r="I55" s="342">
        <v>0</v>
      </c>
      <c r="J55" s="1372"/>
      <c r="K55" s="342">
        <v>0</v>
      </c>
      <c r="L55" s="1372"/>
      <c r="M55" s="342">
        <v>0</v>
      </c>
      <c r="N55" s="367"/>
      <c r="O55" s="342">
        <v>0</v>
      </c>
      <c r="P55" s="367"/>
      <c r="Q55" s="342">
        <v>0</v>
      </c>
      <c r="R55" s="367"/>
      <c r="S55" s="342">
        <v>0</v>
      </c>
      <c r="T55" s="367"/>
      <c r="U55" s="342">
        <v>0</v>
      </c>
      <c r="V55" s="367"/>
      <c r="W55" s="342">
        <v>0</v>
      </c>
      <c r="X55" s="367"/>
      <c r="Y55" s="342" t="e">
        <f>SUM('F) Remuneraciones'!#REF!)/4</f>
        <v>#REF!</v>
      </c>
      <c r="Z55" s="367"/>
      <c r="AA55" s="367"/>
    </row>
    <row r="56" spans="2:27" hidden="1" x14ac:dyDescent="0.25">
      <c r="B56" s="363" t="s">
        <v>214</v>
      </c>
      <c r="C56" s="342">
        <f>SUM('F) Remuneraciones'!I94:I113)*0.5</f>
        <v>0</v>
      </c>
      <c r="D56" s="1372"/>
      <c r="E56" s="342">
        <v>0</v>
      </c>
      <c r="F56" s="1372"/>
      <c r="G56" s="342">
        <v>0</v>
      </c>
      <c r="H56" s="1372"/>
      <c r="I56" s="342">
        <v>0</v>
      </c>
      <c r="J56" s="1372"/>
      <c r="K56" s="342">
        <v>0</v>
      </c>
      <c r="L56" s="1372"/>
      <c r="M56" s="342">
        <v>0</v>
      </c>
      <c r="N56" s="367"/>
      <c r="O56" s="342">
        <v>0</v>
      </c>
      <c r="P56" s="367"/>
      <c r="Q56" s="342">
        <v>0</v>
      </c>
      <c r="R56" s="367"/>
      <c r="S56" s="342">
        <f>SUM('F) Remuneraciones'!J94:J113)*0.5</f>
        <v>0</v>
      </c>
      <c r="T56" s="367"/>
      <c r="U56" s="342">
        <v>0</v>
      </c>
      <c r="V56" s="367"/>
      <c r="W56" s="342">
        <v>0</v>
      </c>
      <c r="X56" s="367"/>
      <c r="Y56" s="342">
        <f>+C56+S56</f>
        <v>0</v>
      </c>
      <c r="Z56" s="367"/>
      <c r="AA56" s="367"/>
    </row>
    <row r="57" spans="2:27" x14ac:dyDescent="0.25">
      <c r="B57" s="380" t="s">
        <v>236</v>
      </c>
      <c r="C57" s="375" t="e">
        <f>SUM(C54:C56)</f>
        <v>#REF!</v>
      </c>
      <c r="D57" s="1372"/>
      <c r="E57" s="375" t="e">
        <f>SUM(E54:E56)</f>
        <v>#REF!</v>
      </c>
      <c r="F57" s="1372"/>
      <c r="G57" s="375">
        <v>0</v>
      </c>
      <c r="H57" s="1372"/>
      <c r="I57" s="376"/>
      <c r="J57" s="1372"/>
      <c r="K57" s="376"/>
      <c r="L57" s="1372"/>
      <c r="M57" s="376"/>
      <c r="N57" s="367"/>
      <c r="O57" s="376"/>
      <c r="P57" s="367"/>
      <c r="Q57" s="376"/>
      <c r="R57" s="367"/>
      <c r="S57" s="376"/>
      <c r="T57" s="367"/>
      <c r="U57" s="376"/>
      <c r="V57" s="367"/>
      <c r="W57" s="376"/>
      <c r="X57" s="367"/>
      <c r="Y57" s="376"/>
      <c r="Z57" s="367"/>
      <c r="AA57" s="367"/>
    </row>
    <row r="58" spans="2:27" ht="15.75" thickBot="1" x14ac:dyDescent="0.3">
      <c r="B58" s="380" t="s">
        <v>215</v>
      </c>
      <c r="C58" s="381">
        <v>0</v>
      </c>
      <c r="D58" s="371">
        <v>0</v>
      </c>
      <c r="E58" s="371">
        <v>0</v>
      </c>
      <c r="F58" s="371">
        <v>0</v>
      </c>
      <c r="G58" s="371">
        <v>0</v>
      </c>
      <c r="H58" s="371">
        <v>0</v>
      </c>
      <c r="I58" s="342">
        <f>(+'C) Estimación Costos Directos'!$H$296-'C) Estimación Costos Directos'!$D$229)*F57</f>
        <v>0</v>
      </c>
      <c r="J58" s="371">
        <v>0</v>
      </c>
      <c r="K58" s="342">
        <f>(+'C) Estimación Costos Directos'!$H$296-'C) Estimación Costos Directos'!$D$229)*K60</f>
        <v>0</v>
      </c>
      <c r="L58" s="371">
        <v>0</v>
      </c>
      <c r="M58" s="342">
        <f>(+'C) Estimación Costos Directos'!$H$296-'C) Estimación Costos Directos'!$D$229)*M60</f>
        <v>0</v>
      </c>
      <c r="N58" s="367"/>
      <c r="O58" s="342">
        <f>(+'C) Estimación Costos Directos'!$H$296-'C) Estimación Costos Directos'!$D$229)*O60</f>
        <v>0</v>
      </c>
      <c r="P58" s="367"/>
      <c r="Q58" s="342">
        <f>(+'C) Estimación Costos Directos'!$H$296-'C) Estimación Costos Directos'!$D$229)*Q60</f>
        <v>0</v>
      </c>
      <c r="R58" s="367"/>
      <c r="S58" s="342">
        <f>(+'C) Estimación Costos Directos'!$H$296-'C) Estimación Costos Directos'!$D$229)*S60</f>
        <v>0</v>
      </c>
      <c r="T58" s="367"/>
      <c r="U58" s="342">
        <f>(+'C) Estimación Costos Directos'!$H$296-'C) Estimación Costos Directos'!$D$229)*U60</f>
        <v>0</v>
      </c>
      <c r="V58" s="367"/>
      <c r="W58" s="342">
        <f>(+'C) Estimación Costos Directos'!$H$296-'C) Estimación Costos Directos'!$D$229)*W60</f>
        <v>0</v>
      </c>
      <c r="X58" s="367"/>
      <c r="Y58" s="342">
        <f>(+'C) Estimación Costos Directos'!$H$296-'C) Estimación Costos Directos'!$D$229)*Y60</f>
        <v>1441990.2000000002</v>
      </c>
      <c r="Z58" s="367"/>
      <c r="AA58" s="367"/>
    </row>
    <row r="59" spans="2:27" ht="15.75" thickBot="1" x14ac:dyDescent="0.3">
      <c r="B59" s="365" t="s">
        <v>216</v>
      </c>
      <c r="C59" s="381" t="e">
        <f>+C53-C54-C56-C57-C58</f>
        <v>#REF!</v>
      </c>
      <c r="D59" s="371">
        <f>+D53-D54-D58</f>
        <v>0</v>
      </c>
      <c r="E59" s="381" t="e">
        <f>+E53-E57-E58</f>
        <v>#REF!</v>
      </c>
      <c r="F59" s="371">
        <f>+F53-F54-F58</f>
        <v>0</v>
      </c>
      <c r="G59" s="381" t="e">
        <f>+G53-G55-G58</f>
        <v>#REF!</v>
      </c>
      <c r="H59" s="371">
        <f>+H53-H54-H58</f>
        <v>0</v>
      </c>
      <c r="I59" s="367"/>
      <c r="J59" s="371">
        <f>+J53-J54-J58</f>
        <v>0</v>
      </c>
      <c r="K59" s="367"/>
      <c r="L59" s="371">
        <f>+L53-L54-L58</f>
        <v>0</v>
      </c>
      <c r="M59" s="367"/>
      <c r="N59" s="367"/>
      <c r="O59" s="367"/>
      <c r="P59" s="367"/>
      <c r="Q59" s="367"/>
      <c r="R59" s="367"/>
      <c r="S59" s="367"/>
      <c r="T59" s="367"/>
      <c r="U59" s="367"/>
      <c r="V59" s="367"/>
      <c r="W59" s="367"/>
      <c r="X59" s="367"/>
      <c r="Y59" s="381" t="e">
        <f>+Y53-Y55-Y58</f>
        <v>#REF!</v>
      </c>
      <c r="Z59" s="367"/>
      <c r="AA59" s="367"/>
    </row>
    <row r="60" spans="2:27" x14ac:dyDescent="0.25">
      <c r="B60" s="352" t="s">
        <v>217</v>
      </c>
      <c r="C60" s="353">
        <v>0.35</v>
      </c>
      <c r="E60" s="353">
        <v>0.35</v>
      </c>
      <c r="G60" s="353">
        <v>0.15</v>
      </c>
      <c r="I60" s="353">
        <v>0</v>
      </c>
      <c r="K60" s="353">
        <v>0</v>
      </c>
      <c r="M60" s="353">
        <v>0</v>
      </c>
      <c r="O60" s="353">
        <v>0</v>
      </c>
      <c r="Q60" s="353">
        <v>0</v>
      </c>
      <c r="S60" s="353">
        <v>0</v>
      </c>
      <c r="U60" s="353">
        <v>0</v>
      </c>
      <c r="W60" s="353">
        <v>0</v>
      </c>
      <c r="Y60" s="353">
        <v>0.15</v>
      </c>
    </row>
    <row r="61" spans="2:27" x14ac:dyDescent="0.25">
      <c r="B61" s="355" t="s">
        <v>218</v>
      </c>
      <c r="C61" s="353">
        <v>0.15</v>
      </c>
      <c r="E61" s="353">
        <v>0.35</v>
      </c>
      <c r="G61" s="353">
        <v>0.35</v>
      </c>
      <c r="I61" s="353">
        <v>0</v>
      </c>
      <c r="K61" s="353">
        <v>0</v>
      </c>
      <c r="M61" s="353">
        <v>0</v>
      </c>
      <c r="O61" s="353">
        <v>0</v>
      </c>
      <c r="Q61" s="353">
        <v>0</v>
      </c>
      <c r="S61" s="353">
        <v>0</v>
      </c>
      <c r="U61" s="353">
        <v>0</v>
      </c>
      <c r="W61" s="353">
        <v>0</v>
      </c>
      <c r="Y61" s="353">
        <v>0.15</v>
      </c>
    </row>
    <row r="62" spans="2:27" ht="15.75" thickBot="1" x14ac:dyDescent="0.3">
      <c r="B62" s="355"/>
    </row>
    <row r="63" spans="2:27" ht="30.75" thickBot="1" x14ac:dyDescent="0.3">
      <c r="B63" s="336" t="s">
        <v>223</v>
      </c>
      <c r="C63" s="387" t="s">
        <v>198</v>
      </c>
      <c r="D63" s="388" t="s">
        <v>224</v>
      </c>
      <c r="E63" s="389" t="s">
        <v>199</v>
      </c>
      <c r="F63" s="388" t="s">
        <v>225</v>
      </c>
      <c r="G63" s="389" t="s">
        <v>200</v>
      </c>
      <c r="H63" s="388" t="s">
        <v>226</v>
      </c>
      <c r="I63" s="389" t="s">
        <v>201</v>
      </c>
      <c r="J63" s="388" t="s">
        <v>227</v>
      </c>
      <c r="K63" s="389" t="s">
        <v>202</v>
      </c>
      <c r="L63" s="388" t="s">
        <v>228</v>
      </c>
      <c r="M63" s="389" t="s">
        <v>203</v>
      </c>
      <c r="N63" s="388" t="s">
        <v>229</v>
      </c>
      <c r="O63" s="389" t="s">
        <v>204</v>
      </c>
      <c r="P63" s="388" t="s">
        <v>230</v>
      </c>
      <c r="Q63" s="389" t="s">
        <v>205</v>
      </c>
      <c r="R63" s="388" t="s">
        <v>231</v>
      </c>
      <c r="S63" s="389" t="s">
        <v>206</v>
      </c>
      <c r="T63" s="388" t="s">
        <v>232</v>
      </c>
      <c r="U63" s="389" t="s">
        <v>207</v>
      </c>
      <c r="V63" s="388" t="s">
        <v>233</v>
      </c>
      <c r="W63" s="389" t="s">
        <v>208</v>
      </c>
      <c r="X63" s="388" t="s">
        <v>234</v>
      </c>
      <c r="Y63" s="389" t="s">
        <v>209</v>
      </c>
      <c r="Z63" s="390" t="s">
        <v>235</v>
      </c>
      <c r="AA63" s="366" t="s">
        <v>210</v>
      </c>
    </row>
    <row r="64" spans="2:27" x14ac:dyDescent="0.25">
      <c r="B64" s="363" t="s">
        <v>211</v>
      </c>
      <c r="C64" s="342" t="e">
        <f>+'A) Resumen Ingresos y Egresos'!#REF!*'J)Estructura Económica Mensual'!#REF!</f>
        <v>#REF!</v>
      </c>
      <c r="D64" s="371">
        <v>0</v>
      </c>
      <c r="E64" s="372" t="e">
        <f>+'A) Resumen Ingresos y Egresos'!#REF!*'J)Estructura Económica Mensual'!#REF!</f>
        <v>#REF!</v>
      </c>
      <c r="F64" s="371">
        <v>0</v>
      </c>
      <c r="G64" s="372" t="e">
        <f>+'A) Resumen Ingresos y Egresos'!#REF!*'J)Estructura Económica Mensual'!#REF!</f>
        <v>#REF!</v>
      </c>
      <c r="H64" s="371">
        <v>0</v>
      </c>
      <c r="I64" s="372" t="e">
        <f>+'A) Resumen Ingresos y Egresos'!#REF!*'J)Estructura Económica Mensual'!#REF!</f>
        <v>#REF!</v>
      </c>
      <c r="J64" s="371">
        <v>0</v>
      </c>
      <c r="K64" s="372" t="e">
        <f>+'A) Resumen Ingresos y Egresos'!#REF!*'J)Estructura Económica Mensual'!#REF!</f>
        <v>#REF!</v>
      </c>
      <c r="L64" s="371">
        <v>0</v>
      </c>
      <c r="M64" s="342" t="e">
        <f>+'A) Resumen Ingresos y Egresos'!#REF!*'J)Estructura Económica Mensual'!#REF!</f>
        <v>#REF!</v>
      </c>
      <c r="N64" s="367"/>
      <c r="O64" s="342" t="e">
        <f>+'A) Resumen Ingresos y Egresos'!#REF!*'J)Estructura Económica Mensual'!#REF!</f>
        <v>#REF!</v>
      </c>
      <c r="P64" s="367"/>
      <c r="Q64" s="342" t="e">
        <f>+'A) Resumen Ingresos y Egresos'!#REF!*'J)Estructura Económica Mensual'!#REF!</f>
        <v>#REF!</v>
      </c>
      <c r="R64" s="367"/>
      <c r="S64" s="342" t="e">
        <f>+'A) Resumen Ingresos y Egresos'!#REF!*'J)Estructura Económica Mensual'!#REF!</f>
        <v>#REF!</v>
      </c>
      <c r="T64" s="367"/>
      <c r="U64" s="342" t="e">
        <f>+'A) Resumen Ingresos y Egresos'!#REF!*'J)Estructura Económica Mensual'!#REF!</f>
        <v>#REF!</v>
      </c>
      <c r="V64" s="367"/>
      <c r="W64" s="342" t="e">
        <f>+'A) Resumen Ingresos y Egresos'!#REF!*'J)Estructura Económica Mensual'!#REF!</f>
        <v>#REF!</v>
      </c>
      <c r="X64" s="367"/>
      <c r="Y64" s="342" t="e">
        <f>+'A) Resumen Ingresos y Egresos'!#REF!*'J)Estructura Económica Mensual'!#REF!</f>
        <v>#REF!</v>
      </c>
      <c r="Z64" s="367"/>
      <c r="AA64" s="368" t="e">
        <f>SUM(C64:P64)</f>
        <v>#REF!</v>
      </c>
    </row>
    <row r="65" spans="2:27" hidden="1" x14ac:dyDescent="0.25">
      <c r="B65" s="363" t="s">
        <v>212</v>
      </c>
      <c r="C65" s="342" t="e">
        <f>SUM('F) Remuneraciones'!#REF!)/12</f>
        <v>#REF!</v>
      </c>
      <c r="D65" s="1369">
        <v>0</v>
      </c>
      <c r="E65" s="372" t="e">
        <f>SUM('F) Remuneraciones'!#REF!)/12</f>
        <v>#REF!</v>
      </c>
      <c r="F65" s="1369">
        <v>0</v>
      </c>
      <c r="G65" s="372" t="e">
        <f>SUM('F) Remuneraciones'!#REF!)/12</f>
        <v>#REF!</v>
      </c>
      <c r="H65" s="1369">
        <v>0</v>
      </c>
      <c r="I65" s="372" t="e">
        <f>SUM('F) Remuneraciones'!#REF!)/12</f>
        <v>#REF!</v>
      </c>
      <c r="J65" s="1369">
        <v>0</v>
      </c>
      <c r="K65" s="372" t="e">
        <f>SUM('F) Remuneraciones'!#REF!)/12</f>
        <v>#REF!</v>
      </c>
      <c r="L65" s="1369">
        <v>0</v>
      </c>
      <c r="M65" s="342" t="e">
        <f>SUM('F) Remuneraciones'!#REF!)/12</f>
        <v>#REF!</v>
      </c>
      <c r="N65" s="1366"/>
      <c r="O65" s="342" t="e">
        <f>SUM('F) Remuneraciones'!#REF!)/12</f>
        <v>#REF!</v>
      </c>
      <c r="P65" s="1366"/>
      <c r="Q65" s="342" t="e">
        <f>SUM('F) Remuneraciones'!#REF!)/12</f>
        <v>#REF!</v>
      </c>
      <c r="R65" s="1366"/>
      <c r="S65" s="342" t="e">
        <f>SUM('F) Remuneraciones'!#REF!)/12</f>
        <v>#REF!</v>
      </c>
      <c r="T65" s="1366"/>
      <c r="U65" s="342" t="e">
        <f>SUM('F) Remuneraciones'!#REF!)/12</f>
        <v>#REF!</v>
      </c>
      <c r="V65" s="1366"/>
      <c r="W65" s="342" t="e">
        <f>SUM('F) Remuneraciones'!#REF!)/12</f>
        <v>#REF!</v>
      </c>
      <c r="X65" s="1366"/>
      <c r="Y65" s="342" t="e">
        <f>SUM('F) Remuneraciones'!#REF!)/12</f>
        <v>#REF!</v>
      </c>
      <c r="Z65" s="367"/>
      <c r="AA65" s="368" t="e">
        <f>SUM(C65:W65)</f>
        <v>#REF!</v>
      </c>
    </row>
    <row r="66" spans="2:27" hidden="1" x14ac:dyDescent="0.25">
      <c r="B66" s="363" t="s">
        <v>213</v>
      </c>
      <c r="C66" s="342" t="e">
        <f>SUM('F) Remuneraciones'!#REF!)/4</f>
        <v>#REF!</v>
      </c>
      <c r="D66" s="1370"/>
      <c r="E66" s="372" t="e">
        <f>SUM('F) Remuneraciones'!#REF!)/4</f>
        <v>#REF!</v>
      </c>
      <c r="F66" s="1370"/>
      <c r="G66" s="372" t="e">
        <f>SUM('F) Remuneraciones'!#REF!)/4</f>
        <v>#REF!</v>
      </c>
      <c r="H66" s="1370"/>
      <c r="I66" s="372" t="e">
        <f>SUM('F) Remuneraciones'!#REF!)/4</f>
        <v>#REF!</v>
      </c>
      <c r="J66" s="1370"/>
      <c r="K66" s="372" t="e">
        <f>SUM('F) Remuneraciones'!#REF!)/4</f>
        <v>#REF!</v>
      </c>
      <c r="L66" s="1370"/>
      <c r="M66" s="342" t="e">
        <f>SUM('F) Remuneraciones'!#REF!)/4</f>
        <v>#REF!</v>
      </c>
      <c r="N66" s="1367"/>
      <c r="O66" s="342" t="e">
        <f>SUM('F) Remuneraciones'!#REF!)/4</f>
        <v>#REF!</v>
      </c>
      <c r="P66" s="1367"/>
      <c r="Q66" s="342" t="e">
        <f>SUM('F) Remuneraciones'!#REF!)/4</f>
        <v>#REF!</v>
      </c>
      <c r="R66" s="1367"/>
      <c r="S66" s="342" t="e">
        <f>SUM('F) Remuneraciones'!#REF!)/4</f>
        <v>#REF!</v>
      </c>
      <c r="T66" s="1367"/>
      <c r="U66" s="342" t="e">
        <f>SUM('F) Remuneraciones'!#REF!)/4</f>
        <v>#REF!</v>
      </c>
      <c r="V66" s="1367"/>
      <c r="W66" s="342" t="e">
        <f>SUM('F) Remuneraciones'!#REF!)/4</f>
        <v>#REF!</v>
      </c>
      <c r="X66" s="1367"/>
      <c r="Y66" s="342" t="e">
        <f>SUM('F) Remuneraciones'!#REF!)/4</f>
        <v>#REF!</v>
      </c>
      <c r="Z66" s="367"/>
      <c r="AA66" s="368" t="e">
        <f>SUM(C66:W66)</f>
        <v>#REF!</v>
      </c>
    </row>
    <row r="67" spans="2:27" hidden="1" x14ac:dyDescent="0.25">
      <c r="B67" s="363" t="s">
        <v>214</v>
      </c>
      <c r="C67" s="342">
        <f>SUM('F) Remuneraciones'!I115:I134)*0.5</f>
        <v>0</v>
      </c>
      <c r="D67" s="1370"/>
      <c r="E67" s="372">
        <f>SUM('F) Remuneraciones'!J115:J134)*0.5</f>
        <v>0</v>
      </c>
      <c r="F67" s="1370"/>
      <c r="G67" s="372">
        <f>SUM('F) Remuneraciones'!L115:L134)*0.5</f>
        <v>0</v>
      </c>
      <c r="H67" s="1370"/>
      <c r="I67" s="372">
        <f>SUM('F) Remuneraciones'!M115:M134)*0.5</f>
        <v>0</v>
      </c>
      <c r="J67" s="1370"/>
      <c r="K67" s="372">
        <f>SUM('F) Remuneraciones'!N115:N134)*0.5</f>
        <v>0</v>
      </c>
      <c r="L67" s="1370"/>
      <c r="M67" s="342">
        <f>SUM('F) Remuneraciones'!O115:O134)*0.5</f>
        <v>0</v>
      </c>
      <c r="N67" s="1367"/>
      <c r="O67" s="342">
        <f>SUM('F) Remuneraciones'!P115:P134)*0.5</f>
        <v>0</v>
      </c>
      <c r="P67" s="1367"/>
      <c r="Q67" s="342">
        <f>SUM('F) Remuneraciones'!Q115:Q134)*0.5</f>
        <v>0</v>
      </c>
      <c r="R67" s="1367"/>
      <c r="S67" s="342">
        <f>SUM('F) Remuneraciones'!R115:R134)*0.5</f>
        <v>0</v>
      </c>
      <c r="T67" s="1367"/>
      <c r="U67" s="342">
        <f>SUM('F) Remuneraciones'!S115:S134)*0.5</f>
        <v>0</v>
      </c>
      <c r="V67" s="1367"/>
      <c r="W67" s="342">
        <f>SUM('F) Remuneraciones'!T115:T134)*0.5</f>
        <v>0</v>
      </c>
      <c r="X67" s="1367"/>
      <c r="Y67" s="342">
        <f>SUM('F) Remuneraciones'!U115:U134)*0.5</f>
        <v>0</v>
      </c>
      <c r="Z67" s="367"/>
      <c r="AA67" s="368">
        <f>SUM(C67:W67)</f>
        <v>0</v>
      </c>
    </row>
    <row r="68" spans="2:27" x14ac:dyDescent="0.25">
      <c r="B68" s="380" t="s">
        <v>236</v>
      </c>
      <c r="C68" s="375" t="e">
        <f>SUM(C65:C67)</f>
        <v>#REF!</v>
      </c>
      <c r="D68" s="1371"/>
      <c r="E68" s="374" t="e">
        <f>SUM(E65:E67)</f>
        <v>#REF!</v>
      </c>
      <c r="F68" s="1371"/>
      <c r="G68" s="374"/>
      <c r="H68" s="1371"/>
      <c r="I68" s="374"/>
      <c r="J68" s="1371"/>
      <c r="K68" s="374"/>
      <c r="L68" s="1371"/>
      <c r="M68" s="375"/>
      <c r="N68" s="1368"/>
      <c r="O68" s="375"/>
      <c r="P68" s="1368"/>
      <c r="Q68" s="375"/>
      <c r="R68" s="1368"/>
      <c r="S68" s="375"/>
      <c r="T68" s="1368"/>
      <c r="U68" s="375"/>
      <c r="V68" s="1368"/>
      <c r="W68" s="375"/>
      <c r="X68" s="1368"/>
      <c r="Y68" s="375"/>
      <c r="Z68" s="367"/>
      <c r="AA68" s="368"/>
    </row>
    <row r="69" spans="2:27" ht="15.75" thickBot="1" x14ac:dyDescent="0.3">
      <c r="B69" s="380" t="s">
        <v>215</v>
      </c>
      <c r="C69" s="342" t="e">
        <f>(+'C) Estimación Costos Directos'!#REF!-'C) Estimación Costos Directos'!#REF!)*C72</f>
        <v>#REF!</v>
      </c>
      <c r="D69" s="371">
        <v>0</v>
      </c>
      <c r="E69" s="372" t="e">
        <f>(+'C) Estimación Costos Directos'!#REF!-'C) Estimación Costos Directos'!#REF!)*E72</f>
        <v>#REF!</v>
      </c>
      <c r="F69" s="371">
        <v>0</v>
      </c>
      <c r="G69" s="372" t="e">
        <f>(+'C) Estimación Costos Directos'!#REF!-'C) Estimación Costos Directos'!#REF!)*G72</f>
        <v>#REF!</v>
      </c>
      <c r="H69" s="371">
        <v>0</v>
      </c>
      <c r="I69" s="372" t="e">
        <f>(+'C) Estimación Costos Directos'!#REF!-'C) Estimación Costos Directos'!#REF!)*I72</f>
        <v>#REF!</v>
      </c>
      <c r="J69" s="371">
        <v>0</v>
      </c>
      <c r="K69" s="372" t="e">
        <f>(+'C) Estimación Costos Directos'!#REF!-'C) Estimación Costos Directos'!#REF!)*K72</f>
        <v>#REF!</v>
      </c>
      <c r="L69" s="371">
        <v>0</v>
      </c>
      <c r="M69" s="342" t="e">
        <f>(+'C) Estimación Costos Directos'!#REF!-'C) Estimación Costos Directos'!#REF!)*M72</f>
        <v>#REF!</v>
      </c>
      <c r="N69" s="367"/>
      <c r="O69" s="342" t="e">
        <f>(+'C) Estimación Costos Directos'!#REF!-'C) Estimación Costos Directos'!#REF!)*O72</f>
        <v>#REF!</v>
      </c>
      <c r="P69" s="367"/>
      <c r="Q69" s="342" t="e">
        <f>(+'C) Estimación Costos Directos'!#REF!-'C) Estimación Costos Directos'!#REF!)*Q72</f>
        <v>#REF!</v>
      </c>
      <c r="R69" s="367"/>
      <c r="S69" s="342" t="e">
        <f>(+'C) Estimación Costos Directos'!#REF!-'C) Estimación Costos Directos'!#REF!)*S72</f>
        <v>#REF!</v>
      </c>
      <c r="T69" s="367"/>
      <c r="U69" s="342" t="e">
        <f>(+'C) Estimación Costos Directos'!#REF!-'C) Estimación Costos Directos'!#REF!)*U72</f>
        <v>#REF!</v>
      </c>
      <c r="V69" s="367"/>
      <c r="W69" s="342" t="e">
        <f>(+'C) Estimación Costos Directos'!#REF!-'C) Estimación Costos Directos'!#REF!)*W72</f>
        <v>#REF!</v>
      </c>
      <c r="X69" s="367"/>
      <c r="Y69" s="342" t="e">
        <f>(+'C) Estimación Costos Directos'!#REF!-'C) Estimación Costos Directos'!#REF!)*Y72</f>
        <v>#REF!</v>
      </c>
      <c r="Z69" s="367"/>
      <c r="AA69" s="368" t="e">
        <f>SUM(C69:W69)</f>
        <v>#REF!</v>
      </c>
    </row>
    <row r="70" spans="2:27" ht="15.75" thickBot="1" x14ac:dyDescent="0.3">
      <c r="B70" s="365" t="s">
        <v>216</v>
      </c>
      <c r="C70" s="368" t="e">
        <f>+C64-C65-C66-C67-C69</f>
        <v>#REF!</v>
      </c>
      <c r="D70" s="371">
        <f>+D64-D65-D69</f>
        <v>0</v>
      </c>
      <c r="E70" s="373" t="e">
        <f t="shared" ref="E70" si="3">+E64-E65-E66-E67-E69</f>
        <v>#REF!</v>
      </c>
      <c r="F70" s="371">
        <v>0</v>
      </c>
      <c r="G70" s="373" t="e">
        <f>+G64-G65-G66-G67-G69</f>
        <v>#REF!</v>
      </c>
      <c r="H70" s="371">
        <v>0</v>
      </c>
      <c r="I70" s="373" t="e">
        <f>+I64-I65-I66-I67-I69</f>
        <v>#REF!</v>
      </c>
      <c r="J70" s="371">
        <v>0</v>
      </c>
      <c r="K70" s="373" t="e">
        <f>+K64-K65-K66-K67-K69</f>
        <v>#REF!</v>
      </c>
      <c r="L70" s="371">
        <v>0</v>
      </c>
      <c r="M70" s="368" t="e">
        <f>+M64-M65-M66-M67-M69</f>
        <v>#REF!</v>
      </c>
      <c r="N70" s="367"/>
      <c r="O70" s="368" t="e">
        <f>+O64-O65-O66-O67-O69</f>
        <v>#REF!</v>
      </c>
      <c r="P70" s="367"/>
      <c r="Q70" s="368" t="e">
        <f>+Q64-Q65-Q66-Q67-Q69</f>
        <v>#REF!</v>
      </c>
      <c r="R70" s="367"/>
      <c r="S70" s="368" t="e">
        <f>+S64-S65-S66-S67-S69</f>
        <v>#REF!</v>
      </c>
      <c r="T70" s="367"/>
      <c r="U70" s="368" t="e">
        <f>+U64-U65-U66-U67-U69</f>
        <v>#REF!</v>
      </c>
      <c r="V70" s="367"/>
      <c r="W70" s="368" t="e">
        <f>+W64-W65-W66-W67-W69</f>
        <v>#REF!</v>
      </c>
      <c r="X70" s="367"/>
      <c r="Y70" s="368" t="e">
        <f>+Y64-Y65-Y66-Y67-Y69</f>
        <v>#REF!</v>
      </c>
      <c r="Z70" s="367"/>
      <c r="AA70" s="368" t="e">
        <f>+AA64-AA65-AA66-AA67-AA69</f>
        <v>#REF!</v>
      </c>
    </row>
    <row r="71" spans="2:27" x14ac:dyDescent="0.25">
      <c r="B71" s="352" t="s">
        <v>217</v>
      </c>
      <c r="C71" s="353">
        <v>8.3333333333333343E-2</v>
      </c>
      <c r="E71" s="353">
        <v>8.3333333333333343E-2</v>
      </c>
      <c r="G71" s="353">
        <v>8.3333333333333343E-2</v>
      </c>
      <c r="I71" s="353">
        <v>8.3333333333333343E-2</v>
      </c>
      <c r="K71" s="353">
        <v>8.3333333333333343E-2</v>
      </c>
      <c r="M71" s="353">
        <v>8.3333333333333343E-2</v>
      </c>
      <c r="O71" s="353">
        <v>8.3333333333333343E-2</v>
      </c>
      <c r="Q71" s="353">
        <v>8.3333333333333343E-2</v>
      </c>
      <c r="S71" s="353">
        <v>8.3333333333333343E-2</v>
      </c>
      <c r="U71" s="353">
        <v>8.3333333333333343E-2</v>
      </c>
      <c r="W71" s="353">
        <v>8.3333333333333343E-2</v>
      </c>
      <c r="Y71" s="353">
        <v>8.3333333333333343E-2</v>
      </c>
    </row>
    <row r="72" spans="2:27" x14ac:dyDescent="0.25">
      <c r="B72" s="355" t="s">
        <v>218</v>
      </c>
      <c r="C72" s="353">
        <v>8.3333333333333343E-2</v>
      </c>
      <c r="E72" s="353">
        <v>8.3333333333333343E-2</v>
      </c>
      <c r="G72" s="353">
        <v>8.3333333333333343E-2</v>
      </c>
      <c r="I72" s="353">
        <v>8.3333333333333343E-2</v>
      </c>
      <c r="K72" s="353">
        <v>8.3333333333333343E-2</v>
      </c>
      <c r="M72" s="353">
        <v>8.3333333333333343E-2</v>
      </c>
      <c r="O72" s="353">
        <v>8.3333333333333343E-2</v>
      </c>
      <c r="Q72" s="353">
        <v>8.3333333333333343E-2</v>
      </c>
      <c r="S72" s="353">
        <v>8.3333333333333343E-2</v>
      </c>
      <c r="U72" s="353">
        <v>8.3333333333333343E-2</v>
      </c>
      <c r="W72" s="353">
        <v>8.3333333333333343E-2</v>
      </c>
      <c r="Y72" s="353">
        <v>8.3333333333333343E-2</v>
      </c>
    </row>
    <row r="73" spans="2:27" x14ac:dyDescent="0.25">
      <c r="B73" s="359"/>
    </row>
  </sheetData>
  <mergeCells count="52">
    <mergeCell ref="Z43:Z46"/>
    <mergeCell ref="D43:D46"/>
    <mergeCell ref="F43:F46"/>
    <mergeCell ref="H43:H46"/>
    <mergeCell ref="J43:J46"/>
    <mergeCell ref="L43:L46"/>
    <mergeCell ref="N43:N46"/>
    <mergeCell ref="P43:P46"/>
    <mergeCell ref="R43:R46"/>
    <mergeCell ref="T43:T46"/>
    <mergeCell ref="V43:V46"/>
    <mergeCell ref="X43:X46"/>
    <mergeCell ref="Z21:Z24"/>
    <mergeCell ref="D21:D24"/>
    <mergeCell ref="F21:F24"/>
    <mergeCell ref="H21:H24"/>
    <mergeCell ref="J21:J24"/>
    <mergeCell ref="L21:L24"/>
    <mergeCell ref="N21:N24"/>
    <mergeCell ref="P21:P24"/>
    <mergeCell ref="R21:R24"/>
    <mergeCell ref="T21:T24"/>
    <mergeCell ref="V21:V24"/>
    <mergeCell ref="X21:X24"/>
    <mergeCell ref="Z10:Z13"/>
    <mergeCell ref="D10:D13"/>
    <mergeCell ref="F10:F13"/>
    <mergeCell ref="H10:H13"/>
    <mergeCell ref="J10:J13"/>
    <mergeCell ref="L10:L13"/>
    <mergeCell ref="N10:N13"/>
    <mergeCell ref="P10:P13"/>
    <mergeCell ref="R10:R13"/>
    <mergeCell ref="T10:T13"/>
    <mergeCell ref="V10:V13"/>
    <mergeCell ref="X10:X13"/>
    <mergeCell ref="D54:D57"/>
    <mergeCell ref="F54:F57"/>
    <mergeCell ref="H54:H57"/>
    <mergeCell ref="J54:J57"/>
    <mergeCell ref="L54:L57"/>
    <mergeCell ref="D65:D68"/>
    <mergeCell ref="F65:F68"/>
    <mergeCell ref="H65:H68"/>
    <mergeCell ref="J65:J68"/>
    <mergeCell ref="L65:L68"/>
    <mergeCell ref="X65:X68"/>
    <mergeCell ref="N65:N68"/>
    <mergeCell ref="P65:P68"/>
    <mergeCell ref="R65:R68"/>
    <mergeCell ref="T65:T68"/>
    <mergeCell ref="V65:V68"/>
  </mergeCells>
  <hyperlinks>
    <hyperlink ref="B6" location="'Índice Tablas'!A1" display="TABLA N°13:  INGRESO POR ARRIENDOS " xr:uid="{00000000-0004-0000-0E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3:AA56"/>
  <sheetViews>
    <sheetView showGridLines="0" zoomScale="80" zoomScaleNormal="80" workbookViewId="0">
      <selection activeCell="B51" sqref="B51"/>
    </sheetView>
  </sheetViews>
  <sheetFormatPr baseColWidth="10" defaultRowHeight="15" x14ac:dyDescent="0.25"/>
  <cols>
    <col min="2" max="2" width="58.42578125" bestFit="1" customWidth="1"/>
    <col min="3" max="3" width="13.7109375" bestFit="1" customWidth="1"/>
    <col min="4" max="4" width="14.85546875" bestFit="1" customWidth="1"/>
    <col min="5" max="5" width="13.7109375" bestFit="1" customWidth="1"/>
    <col min="6" max="6" width="14.5703125" customWidth="1"/>
    <col min="7" max="7" width="13.7109375" bestFit="1" customWidth="1"/>
    <col min="8" max="9" width="13" bestFit="1" customWidth="1"/>
    <col min="10" max="10" width="11.5703125" bestFit="1" customWidth="1"/>
    <col min="11" max="11" width="13" bestFit="1" customWidth="1"/>
    <col min="12" max="12" width="12.7109375" bestFit="1" customWidth="1"/>
    <col min="13" max="13" width="13" bestFit="1" customWidth="1"/>
    <col min="14" max="14" width="12" bestFit="1" customWidth="1"/>
    <col min="15" max="15" width="13" bestFit="1" customWidth="1"/>
    <col min="17" max="17" width="13" bestFit="1" customWidth="1"/>
    <col min="18" max="18" width="13.85546875" bestFit="1" customWidth="1"/>
    <col min="19" max="19" width="15.28515625" bestFit="1" customWidth="1"/>
    <col min="20" max="20" width="17.85546875" bestFit="1" customWidth="1"/>
    <col min="21" max="21" width="13" bestFit="1" customWidth="1"/>
    <col min="22" max="22" width="14.85546875" bestFit="1" customWidth="1"/>
    <col min="23" max="23" width="14.5703125" bestFit="1" customWidth="1"/>
    <col min="24" max="24" width="17.7109375" bestFit="1" customWidth="1"/>
    <col min="25" max="25" width="14.140625" bestFit="1" customWidth="1"/>
    <col min="26" max="26" width="16.5703125" bestFit="1" customWidth="1"/>
    <col min="27" max="27" width="26.28515625" bestFit="1" customWidth="1"/>
  </cols>
  <sheetData>
    <row r="3" spans="2:27" x14ac:dyDescent="0.25">
      <c r="B3" s="384" t="s">
        <v>197</v>
      </c>
      <c r="C3" s="385" t="s">
        <v>198</v>
      </c>
      <c r="D3" s="386" t="s">
        <v>224</v>
      </c>
      <c r="E3" s="385" t="s">
        <v>199</v>
      </c>
      <c r="F3" s="386" t="s">
        <v>225</v>
      </c>
      <c r="G3" s="385" t="s">
        <v>200</v>
      </c>
      <c r="H3" s="386" t="s">
        <v>226</v>
      </c>
      <c r="I3" s="385" t="s">
        <v>201</v>
      </c>
      <c r="J3" s="386" t="s">
        <v>227</v>
      </c>
      <c r="K3" s="385" t="s">
        <v>202</v>
      </c>
      <c r="L3" s="386" t="s">
        <v>228</v>
      </c>
      <c r="M3" s="385" t="s">
        <v>203</v>
      </c>
      <c r="N3" s="386" t="s">
        <v>229</v>
      </c>
      <c r="O3" s="385" t="s">
        <v>204</v>
      </c>
      <c r="P3" s="386" t="s">
        <v>230</v>
      </c>
      <c r="Q3" s="385" t="s">
        <v>205</v>
      </c>
      <c r="R3" s="386" t="s">
        <v>231</v>
      </c>
      <c r="S3" s="385" t="s">
        <v>206</v>
      </c>
      <c r="T3" s="386" t="s">
        <v>232</v>
      </c>
      <c r="U3" s="385" t="s">
        <v>207</v>
      </c>
      <c r="V3" s="386" t="s">
        <v>233</v>
      </c>
      <c r="W3" s="385" t="s">
        <v>208</v>
      </c>
      <c r="X3" s="386" t="s">
        <v>234</v>
      </c>
      <c r="Y3" s="385" t="s">
        <v>209</v>
      </c>
      <c r="Z3" s="386" t="s">
        <v>235</v>
      </c>
      <c r="AA3" s="367" t="s">
        <v>210</v>
      </c>
    </row>
    <row r="4" spans="2:27" x14ac:dyDescent="0.25">
      <c r="B4" s="367" t="s">
        <v>211</v>
      </c>
      <c r="C4" s="371">
        <v>0</v>
      </c>
      <c r="D4" s="371">
        <v>0</v>
      </c>
      <c r="E4" s="371">
        <v>0</v>
      </c>
      <c r="F4" s="371">
        <v>0</v>
      </c>
      <c r="G4" s="371">
        <v>0</v>
      </c>
      <c r="H4" s="371">
        <v>0</v>
      </c>
      <c r="I4" s="371">
        <v>0</v>
      </c>
      <c r="J4" s="371">
        <v>0</v>
      </c>
      <c r="K4" s="371">
        <v>0</v>
      </c>
      <c r="L4" s="371">
        <v>0</v>
      </c>
      <c r="M4" s="371">
        <v>0</v>
      </c>
      <c r="N4" s="371">
        <v>0</v>
      </c>
      <c r="O4" s="371">
        <v>0</v>
      </c>
      <c r="P4" s="371">
        <v>0</v>
      </c>
      <c r="Q4" s="371">
        <v>0</v>
      </c>
      <c r="R4" s="371">
        <v>0</v>
      </c>
      <c r="S4" s="371">
        <v>0</v>
      </c>
      <c r="T4" s="371">
        <v>0</v>
      </c>
      <c r="U4" s="371">
        <v>0</v>
      </c>
      <c r="V4" s="371">
        <v>0</v>
      </c>
      <c r="W4" s="371">
        <v>0</v>
      </c>
      <c r="X4" s="371">
        <v>0</v>
      </c>
      <c r="Y4" s="371">
        <v>0</v>
      </c>
      <c r="Z4" s="371">
        <v>0</v>
      </c>
      <c r="AA4" s="371">
        <v>0</v>
      </c>
    </row>
    <row r="5" spans="2:27" x14ac:dyDescent="0.25">
      <c r="B5" s="367" t="s">
        <v>236</v>
      </c>
      <c r="C5" s="371">
        <v>0</v>
      </c>
      <c r="D5" s="371">
        <v>0</v>
      </c>
      <c r="E5" s="371">
        <v>0</v>
      </c>
      <c r="F5" s="371">
        <v>0</v>
      </c>
      <c r="G5" s="371">
        <v>0</v>
      </c>
      <c r="H5" s="371">
        <v>0</v>
      </c>
      <c r="I5" s="371">
        <v>0</v>
      </c>
      <c r="J5" s="371">
        <v>0</v>
      </c>
      <c r="K5" s="371">
        <v>0</v>
      </c>
      <c r="L5" s="371">
        <v>0</v>
      </c>
      <c r="M5" s="371">
        <v>0</v>
      </c>
      <c r="N5" s="371">
        <v>0</v>
      </c>
      <c r="O5" s="371">
        <v>0</v>
      </c>
      <c r="P5" s="371">
        <v>0</v>
      </c>
      <c r="Q5" s="371">
        <v>0</v>
      </c>
      <c r="R5" s="371">
        <v>0</v>
      </c>
      <c r="S5" s="371">
        <v>0</v>
      </c>
      <c r="T5" s="371">
        <v>0</v>
      </c>
      <c r="U5" s="371">
        <v>0</v>
      </c>
      <c r="V5" s="371">
        <v>0</v>
      </c>
      <c r="W5" s="371">
        <v>0</v>
      </c>
      <c r="X5" s="371">
        <v>0</v>
      </c>
      <c r="Y5" s="371">
        <v>0</v>
      </c>
      <c r="Z5" s="371">
        <v>0</v>
      </c>
      <c r="AA5" s="371">
        <v>0</v>
      </c>
    </row>
    <row r="6" spans="2:27" x14ac:dyDescent="0.25">
      <c r="B6" s="367" t="s">
        <v>215</v>
      </c>
      <c r="C6" s="371">
        <v>0</v>
      </c>
      <c r="D6" s="371">
        <v>0</v>
      </c>
      <c r="E6" s="371">
        <v>0</v>
      </c>
      <c r="F6" s="371">
        <v>0</v>
      </c>
      <c r="G6" s="371">
        <v>0</v>
      </c>
      <c r="H6" s="371">
        <v>0</v>
      </c>
      <c r="I6" s="371">
        <v>0</v>
      </c>
      <c r="J6" s="371">
        <v>0</v>
      </c>
      <c r="K6" s="371">
        <v>0</v>
      </c>
      <c r="L6" s="371">
        <v>0</v>
      </c>
      <c r="M6" s="371">
        <v>0</v>
      </c>
      <c r="N6" s="371">
        <v>0</v>
      </c>
      <c r="O6" s="371">
        <v>0</v>
      </c>
      <c r="P6" s="371">
        <v>0</v>
      </c>
      <c r="Q6" s="371">
        <v>0</v>
      </c>
      <c r="R6" s="371">
        <v>0</v>
      </c>
      <c r="S6" s="371">
        <v>0</v>
      </c>
      <c r="T6" s="371">
        <v>0</v>
      </c>
      <c r="U6" s="371">
        <v>0</v>
      </c>
      <c r="V6" s="371">
        <v>0</v>
      </c>
      <c r="W6" s="371">
        <v>0</v>
      </c>
      <c r="X6" s="371">
        <v>0</v>
      </c>
      <c r="Y6" s="371">
        <v>0</v>
      </c>
      <c r="Z6" s="371">
        <v>0</v>
      </c>
      <c r="AA6" s="371">
        <v>0</v>
      </c>
    </row>
    <row r="7" spans="2:27" x14ac:dyDescent="0.25">
      <c r="B7" s="367" t="s">
        <v>216</v>
      </c>
      <c r="C7" s="371">
        <v>0</v>
      </c>
      <c r="D7" s="371">
        <v>0</v>
      </c>
      <c r="E7" s="371">
        <v>0</v>
      </c>
      <c r="F7" s="371">
        <v>0</v>
      </c>
      <c r="G7" s="371">
        <v>0</v>
      </c>
      <c r="H7" s="371">
        <v>0</v>
      </c>
      <c r="I7" s="371">
        <v>0</v>
      </c>
      <c r="J7" s="371">
        <v>0</v>
      </c>
      <c r="K7" s="371">
        <v>0</v>
      </c>
      <c r="L7" s="371">
        <v>0</v>
      </c>
      <c r="M7" s="371">
        <v>0</v>
      </c>
      <c r="N7" s="371">
        <v>0</v>
      </c>
      <c r="O7" s="371">
        <v>0</v>
      </c>
      <c r="P7" s="371">
        <v>0</v>
      </c>
      <c r="Q7" s="371">
        <v>0</v>
      </c>
      <c r="R7" s="371">
        <v>0</v>
      </c>
      <c r="S7" s="371">
        <v>0</v>
      </c>
      <c r="T7" s="371">
        <v>0</v>
      </c>
      <c r="U7" s="371">
        <v>0</v>
      </c>
      <c r="V7" s="371">
        <v>0</v>
      </c>
      <c r="W7" s="371">
        <v>0</v>
      </c>
      <c r="X7" s="371">
        <v>0</v>
      </c>
      <c r="Y7" s="371">
        <v>0</v>
      </c>
      <c r="Z7" s="371">
        <v>0</v>
      </c>
      <c r="AA7" s="371">
        <v>0</v>
      </c>
    </row>
    <row r="8" spans="2:27" x14ac:dyDescent="0.25">
      <c r="Y8" s="320"/>
    </row>
    <row r="9" spans="2:27" x14ac:dyDescent="0.25">
      <c r="B9" s="384" t="s">
        <v>221</v>
      </c>
      <c r="C9" s="385" t="s">
        <v>198</v>
      </c>
      <c r="D9" s="386" t="s">
        <v>224</v>
      </c>
      <c r="E9" s="385" t="s">
        <v>199</v>
      </c>
      <c r="F9" s="386" t="s">
        <v>225</v>
      </c>
      <c r="G9" s="385" t="s">
        <v>200</v>
      </c>
      <c r="H9" s="386" t="s">
        <v>226</v>
      </c>
      <c r="I9" s="385" t="s">
        <v>201</v>
      </c>
      <c r="J9" s="386" t="s">
        <v>227</v>
      </c>
      <c r="K9" s="385" t="s">
        <v>202</v>
      </c>
      <c r="L9" s="386" t="s">
        <v>228</v>
      </c>
      <c r="M9" s="385" t="s">
        <v>203</v>
      </c>
      <c r="N9" s="386" t="s">
        <v>229</v>
      </c>
      <c r="O9" s="385" t="s">
        <v>204</v>
      </c>
      <c r="P9" s="386" t="s">
        <v>230</v>
      </c>
      <c r="Q9" s="385" t="s">
        <v>205</v>
      </c>
      <c r="R9" s="386" t="s">
        <v>231</v>
      </c>
      <c r="S9" s="385" t="s">
        <v>206</v>
      </c>
      <c r="T9" s="386" t="s">
        <v>232</v>
      </c>
      <c r="U9" s="385" t="s">
        <v>207</v>
      </c>
      <c r="V9" s="386" t="s">
        <v>233</v>
      </c>
      <c r="W9" s="385" t="s">
        <v>208</v>
      </c>
      <c r="X9" s="386" t="s">
        <v>234</v>
      </c>
      <c r="Y9" s="385" t="s">
        <v>209</v>
      </c>
      <c r="Z9" s="386" t="s">
        <v>235</v>
      </c>
      <c r="AA9" s="367" t="s">
        <v>210</v>
      </c>
    </row>
    <row r="10" spans="2:27" x14ac:dyDescent="0.25">
      <c r="B10" s="367" t="s">
        <v>211</v>
      </c>
      <c r="C10" s="371">
        <v>0</v>
      </c>
      <c r="D10" s="371">
        <v>0</v>
      </c>
      <c r="E10" s="371">
        <v>0</v>
      </c>
      <c r="F10" s="371">
        <v>0</v>
      </c>
      <c r="G10" s="371">
        <v>0</v>
      </c>
      <c r="H10" s="371">
        <v>0</v>
      </c>
      <c r="I10" s="371">
        <v>0</v>
      </c>
      <c r="J10" s="371">
        <v>0</v>
      </c>
      <c r="K10" s="371">
        <v>0</v>
      </c>
      <c r="L10" s="371">
        <v>0</v>
      </c>
      <c r="M10" s="371">
        <v>0</v>
      </c>
      <c r="N10" s="371">
        <v>0</v>
      </c>
      <c r="O10" s="371">
        <v>0</v>
      </c>
      <c r="P10" s="371">
        <v>0</v>
      </c>
      <c r="Q10" s="371">
        <v>0</v>
      </c>
      <c r="R10" s="371">
        <v>0</v>
      </c>
      <c r="S10" s="371">
        <v>0</v>
      </c>
      <c r="T10" s="371">
        <v>0</v>
      </c>
      <c r="U10" s="371">
        <v>0</v>
      </c>
      <c r="V10" s="371">
        <v>0</v>
      </c>
      <c r="W10" s="371">
        <v>0</v>
      </c>
      <c r="X10" s="371">
        <v>0</v>
      </c>
      <c r="Y10" s="371">
        <v>0</v>
      </c>
      <c r="Z10" s="371">
        <v>0</v>
      </c>
      <c r="AA10" s="371">
        <v>0</v>
      </c>
    </row>
    <row r="11" spans="2:27" x14ac:dyDescent="0.25">
      <c r="B11" s="367" t="s">
        <v>236</v>
      </c>
      <c r="C11" s="371">
        <v>0</v>
      </c>
      <c r="D11" s="371">
        <v>0</v>
      </c>
      <c r="E11" s="371">
        <v>0</v>
      </c>
      <c r="F11" s="371">
        <v>0</v>
      </c>
      <c r="G11" s="371">
        <v>0</v>
      </c>
      <c r="H11" s="371">
        <v>0</v>
      </c>
      <c r="I11" s="371">
        <v>0</v>
      </c>
      <c r="J11" s="371">
        <v>0</v>
      </c>
      <c r="K11" s="371">
        <v>0</v>
      </c>
      <c r="L11" s="371">
        <v>0</v>
      </c>
      <c r="M11" s="371">
        <v>0</v>
      </c>
      <c r="N11" s="371">
        <v>0</v>
      </c>
      <c r="O11" s="371">
        <v>0</v>
      </c>
      <c r="P11" s="371">
        <v>0</v>
      </c>
      <c r="Q11" s="371">
        <v>0</v>
      </c>
      <c r="R11" s="371">
        <v>0</v>
      </c>
      <c r="S11" s="371">
        <v>0</v>
      </c>
      <c r="T11" s="371">
        <v>0</v>
      </c>
      <c r="U11" s="371">
        <v>0</v>
      </c>
      <c r="V11" s="371">
        <v>0</v>
      </c>
      <c r="W11" s="371">
        <v>0</v>
      </c>
      <c r="X11" s="371">
        <v>0</v>
      </c>
      <c r="Y11" s="371">
        <v>0</v>
      </c>
      <c r="Z11" s="371">
        <v>0</v>
      </c>
      <c r="AA11" s="371">
        <v>0</v>
      </c>
    </row>
    <row r="12" spans="2:27" x14ac:dyDescent="0.25">
      <c r="B12" s="367" t="s">
        <v>215</v>
      </c>
      <c r="C12" s="371">
        <v>0</v>
      </c>
      <c r="D12" s="371">
        <v>0</v>
      </c>
      <c r="E12" s="371">
        <v>0</v>
      </c>
      <c r="F12" s="371">
        <v>0</v>
      </c>
      <c r="G12" s="371">
        <v>0</v>
      </c>
      <c r="H12" s="371">
        <v>0</v>
      </c>
      <c r="I12" s="371">
        <v>0</v>
      </c>
      <c r="J12" s="371">
        <v>0</v>
      </c>
      <c r="K12" s="371">
        <v>0</v>
      </c>
      <c r="L12" s="371">
        <v>0</v>
      </c>
      <c r="M12" s="371">
        <v>0</v>
      </c>
      <c r="N12" s="371">
        <v>0</v>
      </c>
      <c r="O12" s="371">
        <v>0</v>
      </c>
      <c r="P12" s="371">
        <v>0</v>
      </c>
      <c r="Q12" s="371">
        <v>0</v>
      </c>
      <c r="R12" s="371">
        <v>0</v>
      </c>
      <c r="S12" s="371">
        <v>0</v>
      </c>
      <c r="T12" s="371">
        <v>0</v>
      </c>
      <c r="U12" s="371">
        <v>0</v>
      </c>
      <c r="V12" s="371">
        <v>0</v>
      </c>
      <c r="W12" s="371">
        <v>0</v>
      </c>
      <c r="X12" s="371">
        <v>0</v>
      </c>
      <c r="Y12" s="371">
        <v>0</v>
      </c>
      <c r="Z12" s="371">
        <v>0</v>
      </c>
      <c r="AA12" s="371">
        <v>0</v>
      </c>
    </row>
    <row r="13" spans="2:27" x14ac:dyDescent="0.25">
      <c r="B13" s="367" t="s">
        <v>216</v>
      </c>
      <c r="C13" s="371">
        <v>0</v>
      </c>
      <c r="D13" s="371">
        <v>0</v>
      </c>
      <c r="E13" s="371">
        <v>0</v>
      </c>
      <c r="F13" s="371">
        <v>0</v>
      </c>
      <c r="G13" s="371">
        <v>0</v>
      </c>
      <c r="H13" s="371">
        <v>0</v>
      </c>
      <c r="I13" s="371">
        <v>0</v>
      </c>
      <c r="J13" s="371">
        <v>0</v>
      </c>
      <c r="K13" s="371">
        <v>0</v>
      </c>
      <c r="L13" s="371">
        <v>0</v>
      </c>
      <c r="M13" s="371">
        <v>0</v>
      </c>
      <c r="N13" s="371">
        <v>0</v>
      </c>
      <c r="O13" s="371">
        <v>0</v>
      </c>
      <c r="P13" s="371">
        <v>0</v>
      </c>
      <c r="Q13" s="371">
        <v>0</v>
      </c>
      <c r="R13" s="371">
        <v>0</v>
      </c>
      <c r="S13" s="371">
        <v>0</v>
      </c>
      <c r="T13" s="371">
        <v>0</v>
      </c>
      <c r="U13" s="371">
        <v>0</v>
      </c>
      <c r="V13" s="371">
        <v>0</v>
      </c>
      <c r="W13" s="371">
        <v>0</v>
      </c>
      <c r="X13" s="371">
        <v>0</v>
      </c>
      <c r="Y13" s="371">
        <v>0</v>
      </c>
      <c r="Z13" s="371">
        <v>0</v>
      </c>
      <c r="AA13" s="371">
        <v>0</v>
      </c>
    </row>
    <row r="15" spans="2:27" x14ac:dyDescent="0.25">
      <c r="B15" s="384" t="s">
        <v>222</v>
      </c>
      <c r="C15" s="385" t="s">
        <v>198</v>
      </c>
      <c r="D15" s="386" t="s">
        <v>224</v>
      </c>
      <c r="E15" s="385" t="s">
        <v>199</v>
      </c>
      <c r="F15" s="386" t="s">
        <v>225</v>
      </c>
      <c r="G15" s="385" t="s">
        <v>200</v>
      </c>
      <c r="H15" s="386" t="s">
        <v>226</v>
      </c>
      <c r="I15" s="385" t="s">
        <v>201</v>
      </c>
      <c r="J15" s="386" t="s">
        <v>227</v>
      </c>
      <c r="K15" s="385" t="s">
        <v>202</v>
      </c>
      <c r="L15" s="386" t="s">
        <v>228</v>
      </c>
      <c r="M15" s="385" t="s">
        <v>203</v>
      </c>
      <c r="N15" s="386" t="s">
        <v>229</v>
      </c>
      <c r="O15" s="385" t="s">
        <v>204</v>
      </c>
      <c r="P15" s="386" t="s">
        <v>230</v>
      </c>
      <c r="Q15" s="385" t="s">
        <v>205</v>
      </c>
      <c r="R15" s="386" t="s">
        <v>231</v>
      </c>
      <c r="S15" s="385" t="s">
        <v>206</v>
      </c>
      <c r="T15" s="386" t="s">
        <v>232</v>
      </c>
      <c r="U15" s="385" t="s">
        <v>207</v>
      </c>
      <c r="V15" s="386" t="s">
        <v>233</v>
      </c>
      <c r="W15" s="385" t="s">
        <v>208</v>
      </c>
      <c r="X15" s="386" t="s">
        <v>234</v>
      </c>
      <c r="Y15" s="385" t="s">
        <v>209</v>
      </c>
      <c r="Z15" s="386" t="s">
        <v>235</v>
      </c>
      <c r="AA15" s="367" t="s">
        <v>210</v>
      </c>
    </row>
    <row r="16" spans="2:27" x14ac:dyDescent="0.25">
      <c r="B16" s="367" t="s">
        <v>211</v>
      </c>
      <c r="C16" s="371">
        <v>0</v>
      </c>
      <c r="D16" s="371">
        <v>0</v>
      </c>
      <c r="E16" s="371">
        <v>0</v>
      </c>
      <c r="F16" s="371">
        <v>0</v>
      </c>
      <c r="G16" s="371">
        <v>0</v>
      </c>
      <c r="H16" s="371">
        <v>0</v>
      </c>
      <c r="I16" s="371">
        <v>0</v>
      </c>
      <c r="J16" s="371">
        <v>0</v>
      </c>
      <c r="K16" s="371">
        <v>0</v>
      </c>
      <c r="L16" s="371">
        <v>0</v>
      </c>
      <c r="M16" s="371">
        <v>0</v>
      </c>
      <c r="N16" s="371">
        <v>0</v>
      </c>
      <c r="O16" s="371">
        <v>0</v>
      </c>
      <c r="P16" s="371">
        <v>0</v>
      </c>
      <c r="Q16" s="371">
        <v>0</v>
      </c>
      <c r="R16" s="371">
        <v>0</v>
      </c>
      <c r="S16" s="371">
        <v>0</v>
      </c>
      <c r="T16" s="371">
        <v>0</v>
      </c>
      <c r="U16" s="371">
        <v>0</v>
      </c>
      <c r="V16" s="371">
        <v>0</v>
      </c>
      <c r="W16" s="371">
        <v>0</v>
      </c>
      <c r="X16" s="371">
        <v>0</v>
      </c>
      <c r="Y16" s="371">
        <v>0</v>
      </c>
      <c r="Z16" s="371">
        <v>0</v>
      </c>
      <c r="AA16" s="371">
        <v>0</v>
      </c>
    </row>
    <row r="17" spans="2:27" x14ac:dyDescent="0.25">
      <c r="B17" s="367" t="s">
        <v>236</v>
      </c>
      <c r="C17" s="371">
        <v>0</v>
      </c>
      <c r="D17" s="371">
        <v>0</v>
      </c>
      <c r="E17" s="371">
        <v>0</v>
      </c>
      <c r="F17" s="371">
        <v>0</v>
      </c>
      <c r="G17" s="371">
        <v>0</v>
      </c>
      <c r="H17" s="371">
        <v>0</v>
      </c>
      <c r="I17" s="371">
        <v>0</v>
      </c>
      <c r="J17" s="371">
        <v>0</v>
      </c>
      <c r="K17" s="371">
        <v>0</v>
      </c>
      <c r="L17" s="371">
        <v>0</v>
      </c>
      <c r="M17" s="371">
        <v>0</v>
      </c>
      <c r="N17" s="371">
        <v>0</v>
      </c>
      <c r="O17" s="371">
        <v>0</v>
      </c>
      <c r="P17" s="371">
        <v>0</v>
      </c>
      <c r="Q17" s="371">
        <v>0</v>
      </c>
      <c r="R17" s="371">
        <v>0</v>
      </c>
      <c r="S17" s="371">
        <v>0</v>
      </c>
      <c r="T17" s="371">
        <v>0</v>
      </c>
      <c r="U17" s="371">
        <v>0</v>
      </c>
      <c r="V17" s="371">
        <v>0</v>
      </c>
      <c r="W17" s="371">
        <v>0</v>
      </c>
      <c r="X17" s="371">
        <v>0</v>
      </c>
      <c r="Y17" s="371">
        <v>0</v>
      </c>
      <c r="Z17" s="371">
        <v>0</v>
      </c>
      <c r="AA17" s="371">
        <v>0</v>
      </c>
    </row>
    <row r="18" spans="2:27" x14ac:dyDescent="0.25">
      <c r="B18" s="367" t="s">
        <v>215</v>
      </c>
      <c r="C18" s="371">
        <v>0</v>
      </c>
      <c r="D18" s="371">
        <v>0</v>
      </c>
      <c r="E18" s="371">
        <v>0</v>
      </c>
      <c r="F18" s="371">
        <v>0</v>
      </c>
      <c r="G18" s="371">
        <v>0</v>
      </c>
      <c r="H18" s="371">
        <v>0</v>
      </c>
      <c r="I18" s="371">
        <v>0</v>
      </c>
      <c r="J18" s="371">
        <v>0</v>
      </c>
      <c r="K18" s="371">
        <v>0</v>
      </c>
      <c r="L18" s="371">
        <v>0</v>
      </c>
      <c r="M18" s="371">
        <v>0</v>
      </c>
      <c r="N18" s="371">
        <v>0</v>
      </c>
      <c r="O18" s="371">
        <v>0</v>
      </c>
      <c r="P18" s="371">
        <v>0</v>
      </c>
      <c r="Q18" s="371">
        <v>0</v>
      </c>
      <c r="R18" s="371">
        <v>0</v>
      </c>
      <c r="S18" s="371">
        <v>0</v>
      </c>
      <c r="T18" s="371">
        <v>0</v>
      </c>
      <c r="U18" s="371">
        <v>0</v>
      </c>
      <c r="V18" s="371">
        <v>0</v>
      </c>
      <c r="W18" s="371">
        <v>0</v>
      </c>
      <c r="X18" s="371">
        <v>0</v>
      </c>
      <c r="Y18" s="371">
        <v>0</v>
      </c>
      <c r="Z18" s="371">
        <v>0</v>
      </c>
      <c r="AA18" s="371">
        <v>0</v>
      </c>
    </row>
    <row r="19" spans="2:27" x14ac:dyDescent="0.25">
      <c r="B19" s="367" t="s">
        <v>216</v>
      </c>
      <c r="C19" s="371">
        <v>0</v>
      </c>
      <c r="D19" s="371">
        <v>0</v>
      </c>
      <c r="E19" s="371">
        <v>0</v>
      </c>
      <c r="F19" s="371">
        <v>0</v>
      </c>
      <c r="G19" s="371">
        <v>0</v>
      </c>
      <c r="H19" s="371">
        <v>0</v>
      </c>
      <c r="I19" s="371">
        <v>0</v>
      </c>
      <c r="J19" s="371">
        <v>0</v>
      </c>
      <c r="K19" s="371">
        <v>0</v>
      </c>
      <c r="L19" s="371">
        <v>0</v>
      </c>
      <c r="M19" s="371">
        <v>0</v>
      </c>
      <c r="N19" s="371">
        <v>0</v>
      </c>
      <c r="O19" s="371">
        <v>0</v>
      </c>
      <c r="P19" s="371">
        <v>0</v>
      </c>
      <c r="Q19" s="371">
        <v>0</v>
      </c>
      <c r="R19" s="371">
        <v>0</v>
      </c>
      <c r="S19" s="371">
        <v>0</v>
      </c>
      <c r="T19" s="371">
        <v>0</v>
      </c>
      <c r="U19" s="371">
        <v>0</v>
      </c>
      <c r="V19" s="371">
        <v>0</v>
      </c>
      <c r="W19" s="371">
        <v>0</v>
      </c>
      <c r="X19" s="371">
        <v>0</v>
      </c>
      <c r="Y19" s="371">
        <v>0</v>
      </c>
      <c r="Z19" s="371">
        <v>0</v>
      </c>
      <c r="AA19" s="371">
        <v>0</v>
      </c>
    </row>
    <row r="21" spans="2:27" x14ac:dyDescent="0.25">
      <c r="B21" s="384" t="s">
        <v>223</v>
      </c>
      <c r="C21" s="385" t="s">
        <v>198</v>
      </c>
      <c r="D21" s="386" t="s">
        <v>224</v>
      </c>
      <c r="E21" s="385" t="s">
        <v>199</v>
      </c>
      <c r="F21" s="386" t="s">
        <v>225</v>
      </c>
      <c r="G21" s="385" t="s">
        <v>200</v>
      </c>
      <c r="H21" s="386" t="s">
        <v>226</v>
      </c>
      <c r="I21" s="385" t="s">
        <v>201</v>
      </c>
      <c r="J21" s="386" t="s">
        <v>227</v>
      </c>
      <c r="K21" s="385" t="s">
        <v>202</v>
      </c>
      <c r="L21" s="386" t="s">
        <v>228</v>
      </c>
      <c r="M21" s="385" t="s">
        <v>203</v>
      </c>
      <c r="N21" s="386" t="s">
        <v>229</v>
      </c>
      <c r="O21" s="385" t="s">
        <v>204</v>
      </c>
      <c r="P21" s="386" t="s">
        <v>230</v>
      </c>
      <c r="Q21" s="385" t="s">
        <v>205</v>
      </c>
      <c r="R21" s="386" t="s">
        <v>231</v>
      </c>
      <c r="S21" s="385" t="s">
        <v>206</v>
      </c>
      <c r="T21" s="386" t="s">
        <v>232</v>
      </c>
      <c r="U21" s="385" t="s">
        <v>207</v>
      </c>
      <c r="V21" s="386" t="s">
        <v>233</v>
      </c>
      <c r="W21" s="385" t="s">
        <v>208</v>
      </c>
      <c r="X21" s="386" t="s">
        <v>234</v>
      </c>
      <c r="Y21" s="385" t="s">
        <v>209</v>
      </c>
      <c r="Z21" s="386" t="s">
        <v>235</v>
      </c>
      <c r="AA21" s="367" t="s">
        <v>210</v>
      </c>
    </row>
    <row r="22" spans="2:27" x14ac:dyDescent="0.25">
      <c r="B22" s="367" t="s">
        <v>211</v>
      </c>
      <c r="C22" s="371">
        <v>0</v>
      </c>
      <c r="D22" s="371">
        <v>0</v>
      </c>
      <c r="E22" s="371">
        <v>0</v>
      </c>
      <c r="F22" s="371">
        <v>0</v>
      </c>
      <c r="G22" s="371">
        <v>0</v>
      </c>
      <c r="H22" s="371">
        <v>0</v>
      </c>
      <c r="I22" s="371">
        <v>0</v>
      </c>
      <c r="J22" s="371">
        <v>0</v>
      </c>
      <c r="K22" s="371">
        <v>0</v>
      </c>
      <c r="L22" s="371">
        <v>0</v>
      </c>
      <c r="M22" s="371">
        <v>0</v>
      </c>
      <c r="N22" s="371">
        <v>0</v>
      </c>
      <c r="O22" s="371">
        <v>0</v>
      </c>
      <c r="P22" s="371">
        <v>0</v>
      </c>
      <c r="Q22" s="371">
        <v>0</v>
      </c>
      <c r="R22" s="371">
        <v>0</v>
      </c>
      <c r="S22" s="371">
        <v>0</v>
      </c>
      <c r="T22" s="371">
        <v>0</v>
      </c>
      <c r="U22" s="371">
        <v>0</v>
      </c>
      <c r="V22" s="371">
        <v>0</v>
      </c>
      <c r="W22" s="371">
        <v>0</v>
      </c>
      <c r="X22" s="371">
        <v>0</v>
      </c>
      <c r="Y22" s="371">
        <v>0</v>
      </c>
      <c r="Z22" s="371">
        <v>0</v>
      </c>
      <c r="AA22" s="371">
        <v>0</v>
      </c>
    </row>
    <row r="23" spans="2:27" x14ac:dyDescent="0.25">
      <c r="B23" s="367" t="s">
        <v>236</v>
      </c>
      <c r="C23" s="371">
        <v>0</v>
      </c>
      <c r="D23" s="371">
        <v>0</v>
      </c>
      <c r="E23" s="371">
        <v>0</v>
      </c>
      <c r="F23" s="371">
        <v>0</v>
      </c>
      <c r="G23" s="371">
        <v>0</v>
      </c>
      <c r="H23" s="371">
        <v>0</v>
      </c>
      <c r="I23" s="371">
        <v>0</v>
      </c>
      <c r="J23" s="371">
        <v>0</v>
      </c>
      <c r="K23" s="371">
        <v>0</v>
      </c>
      <c r="L23" s="371">
        <v>0</v>
      </c>
      <c r="M23" s="371">
        <v>0</v>
      </c>
      <c r="N23" s="371">
        <v>0</v>
      </c>
      <c r="O23" s="371">
        <v>0</v>
      </c>
      <c r="P23" s="371">
        <v>0</v>
      </c>
      <c r="Q23" s="371">
        <v>0</v>
      </c>
      <c r="R23" s="371">
        <v>0</v>
      </c>
      <c r="S23" s="371">
        <v>0</v>
      </c>
      <c r="T23" s="371">
        <v>0</v>
      </c>
      <c r="U23" s="371">
        <v>0</v>
      </c>
      <c r="V23" s="371">
        <v>0</v>
      </c>
      <c r="W23" s="371">
        <v>0</v>
      </c>
      <c r="X23" s="371">
        <v>0</v>
      </c>
      <c r="Y23" s="371">
        <v>0</v>
      </c>
      <c r="Z23" s="371">
        <v>0</v>
      </c>
      <c r="AA23" s="371">
        <v>0</v>
      </c>
    </row>
    <row r="24" spans="2:27" x14ac:dyDescent="0.25">
      <c r="B24" s="367" t="s">
        <v>215</v>
      </c>
      <c r="C24" s="371">
        <v>0</v>
      </c>
      <c r="D24" s="371">
        <v>0</v>
      </c>
      <c r="E24" s="371">
        <v>0</v>
      </c>
      <c r="F24" s="371">
        <v>0</v>
      </c>
      <c r="G24" s="371">
        <v>0</v>
      </c>
      <c r="H24" s="371">
        <v>0</v>
      </c>
      <c r="I24" s="371">
        <v>0</v>
      </c>
      <c r="J24" s="371">
        <v>0</v>
      </c>
      <c r="K24" s="371">
        <v>0</v>
      </c>
      <c r="L24" s="371">
        <v>0</v>
      </c>
      <c r="M24" s="371">
        <v>0</v>
      </c>
      <c r="N24" s="371">
        <v>0</v>
      </c>
      <c r="O24" s="371">
        <v>0</v>
      </c>
      <c r="P24" s="371">
        <v>0</v>
      </c>
      <c r="Q24" s="371">
        <v>0</v>
      </c>
      <c r="R24" s="371">
        <v>0</v>
      </c>
      <c r="S24" s="371">
        <v>0</v>
      </c>
      <c r="T24" s="371">
        <v>0</v>
      </c>
      <c r="U24" s="371">
        <v>0</v>
      </c>
      <c r="V24" s="371">
        <v>0</v>
      </c>
      <c r="W24" s="371">
        <v>0</v>
      </c>
      <c r="X24" s="371">
        <v>0</v>
      </c>
      <c r="Y24" s="371">
        <v>0</v>
      </c>
      <c r="Z24" s="371">
        <v>0</v>
      </c>
      <c r="AA24" s="371">
        <v>0</v>
      </c>
    </row>
    <row r="25" spans="2:27" x14ac:dyDescent="0.25">
      <c r="B25" s="367" t="s">
        <v>216</v>
      </c>
      <c r="C25" s="371">
        <v>0</v>
      </c>
      <c r="D25" s="371">
        <v>0</v>
      </c>
      <c r="E25" s="371">
        <v>0</v>
      </c>
      <c r="F25" s="371">
        <v>0</v>
      </c>
      <c r="G25" s="371">
        <v>0</v>
      </c>
      <c r="H25" s="371">
        <v>0</v>
      </c>
      <c r="I25" s="371">
        <v>0</v>
      </c>
      <c r="J25" s="371">
        <v>0</v>
      </c>
      <c r="K25" s="371">
        <v>0</v>
      </c>
      <c r="L25" s="371">
        <v>0</v>
      </c>
      <c r="M25" s="371">
        <v>0</v>
      </c>
      <c r="N25" s="371">
        <v>0</v>
      </c>
      <c r="O25" s="371">
        <v>0</v>
      </c>
      <c r="P25" s="371">
        <v>0</v>
      </c>
      <c r="Q25" s="371">
        <v>0</v>
      </c>
      <c r="R25" s="371">
        <v>0</v>
      </c>
      <c r="S25" s="371">
        <v>0</v>
      </c>
      <c r="T25" s="371">
        <v>0</v>
      </c>
      <c r="U25" s="371">
        <v>0</v>
      </c>
      <c r="V25" s="371">
        <v>0</v>
      </c>
      <c r="W25" s="371">
        <v>0</v>
      </c>
      <c r="X25" s="371">
        <v>0</v>
      </c>
      <c r="Y25" s="371">
        <v>0</v>
      </c>
      <c r="Z25" s="371">
        <v>0</v>
      </c>
      <c r="AA25" s="371">
        <v>0</v>
      </c>
    </row>
    <row r="27" spans="2:27" x14ac:dyDescent="0.25">
      <c r="B27" s="384" t="s">
        <v>219</v>
      </c>
      <c r="C27" s="385" t="s">
        <v>198</v>
      </c>
      <c r="D27" s="386" t="s">
        <v>224</v>
      </c>
      <c r="E27" s="385" t="s">
        <v>199</v>
      </c>
      <c r="F27" s="386" t="s">
        <v>225</v>
      </c>
      <c r="G27" s="385" t="s">
        <v>200</v>
      </c>
      <c r="H27" s="386" t="s">
        <v>226</v>
      </c>
      <c r="I27" s="385" t="s">
        <v>201</v>
      </c>
      <c r="J27" s="386" t="s">
        <v>227</v>
      </c>
      <c r="K27" s="385" t="s">
        <v>202</v>
      </c>
      <c r="L27" s="386" t="s">
        <v>228</v>
      </c>
      <c r="M27" s="385" t="s">
        <v>203</v>
      </c>
      <c r="N27" s="386" t="s">
        <v>229</v>
      </c>
      <c r="O27" s="385" t="s">
        <v>204</v>
      </c>
      <c r="P27" s="386" t="s">
        <v>230</v>
      </c>
      <c r="Q27" s="385" t="s">
        <v>205</v>
      </c>
      <c r="R27" s="386" t="s">
        <v>231</v>
      </c>
      <c r="S27" s="385" t="s">
        <v>206</v>
      </c>
      <c r="T27" s="386" t="s">
        <v>232</v>
      </c>
      <c r="U27" s="385" t="s">
        <v>207</v>
      </c>
      <c r="V27" s="386" t="s">
        <v>233</v>
      </c>
      <c r="W27" s="385" t="s">
        <v>208</v>
      </c>
      <c r="X27" s="386" t="s">
        <v>234</v>
      </c>
      <c r="Y27" s="385" t="s">
        <v>209</v>
      </c>
      <c r="Z27" s="386" t="s">
        <v>235</v>
      </c>
      <c r="AA27" s="367" t="s">
        <v>210</v>
      </c>
    </row>
    <row r="28" spans="2:27" x14ac:dyDescent="0.25">
      <c r="B28" s="367" t="s">
        <v>211</v>
      </c>
      <c r="C28" s="371">
        <v>0</v>
      </c>
      <c r="D28" s="371">
        <v>0</v>
      </c>
      <c r="E28" s="371">
        <v>0</v>
      </c>
      <c r="F28" s="371">
        <v>0</v>
      </c>
      <c r="G28" s="371">
        <v>0</v>
      </c>
      <c r="H28" s="371">
        <v>0</v>
      </c>
      <c r="I28" s="371">
        <v>0</v>
      </c>
      <c r="J28" s="371">
        <v>0</v>
      </c>
      <c r="K28" s="371">
        <v>0</v>
      </c>
      <c r="L28" s="371">
        <v>0</v>
      </c>
      <c r="M28" s="371">
        <v>0</v>
      </c>
      <c r="N28" s="371">
        <v>0</v>
      </c>
      <c r="O28" s="371">
        <v>0</v>
      </c>
      <c r="P28" s="371">
        <v>0</v>
      </c>
      <c r="Q28" s="371">
        <v>0</v>
      </c>
      <c r="R28" s="371">
        <v>0</v>
      </c>
      <c r="S28" s="371">
        <v>0</v>
      </c>
      <c r="T28" s="371">
        <v>0</v>
      </c>
      <c r="U28" s="371">
        <v>0</v>
      </c>
      <c r="V28" s="371">
        <v>0</v>
      </c>
      <c r="W28" s="371">
        <v>0</v>
      </c>
      <c r="X28" s="371">
        <v>0</v>
      </c>
      <c r="Y28" s="371">
        <v>0</v>
      </c>
      <c r="Z28" s="371">
        <v>0</v>
      </c>
      <c r="AA28" s="371">
        <v>0</v>
      </c>
    </row>
    <row r="29" spans="2:27" x14ac:dyDescent="0.25">
      <c r="B29" s="367" t="s">
        <v>236</v>
      </c>
      <c r="C29" s="371">
        <v>0</v>
      </c>
      <c r="D29" s="371">
        <v>0</v>
      </c>
      <c r="E29" s="371">
        <v>0</v>
      </c>
      <c r="F29" s="371">
        <v>0</v>
      </c>
      <c r="G29" s="371">
        <v>0</v>
      </c>
      <c r="H29" s="371">
        <v>0</v>
      </c>
      <c r="I29" s="371">
        <v>0</v>
      </c>
      <c r="J29" s="371">
        <v>0</v>
      </c>
      <c r="K29" s="371">
        <v>0</v>
      </c>
      <c r="L29" s="371">
        <v>0</v>
      </c>
      <c r="M29" s="371">
        <v>0</v>
      </c>
      <c r="N29" s="371">
        <v>0</v>
      </c>
      <c r="O29" s="371">
        <v>0</v>
      </c>
      <c r="P29" s="371">
        <v>0</v>
      </c>
      <c r="Q29" s="371">
        <v>0</v>
      </c>
      <c r="R29" s="371">
        <v>0</v>
      </c>
      <c r="S29" s="371">
        <v>0</v>
      </c>
      <c r="T29" s="371">
        <v>0</v>
      </c>
      <c r="U29" s="371">
        <v>0</v>
      </c>
      <c r="V29" s="371">
        <v>0</v>
      </c>
      <c r="W29" s="371">
        <v>0</v>
      </c>
      <c r="X29" s="371">
        <v>0</v>
      </c>
      <c r="Y29" s="371">
        <v>0</v>
      </c>
      <c r="Z29" s="371">
        <v>0</v>
      </c>
      <c r="AA29" s="371">
        <v>0</v>
      </c>
    </row>
    <row r="30" spans="2:27" x14ac:dyDescent="0.25">
      <c r="B30" s="367" t="s">
        <v>215</v>
      </c>
      <c r="C30" s="371">
        <v>0</v>
      </c>
      <c r="D30" s="371">
        <v>0</v>
      </c>
      <c r="E30" s="371">
        <v>0</v>
      </c>
      <c r="F30" s="371">
        <v>0</v>
      </c>
      <c r="G30" s="371">
        <v>0</v>
      </c>
      <c r="H30" s="371">
        <v>0</v>
      </c>
      <c r="I30" s="371">
        <v>0</v>
      </c>
      <c r="J30" s="371">
        <v>0</v>
      </c>
      <c r="K30" s="371">
        <v>0</v>
      </c>
      <c r="L30" s="371">
        <v>0</v>
      </c>
      <c r="M30" s="371">
        <v>0</v>
      </c>
      <c r="N30" s="371">
        <v>0</v>
      </c>
      <c r="O30" s="371">
        <v>0</v>
      </c>
      <c r="P30" s="371">
        <v>0</v>
      </c>
      <c r="Q30" s="371">
        <v>0</v>
      </c>
      <c r="R30" s="371">
        <v>0</v>
      </c>
      <c r="S30" s="371">
        <v>0</v>
      </c>
      <c r="T30" s="371">
        <v>0</v>
      </c>
      <c r="U30" s="371">
        <v>0</v>
      </c>
      <c r="V30" s="371">
        <v>0</v>
      </c>
      <c r="W30" s="371">
        <v>0</v>
      </c>
      <c r="X30" s="371">
        <v>0</v>
      </c>
      <c r="Y30" s="371">
        <v>0</v>
      </c>
      <c r="Z30" s="371">
        <v>0</v>
      </c>
      <c r="AA30" s="371">
        <v>0</v>
      </c>
    </row>
    <row r="31" spans="2:27" x14ac:dyDescent="0.25">
      <c r="B31" s="367" t="s">
        <v>216</v>
      </c>
      <c r="C31" s="371">
        <v>0</v>
      </c>
      <c r="D31" s="371">
        <v>0</v>
      </c>
      <c r="E31" s="371">
        <v>0</v>
      </c>
      <c r="F31" s="371">
        <v>0</v>
      </c>
      <c r="G31" s="371">
        <v>0</v>
      </c>
      <c r="H31" s="371">
        <v>0</v>
      </c>
      <c r="I31" s="371">
        <v>0</v>
      </c>
      <c r="J31" s="371">
        <v>0</v>
      </c>
      <c r="K31" s="371">
        <v>0</v>
      </c>
      <c r="L31" s="371">
        <v>0</v>
      </c>
      <c r="M31" s="371">
        <v>0</v>
      </c>
      <c r="N31" s="371">
        <v>0</v>
      </c>
      <c r="O31" s="371">
        <v>0</v>
      </c>
      <c r="P31" s="371">
        <v>0</v>
      </c>
      <c r="Q31" s="371">
        <v>0</v>
      </c>
      <c r="R31" s="371">
        <v>0</v>
      </c>
      <c r="S31" s="371">
        <v>0</v>
      </c>
      <c r="T31" s="371">
        <v>0</v>
      </c>
      <c r="U31" s="371">
        <v>0</v>
      </c>
      <c r="V31" s="371">
        <v>0</v>
      </c>
      <c r="W31" s="371">
        <v>0</v>
      </c>
      <c r="X31" s="371">
        <v>0</v>
      </c>
      <c r="Y31" s="371">
        <v>0</v>
      </c>
      <c r="Z31" s="371">
        <v>0</v>
      </c>
      <c r="AA31" s="371">
        <v>0</v>
      </c>
    </row>
    <row r="34" spans="2:26" x14ac:dyDescent="0.25">
      <c r="C34" s="385" t="s">
        <v>237</v>
      </c>
      <c r="D34" s="386" t="s">
        <v>238</v>
      </c>
      <c r="E34" s="385" t="s">
        <v>239</v>
      </c>
      <c r="F34" s="386" t="s">
        <v>240</v>
      </c>
      <c r="G34" s="385" t="s">
        <v>241</v>
      </c>
      <c r="H34" s="386" t="s">
        <v>242</v>
      </c>
      <c r="I34" s="385" t="s">
        <v>243</v>
      </c>
      <c r="J34" s="386" t="s">
        <v>244</v>
      </c>
      <c r="K34" s="385" t="s">
        <v>245</v>
      </c>
      <c r="L34" s="386" t="s">
        <v>246</v>
      </c>
      <c r="M34" s="385" t="s">
        <v>247</v>
      </c>
      <c r="N34" s="386" t="s">
        <v>248</v>
      </c>
      <c r="O34" s="385" t="s">
        <v>249</v>
      </c>
      <c r="P34" s="386" t="s">
        <v>250</v>
      </c>
      <c r="Q34" s="385" t="s">
        <v>251</v>
      </c>
      <c r="R34" s="386" t="s">
        <v>252</v>
      </c>
      <c r="S34" s="385" t="s">
        <v>253</v>
      </c>
      <c r="T34" s="386" t="s">
        <v>254</v>
      </c>
      <c r="U34" s="385" t="s">
        <v>255</v>
      </c>
      <c r="V34" s="386" t="s">
        <v>256</v>
      </c>
      <c r="W34" s="385" t="s">
        <v>257</v>
      </c>
      <c r="X34" s="386" t="s">
        <v>258</v>
      </c>
      <c r="Y34" s="385" t="s">
        <v>259</v>
      </c>
      <c r="Z34" s="386" t="s">
        <v>260</v>
      </c>
    </row>
    <row r="35" spans="2:26" x14ac:dyDescent="0.25">
      <c r="B35" s="367" t="s">
        <v>261</v>
      </c>
      <c r="C35" s="371">
        <f t="shared" ref="C35:Z35" si="0">C4+C10+C16+C22+C28</f>
        <v>0</v>
      </c>
      <c r="D35" s="371">
        <f t="shared" si="0"/>
        <v>0</v>
      </c>
      <c r="E35" s="371">
        <f t="shared" si="0"/>
        <v>0</v>
      </c>
      <c r="F35" s="371">
        <f t="shared" si="0"/>
        <v>0</v>
      </c>
      <c r="G35" s="371">
        <f t="shared" si="0"/>
        <v>0</v>
      </c>
      <c r="H35" s="371">
        <f t="shared" si="0"/>
        <v>0</v>
      </c>
      <c r="I35" s="371">
        <f t="shared" si="0"/>
        <v>0</v>
      </c>
      <c r="J35" s="371">
        <f t="shared" si="0"/>
        <v>0</v>
      </c>
      <c r="K35" s="371">
        <f t="shared" si="0"/>
        <v>0</v>
      </c>
      <c r="L35" s="371">
        <f t="shared" si="0"/>
        <v>0</v>
      </c>
      <c r="M35" s="371">
        <f t="shared" si="0"/>
        <v>0</v>
      </c>
      <c r="N35" s="371">
        <f t="shared" si="0"/>
        <v>0</v>
      </c>
      <c r="O35" s="371">
        <f t="shared" si="0"/>
        <v>0</v>
      </c>
      <c r="P35" s="371">
        <f t="shared" si="0"/>
        <v>0</v>
      </c>
      <c r="Q35" s="371">
        <f t="shared" si="0"/>
        <v>0</v>
      </c>
      <c r="R35" s="371">
        <f t="shared" si="0"/>
        <v>0</v>
      </c>
      <c r="S35" s="371">
        <f t="shared" si="0"/>
        <v>0</v>
      </c>
      <c r="T35" s="371">
        <f t="shared" si="0"/>
        <v>0</v>
      </c>
      <c r="U35" s="371">
        <f t="shared" si="0"/>
        <v>0</v>
      </c>
      <c r="V35" s="371">
        <f t="shared" si="0"/>
        <v>0</v>
      </c>
      <c r="W35" s="371">
        <f t="shared" si="0"/>
        <v>0</v>
      </c>
      <c r="X35" s="371">
        <f t="shared" si="0"/>
        <v>0</v>
      </c>
      <c r="Y35" s="371">
        <f t="shared" si="0"/>
        <v>0</v>
      </c>
      <c r="Z35" s="371">
        <f t="shared" si="0"/>
        <v>0</v>
      </c>
    </row>
    <row r="36" spans="2:26" x14ac:dyDescent="0.25">
      <c r="B36" s="367" t="s">
        <v>7</v>
      </c>
      <c r="C36" s="371">
        <f>C5+C11+C17+C23+C29</f>
        <v>0</v>
      </c>
      <c r="D36" s="371">
        <f t="shared" ref="D36:S38" si="1">D5+D11+D17+D23+D29</f>
        <v>0</v>
      </c>
      <c r="E36" s="371">
        <f t="shared" si="1"/>
        <v>0</v>
      </c>
      <c r="F36" s="371">
        <f t="shared" si="1"/>
        <v>0</v>
      </c>
      <c r="G36" s="371">
        <f t="shared" si="1"/>
        <v>0</v>
      </c>
      <c r="H36" s="371">
        <f t="shared" si="1"/>
        <v>0</v>
      </c>
      <c r="I36" s="371">
        <f t="shared" si="1"/>
        <v>0</v>
      </c>
      <c r="J36" s="371">
        <f t="shared" si="1"/>
        <v>0</v>
      </c>
      <c r="K36" s="371">
        <f t="shared" si="1"/>
        <v>0</v>
      </c>
      <c r="L36" s="371">
        <f t="shared" si="1"/>
        <v>0</v>
      </c>
      <c r="M36" s="371">
        <f t="shared" si="1"/>
        <v>0</v>
      </c>
      <c r="N36" s="371">
        <f t="shared" si="1"/>
        <v>0</v>
      </c>
      <c r="O36" s="371">
        <f t="shared" si="1"/>
        <v>0</v>
      </c>
      <c r="P36" s="371">
        <f t="shared" si="1"/>
        <v>0</v>
      </c>
      <c r="Q36" s="371">
        <f t="shared" si="1"/>
        <v>0</v>
      </c>
      <c r="R36" s="371">
        <f t="shared" si="1"/>
        <v>0</v>
      </c>
      <c r="S36" s="371">
        <f t="shared" si="1"/>
        <v>0</v>
      </c>
      <c r="T36" s="371">
        <f t="shared" ref="T36:Z38" si="2">T5+T11+T17+T23+T29</f>
        <v>0</v>
      </c>
      <c r="U36" s="371">
        <f t="shared" si="2"/>
        <v>0</v>
      </c>
      <c r="V36" s="371">
        <f t="shared" si="2"/>
        <v>0</v>
      </c>
      <c r="W36" s="371">
        <f t="shared" si="2"/>
        <v>0</v>
      </c>
      <c r="X36" s="371">
        <f t="shared" si="2"/>
        <v>0</v>
      </c>
      <c r="Y36" s="371">
        <f t="shared" si="2"/>
        <v>0</v>
      </c>
      <c r="Z36" s="371">
        <f t="shared" si="2"/>
        <v>0</v>
      </c>
    </row>
    <row r="37" spans="2:26" x14ac:dyDescent="0.25">
      <c r="B37" s="367" t="s">
        <v>71</v>
      </c>
      <c r="C37" s="371">
        <f>C6+C12+C18+C24+C30</f>
        <v>0</v>
      </c>
      <c r="D37" s="371">
        <f t="shared" si="1"/>
        <v>0</v>
      </c>
      <c r="E37" s="371">
        <f t="shared" si="1"/>
        <v>0</v>
      </c>
      <c r="F37" s="371">
        <f t="shared" si="1"/>
        <v>0</v>
      </c>
      <c r="G37" s="371">
        <f t="shared" si="1"/>
        <v>0</v>
      </c>
      <c r="H37" s="371">
        <f t="shared" si="1"/>
        <v>0</v>
      </c>
      <c r="I37" s="371">
        <f t="shared" si="1"/>
        <v>0</v>
      </c>
      <c r="J37" s="371">
        <f t="shared" si="1"/>
        <v>0</v>
      </c>
      <c r="K37" s="371">
        <f t="shared" si="1"/>
        <v>0</v>
      </c>
      <c r="L37" s="371">
        <f t="shared" si="1"/>
        <v>0</v>
      </c>
      <c r="M37" s="371">
        <f t="shared" si="1"/>
        <v>0</v>
      </c>
      <c r="N37" s="371">
        <f t="shared" si="1"/>
        <v>0</v>
      </c>
      <c r="O37" s="371">
        <f t="shared" si="1"/>
        <v>0</v>
      </c>
      <c r="P37" s="371">
        <f t="shared" si="1"/>
        <v>0</v>
      </c>
      <c r="Q37" s="371">
        <f t="shared" si="1"/>
        <v>0</v>
      </c>
      <c r="R37" s="371">
        <f t="shared" si="1"/>
        <v>0</v>
      </c>
      <c r="S37" s="371">
        <f t="shared" si="1"/>
        <v>0</v>
      </c>
      <c r="T37" s="371">
        <f t="shared" si="2"/>
        <v>0</v>
      </c>
      <c r="U37" s="371">
        <f t="shared" si="2"/>
        <v>0</v>
      </c>
      <c r="V37" s="371">
        <f t="shared" si="2"/>
        <v>0</v>
      </c>
      <c r="W37" s="371">
        <f t="shared" si="2"/>
        <v>0</v>
      </c>
      <c r="X37" s="371">
        <f t="shared" si="2"/>
        <v>0</v>
      </c>
      <c r="Y37" s="371">
        <f t="shared" si="2"/>
        <v>0</v>
      </c>
      <c r="Z37" s="371">
        <f t="shared" si="2"/>
        <v>0</v>
      </c>
    </row>
    <row r="38" spans="2:26" x14ac:dyDescent="0.25">
      <c r="B38" s="367" t="s">
        <v>216</v>
      </c>
      <c r="C38" s="371">
        <f>C7+C13+C19+C25+C31</f>
        <v>0</v>
      </c>
      <c r="D38" s="371">
        <f t="shared" si="1"/>
        <v>0</v>
      </c>
      <c r="E38" s="371">
        <f t="shared" si="1"/>
        <v>0</v>
      </c>
      <c r="F38" s="371">
        <f t="shared" si="1"/>
        <v>0</v>
      </c>
      <c r="G38" s="371">
        <f t="shared" si="1"/>
        <v>0</v>
      </c>
      <c r="H38" s="371">
        <f t="shared" si="1"/>
        <v>0</v>
      </c>
      <c r="I38" s="371">
        <f t="shared" si="1"/>
        <v>0</v>
      </c>
      <c r="J38" s="371">
        <f t="shared" si="1"/>
        <v>0</v>
      </c>
      <c r="K38" s="371">
        <f t="shared" si="1"/>
        <v>0</v>
      </c>
      <c r="L38" s="371">
        <f t="shared" si="1"/>
        <v>0</v>
      </c>
      <c r="M38" s="371">
        <f t="shared" si="1"/>
        <v>0</v>
      </c>
      <c r="N38" s="371">
        <f t="shared" si="1"/>
        <v>0</v>
      </c>
      <c r="O38" s="371">
        <f t="shared" si="1"/>
        <v>0</v>
      </c>
      <c r="P38" s="371">
        <f t="shared" si="1"/>
        <v>0</v>
      </c>
      <c r="Q38" s="371">
        <f t="shared" si="1"/>
        <v>0</v>
      </c>
      <c r="R38" s="371">
        <f t="shared" si="1"/>
        <v>0</v>
      </c>
      <c r="S38" s="371">
        <f t="shared" si="1"/>
        <v>0</v>
      </c>
      <c r="T38" s="371">
        <f t="shared" si="2"/>
        <v>0</v>
      </c>
      <c r="U38" s="371">
        <f t="shared" si="2"/>
        <v>0</v>
      </c>
      <c r="V38" s="371">
        <f t="shared" si="2"/>
        <v>0</v>
      </c>
      <c r="W38" s="371">
        <f t="shared" si="2"/>
        <v>0</v>
      </c>
      <c r="X38" s="371">
        <f t="shared" si="2"/>
        <v>0</v>
      </c>
      <c r="Y38" s="371">
        <f t="shared" si="2"/>
        <v>0</v>
      </c>
      <c r="Z38" s="371">
        <f t="shared" si="2"/>
        <v>0</v>
      </c>
    </row>
    <row r="43" spans="2:26" x14ac:dyDescent="0.25">
      <c r="C43" s="1387" t="s">
        <v>262</v>
      </c>
      <c r="D43" s="1387"/>
      <c r="E43" s="1387"/>
    </row>
    <row r="44" spans="2:26" x14ac:dyDescent="0.25">
      <c r="C44" s="382" t="s">
        <v>263</v>
      </c>
      <c r="D44" s="382" t="s">
        <v>264</v>
      </c>
      <c r="E44" s="382" t="s">
        <v>265</v>
      </c>
    </row>
    <row r="45" spans="2:26" x14ac:dyDescent="0.25">
      <c r="C45" s="367" t="s">
        <v>198</v>
      </c>
      <c r="D45" s="383" t="e">
        <f>C38/C35</f>
        <v>#DIV/0!</v>
      </c>
      <c r="E45" s="383" t="e">
        <f>D38/D35</f>
        <v>#DIV/0!</v>
      </c>
    </row>
    <row r="46" spans="2:26" x14ac:dyDescent="0.25">
      <c r="C46" s="367" t="s">
        <v>199</v>
      </c>
      <c r="D46" s="383" t="e">
        <f>E38/E35</f>
        <v>#DIV/0!</v>
      </c>
      <c r="E46" s="383" t="e">
        <f>F38/F35</f>
        <v>#DIV/0!</v>
      </c>
    </row>
    <row r="47" spans="2:26" x14ac:dyDescent="0.25">
      <c r="C47" s="367" t="s">
        <v>200</v>
      </c>
      <c r="D47" s="383" t="e">
        <f>G38/G35</f>
        <v>#DIV/0!</v>
      </c>
      <c r="E47" s="383" t="e">
        <f>H38/H35</f>
        <v>#DIV/0!</v>
      </c>
    </row>
    <row r="48" spans="2:26" x14ac:dyDescent="0.25">
      <c r="C48" s="367" t="s">
        <v>201</v>
      </c>
      <c r="D48" s="383" t="e">
        <f>I38/I35</f>
        <v>#DIV/0!</v>
      </c>
      <c r="E48" s="383" t="e">
        <f>J38/J35</f>
        <v>#DIV/0!</v>
      </c>
    </row>
    <row r="49" spans="3:5" x14ac:dyDescent="0.25">
      <c r="C49" s="367" t="s">
        <v>202</v>
      </c>
      <c r="D49" s="383" t="e">
        <f>K38/K35</f>
        <v>#DIV/0!</v>
      </c>
      <c r="E49" s="383" t="e">
        <f>L38/L35</f>
        <v>#DIV/0!</v>
      </c>
    </row>
    <row r="50" spans="3:5" x14ac:dyDescent="0.25">
      <c r="C50" s="367" t="s">
        <v>203</v>
      </c>
      <c r="D50" s="383" t="e">
        <f>M38/M35</f>
        <v>#DIV/0!</v>
      </c>
      <c r="E50" s="383"/>
    </row>
    <row r="51" spans="3:5" x14ac:dyDescent="0.25">
      <c r="C51" s="367" t="s">
        <v>204</v>
      </c>
      <c r="D51" s="383"/>
      <c r="E51" s="383"/>
    </row>
    <row r="52" spans="3:5" x14ac:dyDescent="0.25">
      <c r="C52" s="367" t="s">
        <v>205</v>
      </c>
      <c r="D52" s="383"/>
      <c r="E52" s="383"/>
    </row>
    <row r="53" spans="3:5" x14ac:dyDescent="0.25">
      <c r="C53" s="367" t="s">
        <v>206</v>
      </c>
      <c r="D53" s="383"/>
      <c r="E53" s="383"/>
    </row>
    <row r="54" spans="3:5" x14ac:dyDescent="0.25">
      <c r="C54" s="367" t="s">
        <v>207</v>
      </c>
      <c r="D54" s="383"/>
      <c r="E54" s="383"/>
    </row>
    <row r="55" spans="3:5" x14ac:dyDescent="0.25">
      <c r="C55" s="367" t="s">
        <v>208</v>
      </c>
      <c r="D55" s="383"/>
      <c r="E55" s="383"/>
    </row>
    <row r="56" spans="3:5" x14ac:dyDescent="0.25">
      <c r="C56" s="367" t="s">
        <v>209</v>
      </c>
      <c r="D56" s="383"/>
      <c r="E56" s="383"/>
    </row>
  </sheetData>
  <mergeCells count="1">
    <mergeCell ref="C43:E4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36"/>
  <sheetViews>
    <sheetView showGridLines="0" topLeftCell="A10" workbookViewId="0">
      <selection activeCell="C33" sqref="C33"/>
    </sheetView>
  </sheetViews>
  <sheetFormatPr baseColWidth="10" defaultRowHeight="15" x14ac:dyDescent="0.25"/>
  <cols>
    <col min="11" max="11" width="28.140625" customWidth="1"/>
  </cols>
  <sheetData>
    <row r="1" spans="2:11" ht="18" x14ac:dyDescent="0.25">
      <c r="B1" s="5"/>
      <c r="C1" s="5"/>
      <c r="D1" s="5"/>
      <c r="E1" s="5"/>
      <c r="F1" s="5"/>
      <c r="G1" s="5"/>
      <c r="H1" s="391" t="s">
        <v>268</v>
      </c>
      <c r="I1" s="5"/>
      <c r="J1" s="5"/>
      <c r="K1" s="5"/>
    </row>
    <row r="2" spans="2:11" x14ac:dyDescent="0.25">
      <c r="B2" s="5"/>
      <c r="C2" s="5"/>
      <c r="D2" s="5"/>
      <c r="E2" s="5"/>
      <c r="F2" s="5"/>
      <c r="G2" s="5"/>
      <c r="H2" s="5"/>
      <c r="I2" s="5"/>
      <c r="J2" s="5"/>
      <c r="K2" s="5"/>
    </row>
    <row r="3" spans="2:11" ht="18" x14ac:dyDescent="0.25">
      <c r="B3" s="1024" t="s">
        <v>269</v>
      </c>
      <c r="C3" s="1024"/>
      <c r="D3" s="1024"/>
      <c r="E3" s="1024"/>
      <c r="F3" s="392"/>
      <c r="G3" s="392"/>
      <c r="H3" s="392"/>
      <c r="I3" s="392"/>
      <c r="J3" s="392"/>
      <c r="K3" s="392"/>
    </row>
    <row r="4" spans="2:11" x14ac:dyDescent="0.25">
      <c r="B4" s="5"/>
      <c r="C4" s="5"/>
      <c r="D4" s="5"/>
      <c r="E4" s="5"/>
      <c r="F4" s="5"/>
      <c r="G4" s="5"/>
      <c r="H4" s="5"/>
      <c r="I4" s="5"/>
      <c r="J4" s="5"/>
      <c r="K4" s="5"/>
    </row>
    <row r="5" spans="2:11" x14ac:dyDescent="0.25">
      <c r="B5" s="5"/>
      <c r="C5" s="1024" t="s">
        <v>2</v>
      </c>
      <c r="D5" s="1024"/>
      <c r="E5" s="1024"/>
      <c r="F5" s="1024"/>
      <c r="G5" s="1024"/>
      <c r="H5" s="1024"/>
      <c r="I5" s="1024"/>
      <c r="J5" s="1024"/>
      <c r="K5" s="1024"/>
    </row>
    <row r="6" spans="2:11" x14ac:dyDescent="0.25">
      <c r="B6" s="5"/>
      <c r="C6" s="1024" t="s">
        <v>270</v>
      </c>
      <c r="D6" s="1024"/>
      <c r="E6" s="1024"/>
      <c r="F6" s="1024"/>
      <c r="G6" s="1024"/>
      <c r="H6" s="1024"/>
      <c r="I6" s="1024"/>
      <c r="J6" s="1024"/>
      <c r="K6" s="1024"/>
    </row>
    <row r="7" spans="2:11" ht="18" x14ac:dyDescent="0.25">
      <c r="B7" s="1024" t="s">
        <v>271</v>
      </c>
      <c r="C7" s="1024"/>
      <c r="D7" s="1024"/>
      <c r="E7" s="1024"/>
      <c r="F7" s="392"/>
      <c r="G7" s="392"/>
      <c r="H7" s="392"/>
      <c r="I7" s="392"/>
      <c r="J7" s="392"/>
      <c r="K7" s="392"/>
    </row>
    <row r="8" spans="2:11" x14ac:dyDescent="0.25">
      <c r="B8" s="5"/>
      <c r="C8" s="1024" t="s">
        <v>36</v>
      </c>
      <c r="D8" s="1024"/>
      <c r="E8" s="1024"/>
      <c r="F8" s="1024"/>
      <c r="G8" s="1024"/>
      <c r="H8" s="1024"/>
      <c r="I8" s="1024"/>
      <c r="J8" s="1024"/>
      <c r="K8" s="1024"/>
    </row>
    <row r="9" spans="2:11" x14ac:dyDescent="0.25">
      <c r="B9" s="5"/>
      <c r="C9" s="1024" t="s">
        <v>37</v>
      </c>
      <c r="D9" s="1024"/>
      <c r="E9" s="1024"/>
      <c r="F9" s="1024"/>
      <c r="G9" s="1024"/>
      <c r="H9" s="1024"/>
      <c r="I9" s="5"/>
      <c r="J9" s="5"/>
      <c r="K9" s="5"/>
    </row>
    <row r="10" spans="2:11" x14ac:dyDescent="0.25">
      <c r="B10" s="5"/>
      <c r="C10" s="5"/>
      <c r="D10" s="5"/>
      <c r="E10" s="5"/>
      <c r="F10" s="5"/>
      <c r="G10" s="5"/>
      <c r="H10" s="5"/>
      <c r="I10" s="5"/>
      <c r="J10" s="5"/>
      <c r="K10" s="5"/>
    </row>
    <row r="11" spans="2:11" ht="18" x14ac:dyDescent="0.25">
      <c r="B11" s="1024" t="s">
        <v>272</v>
      </c>
      <c r="C11" s="1024"/>
      <c r="D11" s="1024"/>
      <c r="E11" s="1024"/>
      <c r="F11" s="1024"/>
      <c r="G11" s="392"/>
      <c r="H11" s="392"/>
      <c r="I11" s="392"/>
      <c r="J11" s="392"/>
      <c r="K11" s="392"/>
    </row>
    <row r="12" spans="2:11" x14ac:dyDescent="0.25">
      <c r="B12" s="5"/>
      <c r="C12" s="1024" t="s">
        <v>273</v>
      </c>
      <c r="D12" s="1024"/>
      <c r="E12" s="1024"/>
      <c r="F12" s="1024"/>
      <c r="G12" s="1024"/>
      <c r="H12" s="1024"/>
      <c r="I12" s="1024"/>
      <c r="J12" s="1024"/>
      <c r="K12" s="1024"/>
    </row>
    <row r="13" spans="2:11" ht="16.5" customHeight="1" x14ac:dyDescent="0.25">
      <c r="B13" s="5"/>
      <c r="C13" s="5"/>
      <c r="D13" s="5"/>
      <c r="E13" s="5"/>
      <c r="F13" s="5"/>
      <c r="G13" s="5"/>
      <c r="H13" s="5"/>
      <c r="I13" s="5"/>
      <c r="J13" s="5"/>
      <c r="K13" s="5"/>
    </row>
    <row r="14" spans="2:11" ht="18" x14ac:dyDescent="0.25">
      <c r="B14" s="1024" t="s">
        <v>274</v>
      </c>
      <c r="C14" s="1024"/>
      <c r="D14" s="1024"/>
      <c r="E14" s="1024"/>
      <c r="F14" s="1024"/>
      <c r="G14" s="392"/>
      <c r="H14" s="392"/>
      <c r="I14" s="392"/>
      <c r="J14" s="392"/>
      <c r="K14" s="392"/>
    </row>
    <row r="15" spans="2:11" x14ac:dyDescent="0.25">
      <c r="B15" s="5"/>
      <c r="C15" s="1024" t="s">
        <v>140</v>
      </c>
      <c r="D15" s="1024"/>
      <c r="E15" s="1024"/>
      <c r="F15" s="1024"/>
      <c r="G15" s="1024"/>
      <c r="H15" s="1024"/>
      <c r="I15" s="1024"/>
      <c r="J15" s="1024"/>
      <c r="K15" s="1024"/>
    </row>
    <row r="16" spans="2:11" x14ac:dyDescent="0.25">
      <c r="B16" s="5"/>
      <c r="C16" s="1024" t="s">
        <v>141</v>
      </c>
      <c r="D16" s="1024"/>
      <c r="E16" s="1024"/>
      <c r="F16" s="1024"/>
      <c r="G16" s="1024"/>
      <c r="H16" s="1024"/>
      <c r="I16" s="1024"/>
      <c r="J16" s="1024"/>
      <c r="K16" s="1024"/>
    </row>
    <row r="17" spans="2:11" x14ac:dyDescent="0.25">
      <c r="B17" s="5"/>
      <c r="C17" s="1024" t="s">
        <v>142</v>
      </c>
      <c r="D17" s="1024"/>
      <c r="E17" s="1024"/>
      <c r="F17" s="1024"/>
      <c r="G17" s="1024"/>
      <c r="H17" s="1024"/>
      <c r="I17" s="1024"/>
      <c r="J17" s="1024"/>
      <c r="K17" s="1024"/>
    </row>
    <row r="18" spans="2:11" x14ac:dyDescent="0.25">
      <c r="B18" s="5"/>
      <c r="C18" s="1024" t="s">
        <v>143</v>
      </c>
      <c r="D18" s="1024"/>
      <c r="E18" s="1024"/>
      <c r="F18" s="1024"/>
      <c r="G18" s="1024"/>
      <c r="H18" s="1024"/>
      <c r="I18" s="1024"/>
      <c r="J18" s="1024"/>
      <c r="K18" s="1024"/>
    </row>
    <row r="19" spans="2:11" x14ac:dyDescent="0.25">
      <c r="B19" s="5"/>
      <c r="C19" s="1024" t="s">
        <v>144</v>
      </c>
      <c r="D19" s="1024"/>
      <c r="E19" s="1024"/>
      <c r="F19" s="1024"/>
      <c r="G19" s="1024"/>
      <c r="H19" s="1024"/>
      <c r="I19" s="1024"/>
      <c r="J19" s="1024"/>
      <c r="K19" s="1024"/>
    </row>
    <row r="20" spans="2:11" x14ac:dyDescent="0.25">
      <c r="B20" s="5"/>
      <c r="C20" s="1025" t="s">
        <v>145</v>
      </c>
      <c r="D20" s="1024"/>
      <c r="E20" s="1024"/>
      <c r="F20" s="1024"/>
      <c r="G20" s="1024"/>
      <c r="H20" s="1024"/>
      <c r="I20" s="1024"/>
      <c r="J20" s="1024"/>
      <c r="K20" s="1024"/>
    </row>
    <row r="21" spans="2:11" x14ac:dyDescent="0.25">
      <c r="B21" s="5"/>
      <c r="C21" s="5"/>
      <c r="D21" s="5"/>
      <c r="E21" s="5"/>
      <c r="F21" s="5"/>
      <c r="G21" s="5"/>
      <c r="H21" s="5"/>
      <c r="I21" s="5"/>
      <c r="J21" s="5"/>
      <c r="K21" s="5"/>
    </row>
    <row r="22" spans="2:11" ht="18" x14ac:dyDescent="0.25">
      <c r="B22" s="1024" t="s">
        <v>275</v>
      </c>
      <c r="C22" s="1024"/>
      <c r="D22" s="1024"/>
      <c r="E22" s="1024"/>
      <c r="F22" s="392"/>
      <c r="G22" s="392"/>
      <c r="H22" s="392"/>
      <c r="I22" s="392"/>
      <c r="J22" s="392"/>
      <c r="K22" s="392"/>
    </row>
    <row r="23" spans="2:11" x14ac:dyDescent="0.25">
      <c r="B23" s="5"/>
      <c r="C23" s="1024" t="s">
        <v>168</v>
      </c>
      <c r="D23" s="1024"/>
      <c r="E23" s="1024"/>
      <c r="F23" s="1024"/>
      <c r="G23" s="1024"/>
      <c r="H23" s="1024"/>
      <c r="I23" s="1024"/>
      <c r="J23" s="1024"/>
      <c r="K23" s="1024"/>
    </row>
    <row r="24" spans="2:11" x14ac:dyDescent="0.25">
      <c r="B24" s="5"/>
      <c r="C24" s="5"/>
      <c r="D24" s="5"/>
      <c r="E24" s="5"/>
      <c r="F24" s="5"/>
      <c r="G24" s="5"/>
      <c r="H24" s="5"/>
      <c r="I24" s="5"/>
      <c r="J24" s="5"/>
      <c r="K24" s="5"/>
    </row>
    <row r="25" spans="2:11" ht="18" x14ac:dyDescent="0.25">
      <c r="B25" s="1024" t="s">
        <v>276</v>
      </c>
      <c r="C25" s="1024"/>
      <c r="D25" s="1024"/>
      <c r="E25" s="1024"/>
      <c r="F25" s="392"/>
      <c r="G25" s="392"/>
      <c r="H25" s="392"/>
      <c r="I25" s="392"/>
      <c r="J25" s="392"/>
      <c r="K25" s="392"/>
    </row>
    <row r="26" spans="2:11" x14ac:dyDescent="0.25">
      <c r="B26" s="5"/>
      <c r="C26" s="1024" t="s">
        <v>277</v>
      </c>
      <c r="D26" s="1024"/>
      <c r="E26" s="1024"/>
      <c r="F26" s="1024"/>
      <c r="G26" s="1024"/>
      <c r="H26" s="1024"/>
      <c r="I26" s="1024"/>
      <c r="J26" s="1024"/>
      <c r="K26" s="1024"/>
    </row>
    <row r="27" spans="2:11" ht="18" x14ac:dyDescent="0.25">
      <c r="B27" s="1024" t="s">
        <v>278</v>
      </c>
      <c r="C27" s="1024"/>
      <c r="D27" s="1024"/>
      <c r="E27" s="1024"/>
      <c r="F27" s="392"/>
      <c r="G27" s="392"/>
      <c r="H27" s="392"/>
      <c r="I27" s="392"/>
      <c r="J27" s="392"/>
      <c r="K27" s="392"/>
    </row>
    <row r="28" spans="2:11" x14ac:dyDescent="0.25">
      <c r="B28" s="5"/>
      <c r="C28" s="5"/>
      <c r="D28" s="5"/>
      <c r="E28" s="5"/>
      <c r="F28" s="5"/>
      <c r="G28" s="5"/>
      <c r="H28" s="5"/>
      <c r="I28" s="5"/>
      <c r="J28" s="5"/>
      <c r="K28" s="5"/>
    </row>
    <row r="29" spans="2:11" x14ac:dyDescent="0.25">
      <c r="B29" s="5"/>
      <c r="C29" s="1024" t="s">
        <v>279</v>
      </c>
      <c r="D29" s="1024"/>
      <c r="E29" s="1024"/>
      <c r="F29" s="1024"/>
      <c r="G29" s="1024"/>
      <c r="H29" s="1024"/>
      <c r="I29" s="1024"/>
      <c r="J29" s="1024"/>
      <c r="K29" s="1024"/>
    </row>
    <row r="30" spans="2:11" ht="18" x14ac:dyDescent="0.25">
      <c r="B30" s="1024" t="s">
        <v>280</v>
      </c>
      <c r="C30" s="1024"/>
      <c r="D30" s="1024"/>
      <c r="E30" s="1024"/>
      <c r="F30" s="392"/>
      <c r="G30" s="392"/>
      <c r="H30" s="392"/>
      <c r="I30" s="392"/>
      <c r="J30" s="392"/>
      <c r="K30" s="392"/>
    </row>
    <row r="31" spans="2:11" x14ac:dyDescent="0.25">
      <c r="B31" s="393" t="s">
        <v>281</v>
      </c>
      <c r="C31" s="393"/>
      <c r="D31" s="5"/>
      <c r="E31" s="5"/>
      <c r="F31" s="5"/>
      <c r="G31" s="5"/>
      <c r="H31" s="5"/>
      <c r="I31" s="5"/>
      <c r="J31" s="5"/>
      <c r="K31" s="5"/>
    </row>
    <row r="32" spans="2:11" x14ac:dyDescent="0.25">
      <c r="B32" s="5"/>
      <c r="C32" s="5"/>
      <c r="D32" s="5"/>
      <c r="E32" s="5"/>
      <c r="F32" s="5"/>
      <c r="G32" s="5"/>
      <c r="H32" s="5"/>
      <c r="I32" s="5"/>
      <c r="J32" s="5"/>
      <c r="K32" s="5"/>
    </row>
    <row r="33" spans="2:12" x14ac:dyDescent="0.25">
      <c r="B33" s="5"/>
      <c r="C33" s="393" t="s">
        <v>282</v>
      </c>
      <c r="D33" s="395" t="s">
        <v>285</v>
      </c>
      <c r="E33" s="393"/>
      <c r="F33" s="5"/>
      <c r="G33" s="5"/>
      <c r="H33" s="5"/>
      <c r="I33" s="5"/>
      <c r="J33" s="5"/>
      <c r="K33" s="5"/>
    </row>
    <row r="34" spans="2:12" x14ac:dyDescent="0.25">
      <c r="B34" s="5"/>
      <c r="C34" s="5"/>
      <c r="D34" s="5"/>
      <c r="E34" s="5"/>
      <c r="F34" s="5"/>
      <c r="G34" s="5"/>
      <c r="H34" s="5"/>
      <c r="I34" s="5"/>
      <c r="J34" s="5"/>
      <c r="K34" s="5"/>
    </row>
    <row r="35" spans="2:12" x14ac:dyDescent="0.25">
      <c r="B35" s="394" t="s">
        <v>283</v>
      </c>
    </row>
    <row r="36" spans="2:12" x14ac:dyDescent="0.25">
      <c r="C36" s="1026" t="s">
        <v>284</v>
      </c>
      <c r="D36" s="1026"/>
      <c r="E36" s="1026"/>
      <c r="F36" s="1026"/>
      <c r="G36" s="1026"/>
      <c r="H36" s="1026"/>
      <c r="I36" s="1026"/>
      <c r="J36" s="1026"/>
      <c r="K36" s="1026"/>
      <c r="L36" s="1026"/>
    </row>
  </sheetData>
  <sheetProtection sheet="1" objects="1" scenarios="1"/>
  <mergeCells count="23">
    <mergeCell ref="C36:L36"/>
    <mergeCell ref="C17:K17"/>
    <mergeCell ref="B3:E3"/>
    <mergeCell ref="C5:K5"/>
    <mergeCell ref="C6:K6"/>
    <mergeCell ref="B7:E7"/>
    <mergeCell ref="C8:K8"/>
    <mergeCell ref="C9:H9"/>
    <mergeCell ref="B11:F11"/>
    <mergeCell ref="C12:K12"/>
    <mergeCell ref="B14:F14"/>
    <mergeCell ref="C15:K15"/>
    <mergeCell ref="C16:K16"/>
    <mergeCell ref="C26:K26"/>
    <mergeCell ref="B27:E27"/>
    <mergeCell ref="C29:K29"/>
    <mergeCell ref="B30:E30"/>
    <mergeCell ref="C18:K18"/>
    <mergeCell ref="C19:K19"/>
    <mergeCell ref="C20:K20"/>
    <mergeCell ref="B22:E22"/>
    <mergeCell ref="C23:K23"/>
    <mergeCell ref="B25:E25"/>
  </mergeCells>
  <hyperlinks>
    <hyperlink ref="B3" location="'A) Reajuste Tarifas y Ocupación'!A1" display="A) Reajuste Tarifas y Ocupación" xr:uid="{00000000-0004-0000-0100-000000000000}"/>
    <hyperlink ref="C5" location="'A) Reajuste Tarifas y Ocupación'!B9:H37" display="TABLA 1. REAJUSTE DE TARIFAS POR PRESTACIÓN Y SEGMENTO" xr:uid="{00000000-0004-0000-0100-000001000000}"/>
    <hyperlink ref="C6" location="'A) Reajuste Tarifas y Ocupación'!J9:Q37" display="TABLA 2. METAS DE OCUPACIÓN POR PRESTACIÓN Y SEGMENTO" xr:uid="{00000000-0004-0000-0100-000002000000}"/>
    <hyperlink ref="B7" location="'B) Comparación Mercado'!A1" display="B) Comparación Mercado" xr:uid="{00000000-0004-0000-0100-000003000000}"/>
    <hyperlink ref="C8" location="'B) Comparación Mercado'!A13" display="TABLA 1. COMPARACIÓN TARIFAS CON PRECIOS DE MERCADO" xr:uid="{00000000-0004-0000-0100-000004000000}"/>
    <hyperlink ref="B11" location="'D) Estimación Costos'!A1" display="D) Estimación Costos" xr:uid="{00000000-0004-0000-0100-000005000000}"/>
    <hyperlink ref="C12" location="'D) Estimación Costos'!A7" display="TABLA 1. COSTOS DIRECTOS POR CENTRO DE COSTO" xr:uid="{00000000-0004-0000-0100-000006000000}"/>
    <hyperlink ref="B27" location="'E) Resumen Ingresos y Egresos'!A1" display="E) Resumen Ingresos y Egresos" xr:uid="{00000000-0004-0000-0100-000007000000}"/>
    <hyperlink ref="C29" location="'E) Resumen Ingresos y Egresos'!A7:J25" display="TABLA 1. RESUMEN DE INGRESOS Y EGRESOS POR CENTRO DE COSTO" xr:uid="{00000000-0004-0000-0100-000008000000}"/>
    <hyperlink ref="B30" location="'G) Detalle Datos'!A1" display="G) Detalle Datos" xr:uid="{00000000-0004-0000-0100-000009000000}"/>
    <hyperlink ref="C5:K5" location="'A) Resumen Ingresos y Egresos'!A6" display="TABLA 1: RESUMEN DE INGRESOS Y EGRESOS DE CENTROS DE BENEFICIOS" xr:uid="{00000000-0004-0000-0100-00000A000000}"/>
    <hyperlink ref="C6:K6" location="'A) Resumen Ingresos y Egresos'!A25" display="TABLA 2:  DETALLE DE INGRESOS POR PRESTACIÓN Y SEGMENTO" xr:uid="{00000000-0004-0000-0100-00000B000000}"/>
    <hyperlink ref="C29:K29" location="'G) Comparación Mercado'!A13" display="TABLA 14:COMPARACIÓN TARIFAS CON PRECIOS DE MERCADO" xr:uid="{00000000-0004-0000-0100-00000C000000}"/>
    <hyperlink ref="C12:K12" location="'C) Estimación Costos Directos'!A7" display="TABLA 5: COSTOS DIRECTOS DE CENTROS DE BENEFICIOS " xr:uid="{00000000-0004-0000-0100-00000D000000}"/>
    <hyperlink ref="B25" location="'C) Remuneraciones'!A1" display="C) Remuneraciones" xr:uid="{00000000-0004-0000-0100-00000E000000}"/>
    <hyperlink ref="C26" location="'C) Remuneraciones'!A9:M36" display="TABLA 1. REMUNERACIONES DEL PERSONAL CÓDIGO DEL TRABAJO POR CENTRO DE COSTO" xr:uid="{00000000-0004-0000-0100-00000F000000}"/>
    <hyperlink ref="C26:K26" location="'F) Remuneraciones'!B7" display="TABLA 13: REMUNERACIONES DEL PERSONAL LEY 18.712 DE CENTROS DE BENEFICIOS" xr:uid="{00000000-0004-0000-0100-000010000000}"/>
    <hyperlink ref="B14" location="'D) Estimación Costos'!A1" display="D) Estimación Costos" xr:uid="{00000000-0004-0000-0100-000011000000}"/>
    <hyperlink ref="C15" location="'D) Estimación Costos'!A7" display="TABLA 1. COSTOS DIRECTOS POR CENTRO DE COSTO" xr:uid="{00000000-0004-0000-0100-000012000000}"/>
    <hyperlink ref="C16" location="'D) Estimación Costos'!A1096" display="TABLA 2. COSTOS INDIRECTOS EN REMUNERACIONES DE UNIDADES DE APOYO ADMINISTRATIVO" xr:uid="{00000000-0004-0000-0100-000013000000}"/>
    <hyperlink ref="C17" location="'D) Estimación Costos'!A1150:L1185" display="TABLA 3. COSTOS DE OPERACIÓN PISCINAS POR CENTRO DE COSTO" xr:uid="{00000000-0004-0000-0100-000014000000}"/>
    <hyperlink ref="C17:K17" location="'D) Costos Indirectos '!U9" display="TABLA 8: COSTOS DE OPERACION ADMINISTRACIÓN CENTRAL Y  APOYO ADMINISTRATIVO ASISTENCIA RECREATIVA" xr:uid="{00000000-0004-0000-0100-000015000000}"/>
    <hyperlink ref="C15:K15" location="'D) Costos Indirectos '!A9" display="TABLA 6: REMUNERACIONES DEL PERSONAL LEY 18.712 ADMINISTRACION CENTRAL Y APOYO ADMINISTRATIVO ASISTENCIA RECREATIVA" xr:uid="{00000000-0004-0000-0100-000016000000}"/>
    <hyperlink ref="C8:K8" location="'B) Reajuste Tarifas y Ocupación'!A8" display="TABLA 3: REAJUSTE DE TARIFAS POR PRESTACIÓN Y SEGMENTO" xr:uid="{00000000-0004-0000-0100-000017000000}"/>
    <hyperlink ref="C9" location="'B) Reajuste Tarifas y Ocupación'!A1" display="TABLA 4: METAS DE OCUPACIÓN POR PRESTACIÓN Y SEGMENTO" xr:uid="{00000000-0004-0000-0100-000018000000}"/>
    <hyperlink ref="B11:F11" location="'C) Estimación Costos Directos'!A1" display="C) Estimación Costos Directos" xr:uid="{00000000-0004-0000-0100-000019000000}"/>
    <hyperlink ref="C18" location="'D) Estimación Costos'!A1150:L1185" display="TABLA 3. COSTOS DE OPERACIÓN PISCINAS POR CENTRO DE COSTO" xr:uid="{00000000-0004-0000-0100-00001A000000}"/>
    <hyperlink ref="C18:K18" location="'D) Costos Indirectos '!Z9" display="TABLA 9: RESUMEN DISTRIBUCION COSTOS REMUNERACIONES ADMINISTRACION CENTRAL Y APOYO ADMINISTRATIVO A. RECREATIVA" xr:uid="{00000000-0004-0000-0100-00001B000000}"/>
    <hyperlink ref="C19" location="'D) Estimación Costos'!A1150:L1185" display="TABLA 3. COSTOS DE OPERACIÓN PISCINAS POR CENTRO DE COSTO" xr:uid="{00000000-0004-0000-0100-00001C000000}"/>
    <hyperlink ref="C19:K19" location="'D) Costos Indirectos '!AG9" display="TABLA 10: RESUMEN DISTRIBUCION COSTOS OPERACIÓN ADMINISTRACION CENTRAL  Y APOYO ADMINISTRATIVO A. RECREATIVA" xr:uid="{00000000-0004-0000-0100-00001D000000}"/>
    <hyperlink ref="C20" location="'D) Estimación Costos'!A1150:L1185" display="TABLA 3. COSTOS DE OPERACIÓN PISCINAS POR CENTRO DE COSTO" xr:uid="{00000000-0004-0000-0100-00001E000000}"/>
    <hyperlink ref="C20:K20" location="'D) Costos Indirectos '!AN9" display="'D) Costos Indirectos '!AN9" xr:uid="{00000000-0004-0000-0100-00001F000000}"/>
    <hyperlink ref="B22" location="'F) Resumen Tarifado '!A1" display="F) Resumen Tarifado" xr:uid="{00000000-0004-0000-0100-000020000000}"/>
    <hyperlink ref="C23" location="'F) Resumen Tarifado '!A7:R40" display="TABLA 1. RESUMEN DE TARIFADO POR CENTRO DE COSTO" xr:uid="{00000000-0004-0000-0100-000021000000}"/>
    <hyperlink ref="C23:K23" location="'E) Resumen Tarifado'!A6" display="TABLA 12: RESUMEN DE TARIFADO" xr:uid="{00000000-0004-0000-0100-000022000000}"/>
    <hyperlink ref="B3:E3" location="'A) Resumen Ingresos y Egresos'!A1" display="A) Resumen Ingresos y Egresos" xr:uid="{00000000-0004-0000-0100-000023000000}"/>
    <hyperlink ref="B14:F14" location="'D) Costos Indirectos '!A1" display="D) Costos Indirectos" xr:uid="{00000000-0004-0000-0100-000024000000}"/>
    <hyperlink ref="B22:E22" location="'E) Resumen Tarifado'!A1" display="E) Resumen Tarifado" xr:uid="{00000000-0004-0000-0100-000025000000}"/>
    <hyperlink ref="B25:E25" location="'F) Remuneraciones'!A1" display="F) Remuneraciones" xr:uid="{00000000-0004-0000-0100-000026000000}"/>
    <hyperlink ref="B27:E27" location="'G) Comparación Mercado'!A1" display="G) Comparación Mercado" xr:uid="{00000000-0004-0000-0100-000027000000}"/>
    <hyperlink ref="B30:E30" location="'H) Detalle Datos'!A1" display="H) Detalle Datos" xr:uid="{00000000-0004-0000-0100-000028000000}"/>
    <hyperlink ref="B7:E7" location="'B) Reajuste Tarifas y Ocupación'!A1" display="B) Reajuste Tarifa y Ocupación" xr:uid="{00000000-0004-0000-0100-000029000000}"/>
    <hyperlink ref="C16:K16" location="'D) Costos Indirectos '!M9" display="TABLA 7: DISTRIBUCION COSTOS REMUNERACIONES ADMINISTRACION CENTRAL Y APOYO ADMINISTRATIVO A. RECREATIVA" xr:uid="{00000000-0004-0000-0100-00002A000000}"/>
    <hyperlink ref="C9:H9" location="'B) Reajuste Tarifas y Ocupación'!P8" display="TABLA 4: METAS DE OCUPACIÓN POR PRESTACIÓN Y SEGMENTO" xr:uid="{00000000-0004-0000-0100-00002B000000}"/>
    <hyperlink ref="B31:C31" location="'I) Costo Desayuno'!A1" display="I) Costo Desayuno" xr:uid="{00000000-0004-0000-0100-00002C000000}"/>
    <hyperlink ref="C33:E33" location="'I) Costo Desayuno'!B12" display="TABLA 15: COSTO DESAYUNO" xr:uid="{00000000-0004-0000-0100-00002D000000}"/>
    <hyperlink ref="B35" location="'J)Estructura Económica Mensual'!A1" display="'J)Estructura Económica Mensual'!A1" xr:uid="{00000000-0004-0000-0100-00002E000000}"/>
    <hyperlink ref="C36:L36" location="'J)Estructura Económica Mensual'!B6" display="TABLA N°16:  RESULTADO OPERACIONAL MENSUAL" xr:uid="{00000000-0004-0000-0100-00002F000000}"/>
    <hyperlink ref="D33" location="'I) Costo Desayuno'!B12" display="'I) Costo Desayuno'!B12" xr:uid="{00000000-0004-0000-0100-00003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39997558519241921"/>
  </sheetPr>
  <dimension ref="A1:P94"/>
  <sheetViews>
    <sheetView showGridLines="0" topLeftCell="A4" zoomScale="80" zoomScaleNormal="80" workbookViewId="0">
      <selection activeCell="M35" sqref="M35"/>
    </sheetView>
  </sheetViews>
  <sheetFormatPr baseColWidth="10" defaultRowHeight="15" x14ac:dyDescent="0.25"/>
  <cols>
    <col min="1" max="1" width="42" style="5" customWidth="1"/>
    <col min="2" max="2" width="23.5703125" style="5" customWidth="1"/>
    <col min="3" max="3" width="20.85546875" style="5" bestFit="1" customWidth="1"/>
    <col min="4" max="4" width="19.28515625" style="5" customWidth="1"/>
    <col min="5" max="5" width="22.28515625" style="5" customWidth="1"/>
    <col min="6" max="6" width="18" style="5" customWidth="1"/>
    <col min="7" max="7" width="18.28515625" style="5" customWidth="1"/>
    <col min="8" max="9" width="18.7109375" style="5" customWidth="1"/>
    <col min="10" max="10" width="20.5703125" style="5" customWidth="1"/>
    <col min="11" max="11" width="17.5703125" style="5" customWidth="1"/>
    <col min="12" max="12" width="19.85546875" style="5" bestFit="1" customWidth="1"/>
    <col min="13" max="13" width="18.28515625" style="5" bestFit="1" customWidth="1"/>
    <col min="14" max="14" width="18" style="5" bestFit="1" customWidth="1"/>
    <col min="15" max="15" width="15.85546875" style="5" customWidth="1"/>
    <col min="16" max="16" width="15" bestFit="1" customWidth="1"/>
  </cols>
  <sheetData>
    <row r="1" spans="1:16" x14ac:dyDescent="0.25">
      <c r="A1" s="1"/>
      <c r="B1" s="2"/>
      <c r="C1" s="2"/>
      <c r="D1" s="2"/>
      <c r="E1" s="3"/>
      <c r="F1" s="2"/>
      <c r="G1" s="2"/>
      <c r="H1" s="2"/>
      <c r="I1" s="2"/>
      <c r="J1" s="2"/>
      <c r="K1" s="2"/>
      <c r="L1" s="2"/>
      <c r="M1" s="2"/>
      <c r="N1" s="2"/>
      <c r="O1" s="2"/>
    </row>
    <row r="2" spans="1:16" x14ac:dyDescent="0.25">
      <c r="A2" s="4"/>
      <c r="B2" s="2"/>
      <c r="C2" s="2"/>
      <c r="D2" s="2"/>
      <c r="E2" s="3" t="s">
        <v>0</v>
      </c>
      <c r="F2" s="2"/>
      <c r="G2" s="2"/>
      <c r="H2" s="2"/>
      <c r="I2" s="2"/>
      <c r="J2" s="2"/>
      <c r="K2" s="2"/>
      <c r="L2" s="2"/>
      <c r="M2" s="2"/>
      <c r="N2" s="2"/>
      <c r="O2" s="2"/>
    </row>
    <row r="3" spans="1:16" x14ac:dyDescent="0.25">
      <c r="B3" s="2"/>
      <c r="C3" s="2"/>
      <c r="D3" s="2"/>
      <c r="E3" s="2"/>
      <c r="F3" s="2"/>
      <c r="G3" s="2"/>
      <c r="H3" s="2"/>
      <c r="I3" s="2"/>
      <c r="J3" s="2"/>
      <c r="K3" s="2"/>
      <c r="L3" s="2"/>
      <c r="M3" s="2"/>
      <c r="N3" s="2"/>
      <c r="O3" s="2"/>
    </row>
    <row r="4" spans="1:16" ht="15.75" x14ac:dyDescent="0.25">
      <c r="B4" s="6"/>
      <c r="C4" s="1061" t="s">
        <v>1</v>
      </c>
      <c r="D4" s="1061"/>
      <c r="E4" s="1062" t="s">
        <v>35</v>
      </c>
      <c r="F4" s="1063"/>
      <c r="G4" s="2"/>
      <c r="H4" s="2"/>
      <c r="I4" s="2"/>
      <c r="J4" s="7"/>
      <c r="K4" s="2"/>
      <c r="L4" s="2"/>
      <c r="M4" s="2"/>
      <c r="N4" s="2"/>
      <c r="O4" s="2"/>
    </row>
    <row r="5" spans="1:16" x14ac:dyDescent="0.25">
      <c r="F5" s="8"/>
      <c r="G5" s="8"/>
      <c r="H5" s="2"/>
      <c r="I5" s="2"/>
      <c r="J5" s="7"/>
      <c r="K5" s="2"/>
      <c r="L5" s="2"/>
      <c r="M5" s="2"/>
      <c r="N5" s="2"/>
      <c r="O5" s="2"/>
    </row>
    <row r="6" spans="1:16" x14ac:dyDescent="0.25">
      <c r="A6" s="1064" t="s">
        <v>2</v>
      </c>
      <c r="B6" s="1064"/>
      <c r="C6" s="1064"/>
      <c r="D6" s="1064"/>
      <c r="F6" s="8"/>
      <c r="G6" s="8"/>
      <c r="H6" s="2"/>
      <c r="I6" s="2"/>
      <c r="J6" s="7"/>
      <c r="K6" s="2"/>
      <c r="L6" s="2"/>
      <c r="M6" s="2"/>
      <c r="N6" s="2"/>
      <c r="O6" s="2"/>
    </row>
    <row r="7" spans="1:16" ht="15.75" thickBot="1" x14ac:dyDescent="0.3">
      <c r="B7" s="2"/>
      <c r="C7" s="2"/>
      <c r="E7" s="2"/>
      <c r="F7" s="2"/>
      <c r="G7" s="2"/>
      <c r="H7" s="2"/>
      <c r="K7" s="9"/>
    </row>
    <row r="8" spans="1:16" ht="38.25" x14ac:dyDescent="0.25">
      <c r="A8" s="560" t="s">
        <v>3</v>
      </c>
      <c r="B8" s="10" t="s">
        <v>4</v>
      </c>
      <c r="C8" s="10" t="s">
        <v>5</v>
      </c>
      <c r="D8" s="11" t="s">
        <v>6</v>
      </c>
      <c r="E8" s="561" t="s">
        <v>7</v>
      </c>
      <c r="F8" s="561" t="s">
        <v>8</v>
      </c>
      <c r="G8" s="12" t="s">
        <v>9</v>
      </c>
      <c r="H8" s="12" t="s">
        <v>10</v>
      </c>
      <c r="I8" s="12" t="s">
        <v>11</v>
      </c>
      <c r="J8" s="562" t="s">
        <v>12</v>
      </c>
      <c r="K8" s="563" t="s">
        <v>13</v>
      </c>
      <c r="L8" s="562" t="s">
        <v>14</v>
      </c>
      <c r="M8" s="556" t="s">
        <v>15</v>
      </c>
      <c r="N8" s="564" t="s">
        <v>16</v>
      </c>
      <c r="O8" s="396" t="s">
        <v>17</v>
      </c>
    </row>
    <row r="9" spans="1:16" x14ac:dyDescent="0.25">
      <c r="A9" s="565" t="str">
        <f>+'B) Reajuste Tarifas y Ocupación'!A12</f>
        <v>C. H. Hanga Roa</v>
      </c>
      <c r="B9" s="566">
        <f>+I46</f>
        <v>47205000</v>
      </c>
      <c r="C9" s="566">
        <f>+H46</f>
        <v>15028500</v>
      </c>
      <c r="D9" s="567">
        <f>+B9+C9</f>
        <v>62233500</v>
      </c>
      <c r="E9" s="568">
        <f>+'C) Estimación Costos Directos'!H13</f>
        <v>19222089.66</v>
      </c>
      <c r="F9" s="568">
        <f>+'C) Estimación Costos Directos'!H27+'C) Estimación Costos Directos'!H28+'C) Estimación Costos Directos'!H29+'C) Estimación Costos Directos'!H32+'C) Estimación Costos Directos'!H47+'C) Estimación Costos Directos'!H53</f>
        <v>7886379</v>
      </c>
      <c r="G9" s="568">
        <f>+'C) Estimación Costos Directos'!H68</f>
        <v>0</v>
      </c>
      <c r="H9" s="568">
        <f>+'C) Estimación Costos Directos'!H72+'C) Estimación Costos Directos'!H74</f>
        <v>182487</v>
      </c>
      <c r="I9" s="568">
        <f>+'C) Estimación Costos Directos'!H80-E9-F9-G9-H9</f>
        <v>12094081.999999996</v>
      </c>
      <c r="J9" s="569">
        <f>SUM(E9:I9)</f>
        <v>39385037.659999996</v>
      </c>
      <c r="K9" s="570">
        <f>IFERROR(+'D) Costos Indirectos '!$AN$15*O9,0)</f>
        <v>22349591.349530306</v>
      </c>
      <c r="L9" s="571">
        <f>+J9+K9</f>
        <v>61734629.009530306</v>
      </c>
      <c r="M9" s="557">
        <f>D9-L9</f>
        <v>498870.99046969414</v>
      </c>
      <c r="N9" s="572">
        <f>D9-J9</f>
        <v>22848462.340000004</v>
      </c>
      <c r="O9" s="558">
        <v>0.66</v>
      </c>
      <c r="P9" s="861"/>
    </row>
    <row r="10" spans="1:16" x14ac:dyDescent="0.25">
      <c r="A10" s="575" t="str">
        <f>+'B) Reajuste Tarifas y Ocupación'!A19</f>
        <v>Salon de Eventos y Quinchos</v>
      </c>
      <c r="B10" s="576">
        <f>+I59</f>
        <v>3612500</v>
      </c>
      <c r="C10" s="577">
        <f>H59</f>
        <v>0</v>
      </c>
      <c r="D10" s="578">
        <f>+B10+C10</f>
        <v>3612500</v>
      </c>
      <c r="E10" s="579">
        <f>+'C) Estimación Costos Directos'!H85</f>
        <v>0</v>
      </c>
      <c r="F10" s="579">
        <f>+'C) Estimación Costos Directos'!H99+'C) Estimación Costos Directos'!H100+'C) Estimación Costos Directos'!H101+'C) Estimación Costos Directos'!H125</f>
        <v>649730</v>
      </c>
      <c r="G10" s="579">
        <f>+'C) Estimación Costos Directos'!H140</f>
        <v>0</v>
      </c>
      <c r="H10" s="573">
        <f>+'C) Estimación Costos Directos'!H142</f>
        <v>0</v>
      </c>
      <c r="I10" s="573">
        <f>+'C) Estimación Costos Directos'!H152-E10-F10-G10-H10</f>
        <v>64478</v>
      </c>
      <c r="J10" s="569">
        <f t="shared" ref="J10:J11" si="0">SUM(E10:I10)</f>
        <v>714208</v>
      </c>
      <c r="K10" s="570">
        <f>IFERROR(+'D) Costos Indirectos '!$AN$15*O10,0)</f>
        <v>2031781.0317754822</v>
      </c>
      <c r="L10" s="574">
        <f t="shared" ref="L10:L11" si="1">+J10+K10</f>
        <v>2745989.031775482</v>
      </c>
      <c r="M10" s="651">
        <f t="shared" ref="M10" si="2">D10-L10</f>
        <v>866510.968224518</v>
      </c>
      <c r="N10" s="559">
        <f t="shared" ref="N10:N11" si="3">D10-J10</f>
        <v>2898292</v>
      </c>
      <c r="O10" s="558">
        <v>0.06</v>
      </c>
      <c r="P10" s="861"/>
    </row>
    <row r="11" spans="1:16" x14ac:dyDescent="0.25">
      <c r="A11" s="575" t="str">
        <f>+'B) Reajuste Tarifas y Ocupación'!A23</f>
        <v>C.H. Archipielago Juan Fernandez</v>
      </c>
      <c r="B11" s="576">
        <f>+I87</f>
        <v>40837100</v>
      </c>
      <c r="C11" s="576">
        <f>+H87</f>
        <v>10298700</v>
      </c>
      <c r="D11" s="578">
        <f t="shared" ref="D11" si="4">+B11+C11</f>
        <v>51135800</v>
      </c>
      <c r="E11" s="579">
        <f>+'C) Estimación Costos Directos'!H157</f>
        <v>9651967</v>
      </c>
      <c r="F11" s="579">
        <f>+'C) Estimación Costos Directos'!H171+'C) Estimación Costos Directos'!H172+'C) Estimación Costos Directos'!H173+'C) Estimación Costos Directos'!H176+'C) Estimación Costos Directos'!H191+'C) Estimación Costos Directos'!H197</f>
        <v>5781068</v>
      </c>
      <c r="G11" s="579">
        <f>+'C) Estimación Costos Directos'!H212</f>
        <v>0</v>
      </c>
      <c r="H11" s="573">
        <f>+'C) Estimación Costos Directos'!H216+'C) Estimación Costos Directos'!H218</f>
        <v>0</v>
      </c>
      <c r="I11" s="573">
        <f>+'C) Estimación Costos Directos'!H224-E11-F11-G11-H11</f>
        <v>12770295</v>
      </c>
      <c r="J11" s="569">
        <f t="shared" si="0"/>
        <v>28203330</v>
      </c>
      <c r="K11" s="570">
        <f>IFERROR(+'D) Costos Indirectos '!$AN$15*O11,0)</f>
        <v>9481644.8149522524</v>
      </c>
      <c r="L11" s="574">
        <f t="shared" si="1"/>
        <v>37684974.814952254</v>
      </c>
      <c r="M11" s="651">
        <f>D11-L11</f>
        <v>13450825.185047746</v>
      </c>
      <c r="N11" s="559">
        <f t="shared" si="3"/>
        <v>22932470</v>
      </c>
      <c r="O11" s="558">
        <v>0.28000000000000003</v>
      </c>
      <c r="P11" s="861"/>
    </row>
    <row r="12" spans="1:16" x14ac:dyDescent="0.25">
      <c r="A12" s="889" t="str">
        <f>+'B) Reajuste Tarifas y Ocupación'!A32</f>
        <v>Piscina</v>
      </c>
      <c r="B12" s="890">
        <f>+I94</f>
        <v>2917900</v>
      </c>
      <c r="C12" s="891">
        <f>H94</f>
        <v>0</v>
      </c>
      <c r="D12" s="892">
        <f>+B12+C12</f>
        <v>2917900</v>
      </c>
      <c r="E12" s="893">
        <f>'C) Estimación Costos Directos'!H228</f>
        <v>11438836.475</v>
      </c>
      <c r="F12" s="893">
        <f>'C) Estimación Costos Directos'!D240+'C) Estimación Costos Directos'!D243+'C) Estimación Costos Directos'!D244+'C) Estimación Costos Directos'!D245+'C) Estimación Costos Directos'!D269</f>
        <v>6186194</v>
      </c>
      <c r="G12" s="893">
        <f>'C) Estimación Costos Directos'!D284</f>
        <v>0</v>
      </c>
      <c r="H12" s="894">
        <f>'C) Estimación Costos Directos'!D241+'C) Estimación Costos Directos'!D290</f>
        <v>329175</v>
      </c>
      <c r="I12" s="894">
        <f>'C) Estimación Costos Directos'!H296-'A) Resumen Ingresos y Egresos'!E12-'A) Resumen Ingresos y Egresos'!F12-'A) Resumen Ingresos y Egresos'!G12-'A) Resumen Ingresos y Egresos'!H12</f>
        <v>3097899.0000000019</v>
      </c>
      <c r="J12" s="895">
        <f>SUM(E12:I12)</f>
        <v>21052104.475000001</v>
      </c>
      <c r="K12" s="896">
        <f>IFERROR(+'D) Costos Indirectos '!$AN$15*O12,0)</f>
        <v>0</v>
      </c>
      <c r="L12" s="892">
        <f>+J12+K12</f>
        <v>21052104.475000001</v>
      </c>
      <c r="M12" s="557">
        <f>D12-L12</f>
        <v>-18134204.475000001</v>
      </c>
      <c r="N12" s="559">
        <f>D12-J12</f>
        <v>-18134204.475000001</v>
      </c>
      <c r="O12" s="558">
        <v>0</v>
      </c>
      <c r="P12" s="861"/>
    </row>
    <row r="13" spans="1:16" ht="15.75" thickBot="1" x14ac:dyDescent="0.3">
      <c r="A13" s="580" t="s">
        <v>18</v>
      </c>
      <c r="B13" s="581">
        <f t="shared" ref="B13:O13" si="5">SUM(B9:B12)</f>
        <v>94572500</v>
      </c>
      <c r="C13" s="581">
        <f t="shared" si="5"/>
        <v>25327200</v>
      </c>
      <c r="D13" s="581">
        <f t="shared" si="5"/>
        <v>119899700</v>
      </c>
      <c r="E13" s="581">
        <f t="shared" si="5"/>
        <v>40312893.134999998</v>
      </c>
      <c r="F13" s="581">
        <f t="shared" si="5"/>
        <v>20503371</v>
      </c>
      <c r="G13" s="581">
        <f t="shared" si="5"/>
        <v>0</v>
      </c>
      <c r="H13" s="581">
        <f t="shared" si="5"/>
        <v>511662</v>
      </c>
      <c r="I13" s="581">
        <f t="shared" si="5"/>
        <v>28026754</v>
      </c>
      <c r="J13" s="582">
        <f t="shared" si="5"/>
        <v>89354680.13499999</v>
      </c>
      <c r="K13" s="582">
        <f t="shared" si="5"/>
        <v>33863017.196258038</v>
      </c>
      <c r="L13" s="581">
        <f t="shared" si="5"/>
        <v>123217697.33125803</v>
      </c>
      <c r="M13" s="708">
        <f t="shared" si="5"/>
        <v>-3317997.3312580436</v>
      </c>
      <c r="N13" s="709">
        <f t="shared" si="5"/>
        <v>30545019.865000002</v>
      </c>
      <c r="O13" s="583">
        <f t="shared" si="5"/>
        <v>1</v>
      </c>
      <c r="P13" s="862"/>
    </row>
    <row r="14" spans="1:16" x14ac:dyDescent="0.25">
      <c r="A14" s="13"/>
      <c r="B14" s="13"/>
      <c r="C14" s="14"/>
      <c r="D14" s="14"/>
      <c r="E14" s="14"/>
      <c r="F14" s="14"/>
      <c r="G14" s="14"/>
      <c r="H14" s="14"/>
      <c r="I14" s="14"/>
      <c r="J14" s="706"/>
      <c r="K14" s="14"/>
      <c r="L14" s="14"/>
      <c r="M14" s="710">
        <f>M13/D13</f>
        <v>-2.7673107866475425E-2</v>
      </c>
      <c r="N14" s="710">
        <f>N13/D13</f>
        <v>0.25475476473252229</v>
      </c>
      <c r="O14" s="2"/>
      <c r="P14" s="861"/>
    </row>
    <row r="15" spans="1:16" x14ac:dyDescent="0.25">
      <c r="A15" s="13"/>
      <c r="B15" s="13"/>
      <c r="C15" s="14"/>
      <c r="D15" s="14"/>
      <c r="E15" s="14"/>
      <c r="F15" s="2"/>
      <c r="G15" s="2"/>
      <c r="H15" s="2"/>
      <c r="I15" s="14"/>
      <c r="J15" s="2"/>
      <c r="O15" s="2"/>
      <c r="P15" s="861"/>
    </row>
    <row r="16" spans="1:16" x14ac:dyDescent="0.25">
      <c r="A16" s="13"/>
      <c r="B16" s="13"/>
      <c r="C16" s="14"/>
      <c r="D16" s="14"/>
      <c r="E16" s="14"/>
      <c r="F16" s="2"/>
      <c r="G16" s="2"/>
      <c r="H16" s="2"/>
      <c r="I16" s="14"/>
      <c r="J16" s="2"/>
      <c r="K16" s="15" t="s">
        <v>19</v>
      </c>
      <c r="L16" s="15"/>
      <c r="M16" s="15"/>
      <c r="N16" s="16"/>
      <c r="O16" s="2"/>
    </row>
    <row r="17" spans="1:15" x14ac:dyDescent="0.25">
      <c r="A17" s="13"/>
      <c r="B17" s="13"/>
      <c r="C17" s="14"/>
      <c r="D17" s="14"/>
      <c r="E17" s="14"/>
      <c r="F17" s="14"/>
      <c r="G17" s="14"/>
      <c r="H17" s="14"/>
      <c r="I17" s="14"/>
      <c r="J17" s="14"/>
      <c r="K17" s="15" t="s">
        <v>20</v>
      </c>
      <c r="L17" s="15"/>
      <c r="M17" s="15"/>
      <c r="N17" s="15"/>
      <c r="O17" s="2"/>
    </row>
    <row r="18" spans="1:15" x14ac:dyDescent="0.25">
      <c r="A18" s="13"/>
      <c r="B18" s="13"/>
      <c r="C18" s="13"/>
      <c r="D18" s="14"/>
      <c r="E18" s="14"/>
      <c r="F18" s="14"/>
      <c r="G18" s="14"/>
      <c r="H18" s="14"/>
      <c r="I18" s="14"/>
      <c r="J18" s="14"/>
      <c r="K18" s="14" t="s">
        <v>380</v>
      </c>
      <c r="L18" s="14">
        <v>15000000</v>
      </c>
      <c r="M18" s="2"/>
      <c r="N18" s="17"/>
      <c r="O18" s="17"/>
    </row>
    <row r="19" spans="1:15" x14ac:dyDescent="0.25">
      <c r="A19" s="13"/>
      <c r="B19" s="13"/>
      <c r="C19" s="13"/>
      <c r="D19" s="14"/>
      <c r="E19" s="14"/>
      <c r="F19" s="14"/>
      <c r="G19" s="14"/>
      <c r="H19" s="14"/>
      <c r="I19" s="14"/>
      <c r="J19" s="14"/>
      <c r="K19" s="14"/>
      <c r="L19" s="711" t="s">
        <v>321</v>
      </c>
      <c r="M19" s="710"/>
      <c r="N19" s="712"/>
      <c r="O19" s="17"/>
    </row>
    <row r="20" spans="1:15" x14ac:dyDescent="0.25">
      <c r="A20" s="13"/>
      <c r="B20" s="13"/>
      <c r="C20" s="13"/>
      <c r="D20" s="14"/>
      <c r="E20" s="14"/>
      <c r="F20" s="14"/>
      <c r="G20" s="14"/>
      <c r="H20" s="14"/>
      <c r="I20" s="14"/>
      <c r="J20" s="14"/>
      <c r="K20" s="14"/>
      <c r="L20" s="14"/>
      <c r="M20" s="2"/>
    </row>
    <row r="21" spans="1:15" x14ac:dyDescent="0.25">
      <c r="A21" s="1064" t="s">
        <v>21</v>
      </c>
      <c r="B21" s="1064"/>
      <c r="C21" s="1064"/>
      <c r="D21" s="1064"/>
      <c r="E21" s="14"/>
      <c r="F21" s="14"/>
      <c r="G21" s="14"/>
      <c r="H21" s="14"/>
      <c r="I21" s="14"/>
      <c r="J21" s="14"/>
      <c r="K21" s="14"/>
      <c r="L21" s="14"/>
      <c r="M21" s="2"/>
    </row>
    <row r="22" spans="1:15" x14ac:dyDescent="0.25">
      <c r="A22" s="2"/>
      <c r="B22" s="2"/>
      <c r="C22" s="2"/>
      <c r="D22" s="2"/>
      <c r="E22" s="2"/>
      <c r="F22" s="2"/>
      <c r="G22" s="2"/>
      <c r="H22" s="18"/>
      <c r="I22" s="18"/>
      <c r="J22" s="7"/>
      <c r="K22" s="7"/>
      <c r="L22" s="2"/>
      <c r="M22" s="19"/>
    </row>
    <row r="23" spans="1:15" ht="15.75" x14ac:dyDescent="0.25">
      <c r="A23" s="1065" t="s">
        <v>22</v>
      </c>
      <c r="B23" s="1065" t="s">
        <v>23</v>
      </c>
      <c r="C23" s="1067" t="s">
        <v>24</v>
      </c>
      <c r="D23" s="1069" t="s">
        <v>348</v>
      </c>
      <c r="E23" s="1069"/>
      <c r="F23" s="1069"/>
      <c r="G23" s="1069"/>
      <c r="H23" s="1058" t="s">
        <v>25</v>
      </c>
      <c r="I23" s="1060" t="s">
        <v>4</v>
      </c>
      <c r="J23" s="1060" t="s">
        <v>26</v>
      </c>
      <c r="K23" s="20"/>
      <c r="L23" s="21"/>
      <c r="M23" s="17"/>
    </row>
    <row r="24" spans="1:15" x14ac:dyDescent="0.25">
      <c r="A24" s="1065"/>
      <c r="B24" s="1066"/>
      <c r="C24" s="1068"/>
      <c r="D24" s="22" t="s">
        <v>27</v>
      </c>
      <c r="E24" s="22" t="s">
        <v>28</v>
      </c>
      <c r="F24" s="22" t="s">
        <v>29</v>
      </c>
      <c r="G24" s="22" t="s">
        <v>30</v>
      </c>
      <c r="H24" s="1059"/>
      <c r="I24" s="1059"/>
      <c r="J24" s="1059"/>
      <c r="K24" s="23"/>
      <c r="L24" s="17"/>
      <c r="M24" s="17"/>
    </row>
    <row r="25" spans="1:15" x14ac:dyDescent="0.25">
      <c r="A25" s="1034" t="str">
        <f>+'B) Reajuste Tarifas y Ocupación'!A12</f>
        <v>C. H. Hanga Roa</v>
      </c>
      <c r="B25" s="1037" t="str">
        <f>+'B) Reajuste Tarifas y Ocupación'!B12</f>
        <v>Simple</v>
      </c>
      <c r="C25" s="24" t="s">
        <v>355</v>
      </c>
      <c r="D25" s="25">
        <f>+'B) Reajuste Tarifas y Ocupación'!J12</f>
        <v>37000</v>
      </c>
      <c r="E25" s="25">
        <f>+'B) Reajuste Tarifas y Ocupación'!K12</f>
        <v>56900</v>
      </c>
      <c r="F25" s="25">
        <f>+'B) Reajuste Tarifas y Ocupación'!L12</f>
        <v>67800</v>
      </c>
      <c r="G25" s="25">
        <f>+'B) Reajuste Tarifas y Ocupación'!M12</f>
        <v>71000</v>
      </c>
      <c r="H25" s="1045"/>
      <c r="I25" s="1045"/>
      <c r="J25" s="1031"/>
      <c r="K25" s="26"/>
    </row>
    <row r="26" spans="1:15" x14ac:dyDescent="0.25">
      <c r="A26" s="1035"/>
      <c r="B26" s="1038"/>
      <c r="C26" s="24" t="s">
        <v>31</v>
      </c>
      <c r="D26" s="27">
        <f>+'B) Reajuste Tarifas y Ocupación'!U12</f>
        <v>105</v>
      </c>
      <c r="E26" s="27">
        <f>+'B) Reajuste Tarifas y Ocupación'!V12</f>
        <v>40</v>
      </c>
      <c r="F26" s="27">
        <f>+'B) Reajuste Tarifas y Ocupación'!W12</f>
        <v>21</v>
      </c>
      <c r="G26" s="27">
        <f>+'B) Reajuste Tarifas y Ocupación'!X12</f>
        <v>0</v>
      </c>
      <c r="H26" s="1043"/>
      <c r="I26" s="1043"/>
      <c r="J26" s="1044"/>
      <c r="K26" s="28"/>
    </row>
    <row r="27" spans="1:15" x14ac:dyDescent="0.25">
      <c r="A27" s="1035"/>
      <c r="B27" s="1039"/>
      <c r="C27" s="29" t="s">
        <v>32</v>
      </c>
      <c r="D27" s="30">
        <f>D26*D25</f>
        <v>3885000</v>
      </c>
      <c r="E27" s="30">
        <f>E26*E25</f>
        <v>2276000</v>
      </c>
      <c r="F27" s="30">
        <f t="shared" ref="F27:G27" si="6">F26*F25</f>
        <v>1423800</v>
      </c>
      <c r="G27" s="30">
        <f t="shared" si="6"/>
        <v>0</v>
      </c>
      <c r="H27" s="31">
        <f>(E25-D25)*D26</f>
        <v>2089500</v>
      </c>
      <c r="I27" s="31">
        <f>SUM(D27:G27)</f>
        <v>7584800</v>
      </c>
      <c r="J27" s="31">
        <f>H27+I27</f>
        <v>9674300</v>
      </c>
      <c r="K27" s="32"/>
    </row>
    <row r="28" spans="1:15" x14ac:dyDescent="0.25">
      <c r="A28" s="1035"/>
      <c r="B28" s="1037" t="str">
        <f>+'B) Reajuste Tarifas y Ocupación'!B13</f>
        <v>Doble (Cama Matrimonial + cama plaza 1 1/2)</v>
      </c>
      <c r="C28" s="24" t="s">
        <v>355</v>
      </c>
      <c r="D28" s="33">
        <f>+'B) Reajuste Tarifas y Ocupación'!J13</f>
        <v>55000</v>
      </c>
      <c r="E28" s="33">
        <f>+'B) Reajuste Tarifas y Ocupación'!K13</f>
        <v>84500</v>
      </c>
      <c r="F28" s="33">
        <f>+'B) Reajuste Tarifas y Ocupación'!L13</f>
        <v>100500</v>
      </c>
      <c r="G28" s="33">
        <f>+'B) Reajuste Tarifas y Ocupación'!M13</f>
        <v>105300</v>
      </c>
      <c r="H28" s="1042"/>
      <c r="I28" s="1042"/>
      <c r="J28" s="1030"/>
      <c r="K28" s="26"/>
    </row>
    <row r="29" spans="1:15" x14ac:dyDescent="0.25">
      <c r="A29" s="1035"/>
      <c r="B29" s="1038"/>
      <c r="C29" s="24" t="s">
        <v>31</v>
      </c>
      <c r="D29" s="34">
        <f>+'B) Reajuste Tarifas y Ocupación'!U13</f>
        <v>162</v>
      </c>
      <c r="E29" s="34">
        <f>+'B) Reajuste Tarifas y Ocupación'!V13</f>
        <v>45</v>
      </c>
      <c r="F29" s="34">
        <f>+'B) Reajuste Tarifas y Ocupación'!W13</f>
        <v>23</v>
      </c>
      <c r="G29" s="34">
        <f>+'B) Reajuste Tarifas y Ocupación'!X13</f>
        <v>1</v>
      </c>
      <c r="H29" s="1045"/>
      <c r="I29" s="1045"/>
      <c r="J29" s="1031"/>
      <c r="K29" s="28"/>
    </row>
    <row r="30" spans="1:15" x14ac:dyDescent="0.25">
      <c r="A30" s="1035"/>
      <c r="B30" s="1039"/>
      <c r="C30" s="29" t="s">
        <v>32</v>
      </c>
      <c r="D30" s="30">
        <f>D29*D28</f>
        <v>8910000</v>
      </c>
      <c r="E30" s="30">
        <f>E29*E28</f>
        <v>3802500</v>
      </c>
      <c r="F30" s="30">
        <f t="shared" ref="F30:G30" si="7">F29*F28</f>
        <v>2311500</v>
      </c>
      <c r="G30" s="30">
        <f t="shared" si="7"/>
        <v>105300</v>
      </c>
      <c r="H30" s="31">
        <f>(E28-D28)*D29</f>
        <v>4779000</v>
      </c>
      <c r="I30" s="31">
        <f>SUM(D30:G30)</f>
        <v>15129300</v>
      </c>
      <c r="J30" s="31">
        <f>H30+I30</f>
        <v>19908300</v>
      </c>
      <c r="K30" s="32"/>
    </row>
    <row r="31" spans="1:15" x14ac:dyDescent="0.25">
      <c r="A31" s="1035"/>
      <c r="B31" s="1037" t="str">
        <f>+'B) Reajuste Tarifas y Ocupación'!B14</f>
        <v>Matrimonial</v>
      </c>
      <c r="C31" s="24" t="s">
        <v>355</v>
      </c>
      <c r="D31" s="35">
        <f>+'B) Reajuste Tarifas y Ocupación'!J14</f>
        <v>50600</v>
      </c>
      <c r="E31" s="35">
        <f>+'B) Reajuste Tarifas y Ocupación'!K14</f>
        <v>77800</v>
      </c>
      <c r="F31" s="35">
        <f>+'B) Reajuste Tarifas y Ocupación'!L14</f>
        <v>92500</v>
      </c>
      <c r="G31" s="35">
        <f>+'B) Reajuste Tarifas y Ocupación'!M14</f>
        <v>96900</v>
      </c>
      <c r="H31" s="1045"/>
      <c r="I31" s="1045"/>
      <c r="J31" s="1031"/>
      <c r="K31" s="26"/>
    </row>
    <row r="32" spans="1:15" x14ac:dyDescent="0.25">
      <c r="A32" s="1035"/>
      <c r="B32" s="1038"/>
      <c r="C32" s="24" t="s">
        <v>31</v>
      </c>
      <c r="D32" s="34">
        <f>+'B) Reajuste Tarifas y Ocupación'!U14</f>
        <v>300</v>
      </c>
      <c r="E32" s="34">
        <f>+'B) Reajuste Tarifas y Ocupación'!V14</f>
        <v>61</v>
      </c>
      <c r="F32" s="34">
        <f>+'B) Reajuste Tarifas y Ocupación'!W14</f>
        <v>30</v>
      </c>
      <c r="G32" s="34">
        <f>+'B) Reajuste Tarifas y Ocupación'!X14</f>
        <v>4</v>
      </c>
      <c r="H32" s="1045"/>
      <c r="I32" s="1045"/>
      <c r="J32" s="1031"/>
      <c r="K32" s="28"/>
    </row>
    <row r="33" spans="1:11" x14ac:dyDescent="0.25">
      <c r="A33" s="1035"/>
      <c r="B33" s="1039"/>
      <c r="C33" s="29" t="s">
        <v>32</v>
      </c>
      <c r="D33" s="30">
        <f>D32*D31</f>
        <v>15180000</v>
      </c>
      <c r="E33" s="30">
        <f>E32*E31</f>
        <v>4745800</v>
      </c>
      <c r="F33" s="30">
        <f t="shared" ref="F33:G33" si="8">F32*F31</f>
        <v>2775000</v>
      </c>
      <c r="G33" s="30">
        <f t="shared" si="8"/>
        <v>387600</v>
      </c>
      <c r="H33" s="31">
        <f>(E31-D31)*D32</f>
        <v>8160000</v>
      </c>
      <c r="I33" s="31">
        <f>SUM(D33:G33)</f>
        <v>23088400</v>
      </c>
      <c r="J33" s="31">
        <f>H33+I33</f>
        <v>31248400</v>
      </c>
      <c r="K33" s="32"/>
    </row>
    <row r="34" spans="1:11" x14ac:dyDescent="0.25">
      <c r="A34" s="1035"/>
      <c r="B34" s="1037" t="str">
        <f>+'B) Reajuste Tarifas y Ocupación'!B15</f>
        <v>Early check in/Late check out/Uso por tránsito</v>
      </c>
      <c r="C34" s="1047"/>
      <c r="D34" s="1047"/>
      <c r="E34" s="1047"/>
      <c r="F34" s="1047"/>
      <c r="G34" s="1047"/>
      <c r="H34" s="1045"/>
      <c r="I34" s="1045"/>
      <c r="J34" s="1046"/>
      <c r="K34" s="26"/>
    </row>
    <row r="35" spans="1:11" x14ac:dyDescent="0.25">
      <c r="A35" s="1035"/>
      <c r="B35" s="1038"/>
      <c r="C35" s="1048"/>
      <c r="D35" s="1048"/>
      <c r="E35" s="1048"/>
      <c r="F35" s="1048"/>
      <c r="G35" s="1048"/>
      <c r="H35" s="1045"/>
      <c r="I35" s="1045"/>
      <c r="J35" s="1046"/>
      <c r="K35" s="28"/>
    </row>
    <row r="36" spans="1:11" x14ac:dyDescent="0.25">
      <c r="A36" s="1035"/>
      <c r="B36" s="1039"/>
      <c r="C36" s="36"/>
      <c r="D36" s="37"/>
      <c r="E36" s="37"/>
      <c r="F36" s="37"/>
      <c r="G36" s="37"/>
      <c r="H36" s="38"/>
      <c r="I36" s="38"/>
      <c r="J36" s="38"/>
      <c r="K36" s="32"/>
    </row>
    <row r="37" spans="1:11" x14ac:dyDescent="0.25">
      <c r="A37" s="1035"/>
      <c r="B37" s="1055" t="str">
        <f>+'B) Reajuste Tarifas y Ocupación'!B16</f>
        <v>Simple</v>
      </c>
      <c r="C37" s="24" t="s">
        <v>355</v>
      </c>
      <c r="D37" s="1040"/>
      <c r="E37" s="25">
        <f>+'B) Reajuste Tarifas y Ocupación'!K16</f>
        <v>17100</v>
      </c>
      <c r="F37" s="25">
        <f>+'B) Reajuste Tarifas y Ocupación'!L16</f>
        <v>20400</v>
      </c>
      <c r="G37" s="25">
        <f>+'B) Reajuste Tarifas y Ocupación'!M16</f>
        <v>21300</v>
      </c>
      <c r="H37" s="1045"/>
      <c r="I37" s="1045"/>
      <c r="J37" s="1031"/>
      <c r="K37" s="26"/>
    </row>
    <row r="38" spans="1:11" x14ac:dyDescent="0.25">
      <c r="A38" s="1035"/>
      <c r="B38" s="1056"/>
      <c r="C38" s="24" t="s">
        <v>31</v>
      </c>
      <c r="D38" s="1041"/>
      <c r="E38" s="27">
        <f>+'B) Reajuste Tarifas y Ocupación'!V16</f>
        <v>5</v>
      </c>
      <c r="F38" s="27">
        <f>+'B) Reajuste Tarifas y Ocupación'!W16</f>
        <v>0</v>
      </c>
      <c r="G38" s="27">
        <f>+'B) Reajuste Tarifas y Ocupación'!X16</f>
        <v>0</v>
      </c>
      <c r="H38" s="1045"/>
      <c r="I38" s="1045"/>
      <c r="J38" s="1031"/>
      <c r="K38" s="28"/>
    </row>
    <row r="39" spans="1:11" x14ac:dyDescent="0.25">
      <c r="A39" s="1035"/>
      <c r="B39" s="1057"/>
      <c r="C39" s="29" t="s">
        <v>32</v>
      </c>
      <c r="D39" s="37"/>
      <c r="E39" s="30">
        <f t="shared" ref="E39:G39" si="9">E38*E37</f>
        <v>85500</v>
      </c>
      <c r="F39" s="30">
        <f t="shared" si="9"/>
        <v>0</v>
      </c>
      <c r="G39" s="30">
        <f t="shared" si="9"/>
        <v>0</v>
      </c>
      <c r="H39" s="31">
        <f>(E37-D37)*D38</f>
        <v>0</v>
      </c>
      <c r="I39" s="31">
        <f>SUM(D39:G39)</f>
        <v>85500</v>
      </c>
      <c r="J39" s="31">
        <f>H39+I39</f>
        <v>85500</v>
      </c>
      <c r="K39" s="32"/>
    </row>
    <row r="40" spans="1:11" x14ac:dyDescent="0.25">
      <c r="A40" s="1035"/>
      <c r="B40" s="1055" t="str">
        <f>+'B) Reajuste Tarifas y Ocupación'!B17</f>
        <v>Doble</v>
      </c>
      <c r="C40" s="24" t="s">
        <v>355</v>
      </c>
      <c r="D40" s="1040"/>
      <c r="E40" s="35">
        <f>+'B) Reajuste Tarifas y Ocupación'!K17</f>
        <v>25400</v>
      </c>
      <c r="F40" s="35">
        <f>+'B) Reajuste Tarifas y Ocupación'!L17</f>
        <v>30200</v>
      </c>
      <c r="G40" s="35">
        <f>+'B) Reajuste Tarifas y Ocupación'!M17</f>
        <v>31600</v>
      </c>
      <c r="H40" s="1045"/>
      <c r="I40" s="1045"/>
      <c r="J40" s="1031"/>
      <c r="K40" s="26"/>
    </row>
    <row r="41" spans="1:11" x14ac:dyDescent="0.25">
      <c r="A41" s="1035"/>
      <c r="B41" s="1056"/>
      <c r="C41" s="24" t="s">
        <v>31</v>
      </c>
      <c r="D41" s="1041"/>
      <c r="E41" s="34">
        <f>+'B) Reajuste Tarifas y Ocupación'!V17</f>
        <v>15</v>
      </c>
      <c r="F41" s="34">
        <f>+'B) Reajuste Tarifas y Ocupación'!W17</f>
        <v>0</v>
      </c>
      <c r="G41" s="34">
        <f>+'B) Reajuste Tarifas y Ocupación'!X17</f>
        <v>0</v>
      </c>
      <c r="H41" s="1045"/>
      <c r="I41" s="1045"/>
      <c r="J41" s="1031"/>
      <c r="K41" s="28"/>
    </row>
    <row r="42" spans="1:11" x14ac:dyDescent="0.25">
      <c r="A42" s="1035"/>
      <c r="B42" s="1057"/>
      <c r="C42" s="29" t="s">
        <v>32</v>
      </c>
      <c r="D42" s="37"/>
      <c r="E42" s="30">
        <f t="shared" ref="E42:G42" si="10">E41*E40</f>
        <v>381000</v>
      </c>
      <c r="F42" s="30">
        <f t="shared" si="10"/>
        <v>0</v>
      </c>
      <c r="G42" s="30">
        <f t="shared" si="10"/>
        <v>0</v>
      </c>
      <c r="H42" s="31">
        <f>(E40-D40)*D41</f>
        <v>0</v>
      </c>
      <c r="I42" s="31">
        <f>SUM(D42:G42)</f>
        <v>381000</v>
      </c>
      <c r="J42" s="31">
        <f>H42+I42</f>
        <v>381000</v>
      </c>
      <c r="K42" s="32"/>
    </row>
    <row r="43" spans="1:11" x14ac:dyDescent="0.25">
      <c r="A43" s="1035"/>
      <c r="B43" s="1055" t="str">
        <f>+'B) Reajuste Tarifas y Ocupación'!B18</f>
        <v>Matrimonial</v>
      </c>
      <c r="C43" s="24" t="s">
        <v>355</v>
      </c>
      <c r="D43" s="1040"/>
      <c r="E43" s="35">
        <f>+'B) Reajuste Tarifas y Ocupación'!K18</f>
        <v>23400</v>
      </c>
      <c r="F43" s="35">
        <f>+'B) Reajuste Tarifas y Ocupación'!L18</f>
        <v>27800</v>
      </c>
      <c r="G43" s="35">
        <f>+'B) Reajuste Tarifas y Ocupación'!M18</f>
        <v>29100</v>
      </c>
      <c r="H43" s="1045"/>
      <c r="I43" s="1045"/>
      <c r="J43" s="1031"/>
      <c r="K43" s="26"/>
    </row>
    <row r="44" spans="1:11" x14ac:dyDescent="0.25">
      <c r="A44" s="1035"/>
      <c r="B44" s="1056"/>
      <c r="C44" s="24" t="s">
        <v>31</v>
      </c>
      <c r="D44" s="1041"/>
      <c r="E44" s="34">
        <f>+'B) Reajuste Tarifas y Ocupación'!V18</f>
        <v>40</v>
      </c>
      <c r="F44" s="34">
        <f>+'B) Reajuste Tarifas y Ocupación'!W18</f>
        <v>0</v>
      </c>
      <c r="G44" s="34">
        <f>+'B) Reajuste Tarifas y Ocupación'!X18</f>
        <v>0</v>
      </c>
      <c r="H44" s="1045"/>
      <c r="I44" s="1045"/>
      <c r="J44" s="1031"/>
      <c r="K44" s="28"/>
    </row>
    <row r="45" spans="1:11" x14ac:dyDescent="0.25">
      <c r="A45" s="1035"/>
      <c r="B45" s="1057"/>
      <c r="C45" s="29" t="s">
        <v>32</v>
      </c>
      <c r="D45" s="37"/>
      <c r="E45" s="30">
        <f t="shared" ref="E45:G45" si="11">E44*E43</f>
        <v>936000</v>
      </c>
      <c r="F45" s="30">
        <f t="shared" si="11"/>
        <v>0</v>
      </c>
      <c r="G45" s="30">
        <f t="shared" si="11"/>
        <v>0</v>
      </c>
      <c r="H45" s="31">
        <f>(E43-D43)*D44</f>
        <v>0</v>
      </c>
      <c r="I45" s="31">
        <f>SUM(D45:G45)</f>
        <v>936000</v>
      </c>
      <c r="J45" s="31">
        <f>H45+I45</f>
        <v>936000</v>
      </c>
      <c r="K45" s="32"/>
    </row>
    <row r="46" spans="1:11" x14ac:dyDescent="0.25">
      <c r="A46" s="1035"/>
      <c r="B46" s="1032" t="s">
        <v>33</v>
      </c>
      <c r="C46" s="1033"/>
      <c r="D46" s="39">
        <f>+D27+D30+D33+D39+D42+D45</f>
        <v>27975000</v>
      </c>
      <c r="E46" s="39">
        <f t="shared" ref="E46:J46" si="12">+E27+E30+E33+E39+E42+E45</f>
        <v>12226800</v>
      </c>
      <c r="F46" s="39">
        <f>+F27+F30+F33+F39+F42+F45</f>
        <v>6510300</v>
      </c>
      <c r="G46" s="39">
        <f>+G27+G30+G33+G39+G42+G45</f>
        <v>492900</v>
      </c>
      <c r="H46" s="39">
        <f>+H27+H30+H33+H39+H42+H45</f>
        <v>15028500</v>
      </c>
      <c r="I46" s="39">
        <f>+I27+I30+I33+I39+I42+I45</f>
        <v>47205000</v>
      </c>
      <c r="J46" s="39">
        <f t="shared" si="12"/>
        <v>62233500</v>
      </c>
      <c r="K46" s="40"/>
    </row>
    <row r="47" spans="1:11" x14ac:dyDescent="0.25">
      <c r="A47" s="1051" t="str">
        <f>+'B) Reajuste Tarifas y Ocupación'!A19</f>
        <v>Salon de Eventos y Quinchos</v>
      </c>
      <c r="B47" s="1052" t="str">
        <f>+'B) Reajuste Tarifas y Ocupación'!B19</f>
        <v>Salón de Eventos (de 1 a 20 personas)</v>
      </c>
      <c r="C47" s="24" t="s">
        <v>355</v>
      </c>
      <c r="D47" s="1040"/>
      <c r="E47" s="33">
        <f>+'B) Reajuste Tarifas y Ocupación'!K19</f>
        <v>37300</v>
      </c>
      <c r="F47" s="33">
        <f>+'B) Reajuste Tarifas y Ocupación'!L19</f>
        <v>35900</v>
      </c>
      <c r="G47" s="33">
        <f>+'B) Reajuste Tarifas y Ocupación'!M19</f>
        <v>63800</v>
      </c>
      <c r="H47" s="1045"/>
      <c r="I47" s="1045"/>
      <c r="J47" s="1031"/>
    </row>
    <row r="48" spans="1:11" x14ac:dyDescent="0.25">
      <c r="A48" s="1051"/>
      <c r="B48" s="1053"/>
      <c r="C48" s="24" t="s">
        <v>31</v>
      </c>
      <c r="D48" s="1041"/>
      <c r="E48" s="27">
        <f>+'B) Reajuste Tarifas y Ocupación'!V19</f>
        <v>60</v>
      </c>
      <c r="F48" s="27">
        <f>+'B) Reajuste Tarifas y Ocupación'!W19</f>
        <v>0</v>
      </c>
      <c r="G48" s="27">
        <f>+'B) Reajuste Tarifas y Ocupación'!X19</f>
        <v>0</v>
      </c>
      <c r="H48" s="1045"/>
      <c r="I48" s="1045"/>
      <c r="J48" s="1031"/>
    </row>
    <row r="49" spans="1:10" x14ac:dyDescent="0.25">
      <c r="A49" s="1051"/>
      <c r="B49" s="1054"/>
      <c r="C49" s="29" t="s">
        <v>32</v>
      </c>
      <c r="D49" s="37"/>
      <c r="E49" s="30">
        <f>E48*E47</f>
        <v>2238000</v>
      </c>
      <c r="F49" s="30">
        <f t="shared" ref="F49:G49" si="13">F48*F47</f>
        <v>0</v>
      </c>
      <c r="G49" s="30">
        <f t="shared" si="13"/>
        <v>0</v>
      </c>
      <c r="H49" s="31">
        <f>(E47-D47)*D48</f>
        <v>0</v>
      </c>
      <c r="I49" s="31">
        <f>SUM(D49:G49)</f>
        <v>2238000</v>
      </c>
      <c r="J49" s="31">
        <f>H49+I49</f>
        <v>2238000</v>
      </c>
    </row>
    <row r="50" spans="1:10" x14ac:dyDescent="0.25">
      <c r="A50" s="1051"/>
      <c r="B50" s="1052" t="str">
        <f>+'B) Reajuste Tarifas y Ocupación'!B20</f>
        <v>Salón de Eventos (persona adicional)</v>
      </c>
      <c r="C50" s="24" t="s">
        <v>355</v>
      </c>
      <c r="D50" s="1040"/>
      <c r="E50" s="33">
        <f>+'B) Reajuste Tarifas y Ocupación'!K20</f>
        <v>2000</v>
      </c>
      <c r="F50" s="33">
        <f>+'B) Reajuste Tarifas y Ocupación'!L20</f>
        <v>2500</v>
      </c>
      <c r="G50" s="33">
        <f>+'B) Reajuste Tarifas y Ocupación'!M20</f>
        <v>2600</v>
      </c>
      <c r="H50" s="1045"/>
      <c r="I50" s="1045"/>
      <c r="J50" s="1031"/>
    </row>
    <row r="51" spans="1:10" x14ac:dyDescent="0.25">
      <c r="A51" s="1051"/>
      <c r="B51" s="1053"/>
      <c r="C51" s="24" t="s">
        <v>31</v>
      </c>
      <c r="D51" s="1041"/>
      <c r="E51" s="27">
        <f>+'B) Reajuste Tarifas y Ocupación'!V20</f>
        <v>30</v>
      </c>
      <c r="F51" s="27">
        <f>+'B) Reajuste Tarifas y Ocupación'!W20</f>
        <v>75</v>
      </c>
      <c r="G51" s="27">
        <f>+'B) Reajuste Tarifas y Ocupación'!X20</f>
        <v>0</v>
      </c>
      <c r="H51" s="1045"/>
      <c r="I51" s="1045"/>
      <c r="J51" s="1031"/>
    </row>
    <row r="52" spans="1:10" x14ac:dyDescent="0.25">
      <c r="A52" s="1051"/>
      <c r="B52" s="1054"/>
      <c r="C52" s="679" t="s">
        <v>32</v>
      </c>
      <c r="D52" s="680"/>
      <c r="E52" s="681">
        <f>E51*E50</f>
        <v>60000</v>
      </c>
      <c r="F52" s="681">
        <f t="shared" ref="F52:G52" si="14">F51*F50</f>
        <v>187500</v>
      </c>
      <c r="G52" s="681">
        <f t="shared" si="14"/>
        <v>0</v>
      </c>
      <c r="H52" s="682">
        <f>(E50-D50)*D51</f>
        <v>0</v>
      </c>
      <c r="I52" s="682">
        <f>SUM(D52:G52)</f>
        <v>247500</v>
      </c>
      <c r="J52" s="682">
        <f>H52+I52</f>
        <v>247500</v>
      </c>
    </row>
    <row r="53" spans="1:10" ht="15" customHeight="1" x14ac:dyDescent="0.25">
      <c r="A53" s="1051"/>
      <c r="B53" s="1027" t="s">
        <v>306</v>
      </c>
      <c r="C53" s="24" t="s">
        <v>355</v>
      </c>
      <c r="D53" s="684"/>
      <c r="E53" s="684">
        <f>'B) Reajuste Tarifas y Ocupación'!K21</f>
        <v>19800</v>
      </c>
      <c r="F53" s="684">
        <f>'B) Reajuste Tarifas y Ocupación'!L21</f>
        <v>23600</v>
      </c>
      <c r="G53" s="684">
        <f>'B) Reajuste Tarifas y Ocupación'!M21</f>
        <v>24700</v>
      </c>
      <c r="H53" s="685"/>
      <c r="I53" s="685"/>
      <c r="J53" s="685"/>
    </row>
    <row r="54" spans="1:10" x14ac:dyDescent="0.25">
      <c r="A54" s="1051"/>
      <c r="B54" s="1028"/>
      <c r="C54" s="24" t="s">
        <v>31</v>
      </c>
      <c r="D54" s="684"/>
      <c r="E54" s="688">
        <f>'B) Reajuste Tarifas y Ocupación'!V21</f>
        <v>45</v>
      </c>
      <c r="F54" s="688">
        <f>'B) Reajuste Tarifas y Ocupación'!W21</f>
        <v>10</v>
      </c>
      <c r="G54" s="688">
        <f>'B) Reajuste Tarifas y Ocupación'!X21</f>
        <v>0</v>
      </c>
      <c r="H54" s="685"/>
      <c r="I54" s="685"/>
      <c r="J54" s="685"/>
    </row>
    <row r="55" spans="1:10" x14ac:dyDescent="0.25">
      <c r="A55" s="1051"/>
      <c r="B55" s="1029"/>
      <c r="C55" s="686" t="s">
        <v>32</v>
      </c>
      <c r="D55" s="578"/>
      <c r="E55" s="578">
        <f>E53*E54</f>
        <v>891000</v>
      </c>
      <c r="F55" s="578">
        <f t="shared" ref="F55:G55" si="15">F53*F54</f>
        <v>236000</v>
      </c>
      <c r="G55" s="578">
        <f t="shared" si="15"/>
        <v>0</v>
      </c>
      <c r="H55" s="687"/>
      <c r="I55" s="682">
        <f>SUM(D55:G55)</f>
        <v>1127000</v>
      </c>
      <c r="J55" s="682">
        <f>H55+I55</f>
        <v>1127000</v>
      </c>
    </row>
    <row r="56" spans="1:10" ht="15" customHeight="1" x14ac:dyDescent="0.25">
      <c r="A56" s="1051"/>
      <c r="B56" s="1027" t="s">
        <v>50</v>
      </c>
      <c r="C56" s="24" t="s">
        <v>355</v>
      </c>
      <c r="D56" s="684"/>
      <c r="E56" s="684">
        <f>'B) Reajuste Tarifas y Ocupación'!K22</f>
        <v>3800</v>
      </c>
      <c r="F56" s="684">
        <f>'B) Reajuste Tarifas y Ocupación'!L22</f>
        <v>4500</v>
      </c>
      <c r="G56" s="684">
        <f>'B) Reajuste Tarifas y Ocupación'!M22</f>
        <v>4800</v>
      </c>
      <c r="H56" s="685"/>
      <c r="I56" s="685"/>
      <c r="J56" s="685"/>
    </row>
    <row r="57" spans="1:10" x14ac:dyDescent="0.25">
      <c r="A57" s="1051"/>
      <c r="B57" s="1028"/>
      <c r="C57" s="24" t="s">
        <v>31</v>
      </c>
      <c r="D57" s="684"/>
      <c r="E57" s="688">
        <f>'B) Reajuste Tarifas y Ocupación'!V22</f>
        <v>0</v>
      </c>
      <c r="F57" s="688">
        <f>'B) Reajuste Tarifas y Ocupación'!W22</f>
        <v>0</v>
      </c>
      <c r="G57" s="688">
        <f>'B) Reajuste Tarifas y Ocupación'!X22</f>
        <v>0</v>
      </c>
      <c r="H57" s="685"/>
      <c r="I57" s="685"/>
      <c r="J57" s="685"/>
    </row>
    <row r="58" spans="1:10" x14ac:dyDescent="0.25">
      <c r="A58" s="1051"/>
      <c r="B58" s="1029"/>
      <c r="C58" s="29" t="s">
        <v>32</v>
      </c>
      <c r="D58" s="578"/>
      <c r="E58" s="578">
        <f>E56*E57</f>
        <v>0</v>
      </c>
      <c r="F58" s="578">
        <f t="shared" ref="F58:G58" si="16">F56*F57</f>
        <v>0</v>
      </c>
      <c r="G58" s="578">
        <f t="shared" si="16"/>
        <v>0</v>
      </c>
      <c r="H58" s="687"/>
      <c r="I58" s="682">
        <f>SUM(D58:G58)</f>
        <v>0</v>
      </c>
      <c r="J58" s="682">
        <f>H58+I58</f>
        <v>0</v>
      </c>
    </row>
    <row r="59" spans="1:10" x14ac:dyDescent="0.25">
      <c r="A59" s="1051"/>
      <c r="B59" s="1049" t="s">
        <v>33</v>
      </c>
      <c r="C59" s="1050"/>
      <c r="D59" s="683">
        <f>+D49+D52+D55+D58</f>
        <v>0</v>
      </c>
      <c r="E59" s="683">
        <f t="shared" ref="E59:I59" si="17">+E49+E52+E55+E58</f>
        <v>3189000</v>
      </c>
      <c r="F59" s="683">
        <f t="shared" si="17"/>
        <v>423500</v>
      </c>
      <c r="G59" s="683">
        <f t="shared" si="17"/>
        <v>0</v>
      </c>
      <c r="H59" s="683">
        <f t="shared" si="17"/>
        <v>0</v>
      </c>
      <c r="I59" s="683">
        <f t="shared" si="17"/>
        <v>3612500</v>
      </c>
      <c r="J59" s="683">
        <f>+J49+J52+J55+J58</f>
        <v>3612500</v>
      </c>
    </row>
    <row r="60" spans="1:10" x14ac:dyDescent="0.25">
      <c r="A60" s="1035" t="str">
        <f>+'B) Reajuste Tarifas y Ocupación'!A23</f>
        <v>C.H. Archipielago Juan Fernandez</v>
      </c>
      <c r="B60" s="1037" t="str">
        <f>+'B) Reajuste Tarifas y Ocupación'!B23</f>
        <v>Simple</v>
      </c>
      <c r="C60" s="24" t="s">
        <v>355</v>
      </c>
      <c r="D60" s="33">
        <f>+'B) Reajuste Tarifas y Ocupación'!J23</f>
        <v>18000</v>
      </c>
      <c r="E60" s="33">
        <f>+'B) Reajuste Tarifas y Ocupación'!K23</f>
        <v>27600</v>
      </c>
      <c r="F60" s="33">
        <f>+'B) Reajuste Tarifas y Ocupación'!L23</f>
        <v>34400</v>
      </c>
      <c r="G60" s="33">
        <f>+'B) Reajuste Tarifas y Ocupación'!M23</f>
        <v>37600</v>
      </c>
      <c r="H60" s="1042"/>
      <c r="I60" s="1042"/>
      <c r="J60" s="1030"/>
    </row>
    <row r="61" spans="1:10" x14ac:dyDescent="0.25">
      <c r="A61" s="1035"/>
      <c r="B61" s="1038"/>
      <c r="C61" s="24" t="s">
        <v>31</v>
      </c>
      <c r="D61" s="27">
        <f>+'B) Reajuste Tarifas y Ocupación'!U23</f>
        <v>99</v>
      </c>
      <c r="E61" s="27">
        <f>+'B) Reajuste Tarifas y Ocupación'!V23</f>
        <v>65</v>
      </c>
      <c r="F61" s="27">
        <f>+'B) Reajuste Tarifas y Ocupación'!W23</f>
        <v>40</v>
      </c>
      <c r="G61" s="27">
        <f>+'B) Reajuste Tarifas y Ocupación'!X23</f>
        <v>1</v>
      </c>
      <c r="H61" s="1043"/>
      <c r="I61" s="1043"/>
      <c r="J61" s="1044"/>
    </row>
    <row r="62" spans="1:10" x14ac:dyDescent="0.25">
      <c r="A62" s="1035"/>
      <c r="B62" s="1039"/>
      <c r="C62" s="29" t="s">
        <v>32</v>
      </c>
      <c r="D62" s="30">
        <f>D61*D60</f>
        <v>1782000</v>
      </c>
      <c r="E62" s="30">
        <f>E61*E60</f>
        <v>1794000</v>
      </c>
      <c r="F62" s="30">
        <f t="shared" ref="F62:G62" si="18">F61*F60</f>
        <v>1376000</v>
      </c>
      <c r="G62" s="30">
        <f t="shared" si="18"/>
        <v>37600</v>
      </c>
      <c r="H62" s="31">
        <f>(E60-D60)*D61</f>
        <v>950400</v>
      </c>
      <c r="I62" s="31">
        <f>SUM(D62:G62)</f>
        <v>4989600</v>
      </c>
      <c r="J62" s="31">
        <f>H62+I62</f>
        <v>5940000</v>
      </c>
    </row>
    <row r="63" spans="1:10" x14ac:dyDescent="0.25">
      <c r="A63" s="1035"/>
      <c r="B63" s="1037" t="str">
        <f>+'B) Reajuste Tarifas y Ocupación'!B24</f>
        <v>Doble</v>
      </c>
      <c r="C63" s="24" t="s">
        <v>355</v>
      </c>
      <c r="D63" s="33">
        <f>+'B) Reajuste Tarifas y Ocupación'!J24</f>
        <v>23600</v>
      </c>
      <c r="E63" s="33">
        <f>+'B) Reajuste Tarifas y Ocupación'!K24</f>
        <v>36200</v>
      </c>
      <c r="F63" s="33">
        <f>+'B) Reajuste Tarifas y Ocupación'!L24</f>
        <v>45100</v>
      </c>
      <c r="G63" s="33">
        <f>+'B) Reajuste Tarifas y Ocupación'!M24</f>
        <v>49200</v>
      </c>
      <c r="H63" s="1042"/>
      <c r="I63" s="1042"/>
      <c r="J63" s="1030"/>
    </row>
    <row r="64" spans="1:10" x14ac:dyDescent="0.25">
      <c r="A64" s="1035"/>
      <c r="B64" s="1038"/>
      <c r="C64" s="24" t="s">
        <v>31</v>
      </c>
      <c r="D64" s="34">
        <f>+'B) Reajuste Tarifas y Ocupación'!U24</f>
        <v>97</v>
      </c>
      <c r="E64" s="34">
        <f>+'B) Reajuste Tarifas y Ocupación'!V24</f>
        <v>79</v>
      </c>
      <c r="F64" s="34">
        <f>+'B) Reajuste Tarifas y Ocupación'!W24</f>
        <v>25</v>
      </c>
      <c r="G64" s="34">
        <f>+'B) Reajuste Tarifas y Ocupación'!X24</f>
        <v>2</v>
      </c>
      <c r="H64" s="1045"/>
      <c r="I64" s="1045"/>
      <c r="J64" s="1031"/>
    </row>
    <row r="65" spans="1:10" x14ac:dyDescent="0.25">
      <c r="A65" s="1035"/>
      <c r="B65" s="1039"/>
      <c r="C65" s="29" t="s">
        <v>32</v>
      </c>
      <c r="D65" s="30">
        <f>D64*D63</f>
        <v>2289200</v>
      </c>
      <c r="E65" s="30">
        <f>E64*E63</f>
        <v>2859800</v>
      </c>
      <c r="F65" s="30">
        <f t="shared" ref="F65:G65" si="19">F64*F63</f>
        <v>1127500</v>
      </c>
      <c r="G65" s="30">
        <f t="shared" si="19"/>
        <v>98400</v>
      </c>
      <c r="H65" s="31">
        <f>(E63-D63)*D64</f>
        <v>1222200</v>
      </c>
      <c r="I65" s="31">
        <f>SUM(D65:G65)</f>
        <v>6374900</v>
      </c>
      <c r="J65" s="31">
        <f>H65+I65</f>
        <v>7597100</v>
      </c>
    </row>
    <row r="66" spans="1:10" x14ac:dyDescent="0.25">
      <c r="A66" s="1035"/>
      <c r="B66" s="1037" t="str">
        <f>+'B) Reajuste Tarifas y Ocupación'!B25</f>
        <v>Matrimonial baño privado</v>
      </c>
      <c r="C66" s="24" t="s">
        <v>355</v>
      </c>
      <c r="D66" s="35">
        <f>+'B) Reajuste Tarifas y Ocupación'!J25</f>
        <v>26000</v>
      </c>
      <c r="E66" s="35">
        <f>+'B) Reajuste Tarifas y Ocupación'!K25</f>
        <v>39900</v>
      </c>
      <c r="F66" s="35">
        <f>+'B) Reajuste Tarifas y Ocupación'!L25</f>
        <v>49600</v>
      </c>
      <c r="G66" s="35">
        <f>+'B) Reajuste Tarifas y Ocupación'!M25</f>
        <v>54100</v>
      </c>
      <c r="H66" s="1045"/>
      <c r="I66" s="1045"/>
      <c r="J66" s="1031"/>
    </row>
    <row r="67" spans="1:10" x14ac:dyDescent="0.25">
      <c r="A67" s="1035"/>
      <c r="B67" s="1038"/>
      <c r="C67" s="24" t="s">
        <v>31</v>
      </c>
      <c r="D67" s="34">
        <f>+'B) Reajuste Tarifas y Ocupación'!U25</f>
        <v>135</v>
      </c>
      <c r="E67" s="34">
        <f>+'B) Reajuste Tarifas y Ocupación'!V25</f>
        <v>90</v>
      </c>
      <c r="F67" s="34">
        <f>+'B) Reajuste Tarifas y Ocupación'!W25</f>
        <v>31</v>
      </c>
      <c r="G67" s="34">
        <f>+'B) Reajuste Tarifas y Ocupación'!X25</f>
        <v>2</v>
      </c>
      <c r="H67" s="1045"/>
      <c r="I67" s="1045"/>
      <c r="J67" s="1031"/>
    </row>
    <row r="68" spans="1:10" x14ac:dyDescent="0.25">
      <c r="A68" s="1035"/>
      <c r="B68" s="1039"/>
      <c r="C68" s="29" t="s">
        <v>32</v>
      </c>
      <c r="D68" s="30">
        <f>D67*D66</f>
        <v>3510000</v>
      </c>
      <c r="E68" s="30">
        <f>E67*E66</f>
        <v>3591000</v>
      </c>
      <c r="F68" s="30">
        <f t="shared" ref="F68:G68" si="20">F67*F66</f>
        <v>1537600</v>
      </c>
      <c r="G68" s="30">
        <f t="shared" si="20"/>
        <v>108200</v>
      </c>
      <c r="H68" s="31">
        <f>(E66-D66)*D67</f>
        <v>1876500</v>
      </c>
      <c r="I68" s="31">
        <f>SUM(D68:G68)</f>
        <v>8746800</v>
      </c>
      <c r="J68" s="31">
        <f>H68+I68</f>
        <v>10623300</v>
      </c>
    </row>
    <row r="69" spans="1:10" x14ac:dyDescent="0.25">
      <c r="A69" s="1035"/>
      <c r="B69" s="1037" t="str">
        <f>+'B) Reajuste Tarifas y Ocupación'!B26</f>
        <v>Matrimonial baño compartido</v>
      </c>
      <c r="C69" s="24" t="s">
        <v>355</v>
      </c>
      <c r="D69" s="35">
        <f>+'B) Reajuste Tarifas y Ocupación'!J26</f>
        <v>21000</v>
      </c>
      <c r="E69" s="35">
        <f>+'B) Reajuste Tarifas y Ocupación'!K26</f>
        <v>32200</v>
      </c>
      <c r="F69" s="35">
        <f>+'B) Reajuste Tarifas y Ocupación'!L26</f>
        <v>40200</v>
      </c>
      <c r="G69" s="35">
        <f>+'B) Reajuste Tarifas y Ocupación'!M26</f>
        <v>43800</v>
      </c>
      <c r="H69" s="1045"/>
      <c r="I69" s="1045"/>
      <c r="J69" s="1031"/>
    </row>
    <row r="70" spans="1:10" x14ac:dyDescent="0.25">
      <c r="A70" s="1035"/>
      <c r="B70" s="1038"/>
      <c r="C70" s="24" t="s">
        <v>31</v>
      </c>
      <c r="D70" s="34">
        <f>+'B) Reajuste Tarifas y Ocupación'!U26</f>
        <v>558</v>
      </c>
      <c r="E70" s="34">
        <f>+'B) Reajuste Tarifas y Ocupación'!V26</f>
        <v>208</v>
      </c>
      <c r="F70" s="34">
        <f>+'B) Reajuste Tarifas y Ocupación'!W26</f>
        <v>52</v>
      </c>
      <c r="G70" s="34">
        <f>+'B) Reajuste Tarifas y Ocupación'!X26</f>
        <v>3</v>
      </c>
      <c r="H70" s="1045"/>
      <c r="I70" s="1045"/>
      <c r="J70" s="1031"/>
    </row>
    <row r="71" spans="1:10" x14ac:dyDescent="0.25">
      <c r="A71" s="1035"/>
      <c r="B71" s="1039"/>
      <c r="C71" s="29" t="s">
        <v>32</v>
      </c>
      <c r="D71" s="30">
        <f>D70*D69</f>
        <v>11718000</v>
      </c>
      <c r="E71" s="30">
        <f>E70*E69</f>
        <v>6697600</v>
      </c>
      <c r="F71" s="30">
        <f t="shared" ref="F71:G71" si="21">F70*F69</f>
        <v>2090400</v>
      </c>
      <c r="G71" s="30">
        <f t="shared" si="21"/>
        <v>131400</v>
      </c>
      <c r="H71" s="31">
        <f>(E69-D69)*D70</f>
        <v>6249600</v>
      </c>
      <c r="I71" s="31">
        <f>SUM(D71:G71)</f>
        <v>20637400</v>
      </c>
      <c r="J71" s="31">
        <f>H71+I71</f>
        <v>26887000</v>
      </c>
    </row>
    <row r="72" spans="1:10" x14ac:dyDescent="0.25">
      <c r="A72" s="1035"/>
      <c r="B72" s="1037" t="str">
        <f>+'B) Reajuste Tarifas y Ocupación'!B27</f>
        <v>Early check in/Late check out/Uso por tránsito</v>
      </c>
      <c r="C72" s="1047"/>
      <c r="D72" s="1047"/>
      <c r="E72" s="1047"/>
      <c r="F72" s="1047"/>
      <c r="G72" s="1047"/>
      <c r="H72" s="1045"/>
      <c r="I72" s="1045"/>
      <c r="J72" s="1046"/>
    </row>
    <row r="73" spans="1:10" x14ac:dyDescent="0.25">
      <c r="A73" s="1035"/>
      <c r="B73" s="1038"/>
      <c r="C73" s="1048"/>
      <c r="D73" s="1048"/>
      <c r="E73" s="1048"/>
      <c r="F73" s="1048"/>
      <c r="G73" s="1048"/>
      <c r="H73" s="1045"/>
      <c r="I73" s="1045"/>
      <c r="J73" s="1046"/>
    </row>
    <row r="74" spans="1:10" x14ac:dyDescent="0.25">
      <c r="A74" s="1035"/>
      <c r="B74" s="1039"/>
      <c r="C74" s="36"/>
      <c r="D74" s="37"/>
      <c r="E74" s="37"/>
      <c r="F74" s="37"/>
      <c r="G74" s="37"/>
      <c r="H74" s="38"/>
      <c r="I74" s="38"/>
      <c r="J74" s="38"/>
    </row>
    <row r="75" spans="1:10" x14ac:dyDescent="0.25">
      <c r="A75" s="1035"/>
      <c r="B75" s="1037" t="str">
        <f>+'B) Reajuste Tarifas y Ocupación'!B28</f>
        <v>Simple</v>
      </c>
      <c r="C75" s="24" t="s">
        <v>355</v>
      </c>
      <c r="D75" s="1040"/>
      <c r="E75" s="35">
        <f>+'B) Reajuste Tarifas y Ocupación'!K28</f>
        <v>8300</v>
      </c>
      <c r="F75" s="35">
        <f>+'B) Reajuste Tarifas y Ocupación'!L28</f>
        <v>10400</v>
      </c>
      <c r="G75" s="35">
        <f>+'B) Reajuste Tarifas y Ocupación'!M28</f>
        <v>11300</v>
      </c>
      <c r="H75" s="1045"/>
      <c r="I75" s="1045"/>
      <c r="J75" s="1031"/>
    </row>
    <row r="76" spans="1:10" x14ac:dyDescent="0.25">
      <c r="A76" s="1035"/>
      <c r="B76" s="1038"/>
      <c r="C76" s="24" t="s">
        <v>31</v>
      </c>
      <c r="D76" s="1041"/>
      <c r="E76" s="34">
        <f>+'B) Reajuste Tarifas y Ocupación'!V28</f>
        <v>5</v>
      </c>
      <c r="F76" s="34">
        <f>+'B) Reajuste Tarifas y Ocupación'!W28</f>
        <v>0</v>
      </c>
      <c r="G76" s="34">
        <f>+'B) Reajuste Tarifas y Ocupación'!X28</f>
        <v>0</v>
      </c>
      <c r="H76" s="1045"/>
      <c r="I76" s="1045"/>
      <c r="J76" s="1031"/>
    </row>
    <row r="77" spans="1:10" x14ac:dyDescent="0.25">
      <c r="A77" s="1035"/>
      <c r="B77" s="1039"/>
      <c r="C77" s="29" t="s">
        <v>32</v>
      </c>
      <c r="D77" s="37"/>
      <c r="E77" s="30">
        <f>E76*E75</f>
        <v>41500</v>
      </c>
      <c r="F77" s="30">
        <f t="shared" ref="F77:G77" si="22">F76*F75</f>
        <v>0</v>
      </c>
      <c r="G77" s="30">
        <f t="shared" si="22"/>
        <v>0</v>
      </c>
      <c r="H77" s="31">
        <f>(E75-D75)*D76</f>
        <v>0</v>
      </c>
      <c r="I77" s="31">
        <f>SUM(D77:G77)</f>
        <v>41500</v>
      </c>
      <c r="J77" s="31">
        <f>H77+I77</f>
        <v>41500</v>
      </c>
    </row>
    <row r="78" spans="1:10" x14ac:dyDescent="0.25">
      <c r="A78" s="1035"/>
      <c r="B78" s="1037" t="str">
        <f>+'B) Reajuste Tarifas y Ocupación'!B29</f>
        <v>Doble</v>
      </c>
      <c r="C78" s="24" t="s">
        <v>355</v>
      </c>
      <c r="D78" s="1040"/>
      <c r="E78" s="35">
        <f>+'B) Reajuste Tarifas y Ocupación'!K29</f>
        <v>10900</v>
      </c>
      <c r="F78" s="35">
        <f>+'B) Reajuste Tarifas y Ocupación'!L29</f>
        <v>13600</v>
      </c>
      <c r="G78" s="35">
        <f>+'B) Reajuste Tarifas y Ocupación'!M29</f>
        <v>14800</v>
      </c>
      <c r="H78" s="1045"/>
      <c r="I78" s="1045"/>
      <c r="J78" s="1031"/>
    </row>
    <row r="79" spans="1:10" x14ac:dyDescent="0.25">
      <c r="A79" s="1035"/>
      <c r="B79" s="1038"/>
      <c r="C79" s="24" t="s">
        <v>31</v>
      </c>
      <c r="D79" s="1041"/>
      <c r="E79" s="34">
        <f>+'B) Reajuste Tarifas y Ocupación'!V29</f>
        <v>1</v>
      </c>
      <c r="F79" s="34">
        <v>0</v>
      </c>
      <c r="G79" s="34">
        <f>+'B) Reajuste Tarifas y Ocupación'!X29</f>
        <v>0</v>
      </c>
      <c r="H79" s="1045"/>
      <c r="I79" s="1045"/>
      <c r="J79" s="1031"/>
    </row>
    <row r="80" spans="1:10" x14ac:dyDescent="0.25">
      <c r="A80" s="1035"/>
      <c r="B80" s="1039"/>
      <c r="C80" s="29" t="s">
        <v>32</v>
      </c>
      <c r="D80" s="37"/>
      <c r="E80" s="30">
        <f>E79*E78</f>
        <v>10900</v>
      </c>
      <c r="F80" s="30">
        <f t="shared" ref="F80:G80" si="23">F79*F78</f>
        <v>0</v>
      </c>
      <c r="G80" s="30">
        <f t="shared" si="23"/>
        <v>0</v>
      </c>
      <c r="H80" s="31">
        <f>(E78-D78)*D79</f>
        <v>0</v>
      </c>
      <c r="I80" s="31">
        <f>SUM(D80:G80)</f>
        <v>10900</v>
      </c>
      <c r="J80" s="31">
        <f>H80+I80</f>
        <v>10900</v>
      </c>
    </row>
    <row r="81" spans="1:10" x14ac:dyDescent="0.25">
      <c r="A81" s="1035"/>
      <c r="B81" s="1037" t="str">
        <f>+'B) Reajuste Tarifas y Ocupación'!B30</f>
        <v>Matrimonial baño privado</v>
      </c>
      <c r="C81" s="24" t="s">
        <v>355</v>
      </c>
      <c r="D81" s="1040"/>
      <c r="E81" s="35">
        <f>+'B) Reajuste Tarifas y Ocupación'!K30</f>
        <v>12000</v>
      </c>
      <c r="F81" s="35">
        <f>+'B) Reajuste Tarifas y Ocupación'!L30</f>
        <v>14900</v>
      </c>
      <c r="G81" s="35">
        <f>+'B) Reajuste Tarifas y Ocupación'!M30</f>
        <v>16300</v>
      </c>
      <c r="H81" s="1045"/>
      <c r="I81" s="1045"/>
      <c r="J81" s="1031"/>
    </row>
    <row r="82" spans="1:10" x14ac:dyDescent="0.25">
      <c r="A82" s="1035"/>
      <c r="B82" s="1038"/>
      <c r="C82" s="24" t="s">
        <v>31</v>
      </c>
      <c r="D82" s="1041"/>
      <c r="E82" s="34">
        <f>+'B) Reajuste Tarifas y Ocupación'!V30</f>
        <v>3</v>
      </c>
      <c r="F82" s="34">
        <f>+'B) Reajuste Tarifas y Ocupación'!W30</f>
        <v>0</v>
      </c>
      <c r="G82" s="34">
        <f>+'B) Reajuste Tarifas y Ocupación'!X30</f>
        <v>0</v>
      </c>
      <c r="H82" s="1045"/>
      <c r="I82" s="1045"/>
      <c r="J82" s="1031"/>
    </row>
    <row r="83" spans="1:10" x14ac:dyDescent="0.25">
      <c r="A83" s="1035"/>
      <c r="B83" s="1039"/>
      <c r="C83" s="29" t="s">
        <v>32</v>
      </c>
      <c r="D83" s="37"/>
      <c r="E83" s="30">
        <f>E82*E81</f>
        <v>36000</v>
      </c>
      <c r="F83" s="30">
        <f t="shared" ref="F83:G83" si="24">F82*F81</f>
        <v>0</v>
      </c>
      <c r="G83" s="30">
        <f t="shared" si="24"/>
        <v>0</v>
      </c>
      <c r="H83" s="31">
        <f>(E81-D81)*D82</f>
        <v>0</v>
      </c>
      <c r="I83" s="31">
        <f>SUM(D83:G83)</f>
        <v>36000</v>
      </c>
      <c r="J83" s="31">
        <f>H83+I83</f>
        <v>36000</v>
      </c>
    </row>
    <row r="84" spans="1:10" x14ac:dyDescent="0.25">
      <c r="A84" s="1035"/>
      <c r="B84" s="1037" t="str">
        <f>+'B) Reajuste Tarifas y Ocupación'!B31</f>
        <v>Matrimonial baño compartido</v>
      </c>
      <c r="C84" s="24" t="s">
        <v>355</v>
      </c>
      <c r="D84" s="1040"/>
      <c r="E84" s="35">
        <f>+'B) Reajuste Tarifas y Ocupación'!K31</f>
        <v>9700</v>
      </c>
      <c r="F84" s="35">
        <f>+'B) Reajuste Tarifas y Ocupación'!L31</f>
        <v>12100</v>
      </c>
      <c r="G84" s="35">
        <f>+'B) Reajuste Tarifas y Ocupación'!M31</f>
        <v>13200</v>
      </c>
      <c r="H84" s="1045"/>
      <c r="I84" s="1045"/>
      <c r="J84" s="1031"/>
    </row>
    <row r="85" spans="1:10" x14ac:dyDescent="0.25">
      <c r="A85" s="1035"/>
      <c r="B85" s="1038"/>
      <c r="C85" s="24" t="s">
        <v>31</v>
      </c>
      <c r="D85" s="1041"/>
      <c r="E85" s="34">
        <f>+'B) Reajuste Tarifas y Ocupación'!V31</f>
        <v>0</v>
      </c>
      <c r="F85" s="34">
        <f>+'B) Reajuste Tarifas y Ocupación'!W31</f>
        <v>0</v>
      </c>
      <c r="G85" s="34">
        <f>+'B) Reajuste Tarifas y Ocupación'!X31</f>
        <v>0</v>
      </c>
      <c r="H85" s="1045"/>
      <c r="I85" s="1045"/>
      <c r="J85" s="1031"/>
    </row>
    <row r="86" spans="1:10" x14ac:dyDescent="0.25">
      <c r="A86" s="1035"/>
      <c r="B86" s="1039"/>
      <c r="C86" s="29" t="s">
        <v>32</v>
      </c>
      <c r="D86" s="37"/>
      <c r="E86" s="30">
        <f t="shared" ref="E86:G86" si="25">E85*E84</f>
        <v>0</v>
      </c>
      <c r="F86" s="30">
        <f t="shared" si="25"/>
        <v>0</v>
      </c>
      <c r="G86" s="30">
        <f t="shared" si="25"/>
        <v>0</v>
      </c>
      <c r="H86" s="31">
        <f>(E84-D84)*D85</f>
        <v>0</v>
      </c>
      <c r="I86" s="31">
        <f>SUM(D86:G86)</f>
        <v>0</v>
      </c>
      <c r="J86" s="31">
        <f>H86+I86</f>
        <v>0</v>
      </c>
    </row>
    <row r="87" spans="1:10" x14ac:dyDescent="0.25">
      <c r="A87" s="1036"/>
      <c r="B87" s="1032" t="s">
        <v>33</v>
      </c>
      <c r="C87" s="1033"/>
      <c r="D87" s="39">
        <f>+D62+D65+D68+D71+D77+D80+D83+D86</f>
        <v>19299200</v>
      </c>
      <c r="E87" s="39">
        <f t="shared" ref="E87:G87" si="26">+E62+E65+E68+E71+E77+E80+E83+E86</f>
        <v>15030800</v>
      </c>
      <c r="F87" s="39">
        <f t="shared" si="26"/>
        <v>6131500</v>
      </c>
      <c r="G87" s="39">
        <f t="shared" si="26"/>
        <v>375600</v>
      </c>
      <c r="H87" s="39">
        <f>+H62+H65+H68+H71+H77+H80+H83+H86</f>
        <v>10298700</v>
      </c>
      <c r="I87" s="39">
        <f>+I62+I65+I68+I71+I77+I80+I83+I86</f>
        <v>40837100</v>
      </c>
      <c r="J87" s="39">
        <f>+J62+J65+J68+J71+J77+J80+J83+J86</f>
        <v>51135800</v>
      </c>
    </row>
    <row r="88" spans="1:10" x14ac:dyDescent="0.25">
      <c r="A88" s="1034" t="str">
        <f>+'B) Reajuste Tarifas y Ocupación'!A32</f>
        <v>Piscina</v>
      </c>
      <c r="B88" s="1037" t="str">
        <f>+'B) Reajuste Tarifas y Ocupación'!B32</f>
        <v>Piscina Adulto</v>
      </c>
      <c r="C88" s="24" t="s">
        <v>355</v>
      </c>
      <c r="D88" s="1040"/>
      <c r="E88" s="33">
        <f>+'B) Reajuste Tarifas y Ocupación'!K32</f>
        <v>6400</v>
      </c>
      <c r="F88" s="33">
        <f>+'B) Reajuste Tarifas y Ocupación'!L32</f>
        <v>7700</v>
      </c>
      <c r="G88" s="33">
        <f>+'B) Reajuste Tarifas y Ocupación'!M32</f>
        <v>8000</v>
      </c>
      <c r="H88" s="1042"/>
      <c r="I88" s="1042"/>
      <c r="J88" s="1030"/>
    </row>
    <row r="89" spans="1:10" x14ac:dyDescent="0.25">
      <c r="A89" s="1035"/>
      <c r="B89" s="1038"/>
      <c r="C89" s="24" t="s">
        <v>31</v>
      </c>
      <c r="D89" s="1041"/>
      <c r="E89" s="27">
        <f>+'B) Reajuste Tarifas y Ocupación'!V32</f>
        <v>205</v>
      </c>
      <c r="F89" s="27">
        <f>+'B) Reajuste Tarifas y Ocupación'!W32</f>
        <v>66</v>
      </c>
      <c r="G89" s="27">
        <f>+'B) Reajuste Tarifas y Ocupación'!X32</f>
        <v>0</v>
      </c>
      <c r="H89" s="1043"/>
      <c r="I89" s="1043"/>
      <c r="J89" s="1044"/>
    </row>
    <row r="90" spans="1:10" x14ac:dyDescent="0.25">
      <c r="A90" s="1035"/>
      <c r="B90" s="1039"/>
      <c r="C90" s="29" t="s">
        <v>32</v>
      </c>
      <c r="D90" s="37"/>
      <c r="E90" s="30">
        <f>E89*E88</f>
        <v>1312000</v>
      </c>
      <c r="F90" s="30">
        <f t="shared" ref="F90:G90" si="27">F89*F88</f>
        <v>508200</v>
      </c>
      <c r="G90" s="30">
        <f t="shared" si="27"/>
        <v>0</v>
      </c>
      <c r="H90" s="31">
        <f>(E88-D88)*D89</f>
        <v>0</v>
      </c>
      <c r="I90" s="31">
        <f>SUM(D90:G90)</f>
        <v>1820200</v>
      </c>
      <c r="J90" s="31">
        <f>H90+I90</f>
        <v>1820200</v>
      </c>
    </row>
    <row r="91" spans="1:10" x14ac:dyDescent="0.25">
      <c r="A91" s="1035"/>
      <c r="B91" s="1037" t="str">
        <f>+'B) Reajuste Tarifas y Ocupación'!B33</f>
        <v>Piscina Niños</v>
      </c>
      <c r="C91" s="24" t="s">
        <v>355</v>
      </c>
      <c r="D91" s="1040"/>
      <c r="E91" s="33">
        <f>+'B) Reajuste Tarifas y Ocupación'!K33</f>
        <v>4100</v>
      </c>
      <c r="F91" s="33">
        <f>+'B) Reajuste Tarifas y Ocupación'!L33</f>
        <v>5000</v>
      </c>
      <c r="G91" s="33">
        <f>+'B) Reajuste Tarifas y Ocupación'!M33</f>
        <v>5200</v>
      </c>
      <c r="H91" s="1042"/>
      <c r="I91" s="1042"/>
      <c r="J91" s="1030"/>
    </row>
    <row r="92" spans="1:10" x14ac:dyDescent="0.25">
      <c r="A92" s="1035"/>
      <c r="B92" s="1038"/>
      <c r="C92" s="24" t="s">
        <v>31</v>
      </c>
      <c r="D92" s="1041"/>
      <c r="E92" s="34">
        <f>+'B) Reajuste Tarifas y Ocupación'!V33</f>
        <v>197</v>
      </c>
      <c r="F92" s="34">
        <f>+'B) Reajuste Tarifas y Ocupación'!W33</f>
        <v>58</v>
      </c>
      <c r="G92" s="34">
        <f>+'B) Reajuste Tarifas y Ocupación'!X33</f>
        <v>0</v>
      </c>
      <c r="H92" s="1045"/>
      <c r="I92" s="1045"/>
      <c r="J92" s="1031"/>
    </row>
    <row r="93" spans="1:10" x14ac:dyDescent="0.25">
      <c r="A93" s="1035"/>
      <c r="B93" s="1039"/>
      <c r="C93" s="29" t="s">
        <v>32</v>
      </c>
      <c r="D93" s="37"/>
      <c r="E93" s="30">
        <f t="shared" ref="E93:G93" si="28">E92*E91</f>
        <v>807700</v>
      </c>
      <c r="F93" s="30">
        <f t="shared" si="28"/>
        <v>290000</v>
      </c>
      <c r="G93" s="30">
        <f t="shared" si="28"/>
        <v>0</v>
      </c>
      <c r="H93" s="31">
        <f>(E91-D91)*D92</f>
        <v>0</v>
      </c>
      <c r="I93" s="31">
        <f>SUM(D93:G93)</f>
        <v>1097700</v>
      </c>
      <c r="J93" s="31">
        <f>H93+I93</f>
        <v>1097700</v>
      </c>
    </row>
    <row r="94" spans="1:10" x14ac:dyDescent="0.25">
      <c r="A94" s="1036"/>
      <c r="B94" s="1032" t="s">
        <v>33</v>
      </c>
      <c r="C94" s="1033"/>
      <c r="D94" s="39">
        <f>+D90+D93</f>
        <v>0</v>
      </c>
      <c r="E94" s="39">
        <f t="shared" ref="E94:J94" si="29">+E90+E93</f>
        <v>2119700</v>
      </c>
      <c r="F94" s="39">
        <f t="shared" si="29"/>
        <v>798200</v>
      </c>
      <c r="G94" s="39">
        <f t="shared" si="29"/>
        <v>0</v>
      </c>
      <c r="H94" s="39">
        <f>+H90+H93</f>
        <v>0</v>
      </c>
      <c r="I94" s="39">
        <f>+I90+I93</f>
        <v>2917900</v>
      </c>
      <c r="J94" s="39">
        <f t="shared" si="29"/>
        <v>2917900</v>
      </c>
    </row>
  </sheetData>
  <sheetProtection formatCells="0"/>
  <mergeCells count="122">
    <mergeCell ref="C4:D4"/>
    <mergeCell ref="E4:F4"/>
    <mergeCell ref="A6:D6"/>
    <mergeCell ref="A21:D21"/>
    <mergeCell ref="A23:A24"/>
    <mergeCell ref="B23:B24"/>
    <mergeCell ref="C23:C24"/>
    <mergeCell ref="D23:G23"/>
    <mergeCell ref="I28:I29"/>
    <mergeCell ref="E34:E35"/>
    <mergeCell ref="F34:F35"/>
    <mergeCell ref="G34:G35"/>
    <mergeCell ref="J28:J29"/>
    <mergeCell ref="B31:B33"/>
    <mergeCell ref="H31:H32"/>
    <mergeCell ref="I31:I32"/>
    <mergeCell ref="J31:J32"/>
    <mergeCell ref="H23:H24"/>
    <mergeCell ref="I23:I24"/>
    <mergeCell ref="J23:J24"/>
    <mergeCell ref="B25:B27"/>
    <mergeCell ref="H25:H26"/>
    <mergeCell ref="I25:I26"/>
    <mergeCell ref="J25:J26"/>
    <mergeCell ref="B28:B30"/>
    <mergeCell ref="H28:H29"/>
    <mergeCell ref="I66:I67"/>
    <mergeCell ref="B46:C46"/>
    <mergeCell ref="A25:A46"/>
    <mergeCell ref="B40:B42"/>
    <mergeCell ref="D40:D41"/>
    <mergeCell ref="H40:H41"/>
    <mergeCell ref="I40:I41"/>
    <mergeCell ref="J40:J41"/>
    <mergeCell ref="B43:B45"/>
    <mergeCell ref="D43:D44"/>
    <mergeCell ref="H43:H44"/>
    <mergeCell ref="I43:I44"/>
    <mergeCell ref="J43:J44"/>
    <mergeCell ref="H34:H35"/>
    <mergeCell ref="I34:I35"/>
    <mergeCell ref="J34:J35"/>
    <mergeCell ref="B37:B39"/>
    <mergeCell ref="D37:D38"/>
    <mergeCell ref="H37:H38"/>
    <mergeCell ref="I37:I38"/>
    <mergeCell ref="J37:J38"/>
    <mergeCell ref="B34:B36"/>
    <mergeCell ref="C34:C35"/>
    <mergeCell ref="D34:D35"/>
    <mergeCell ref="G72:G73"/>
    <mergeCell ref="J50:J51"/>
    <mergeCell ref="B59:C59"/>
    <mergeCell ref="A60:A87"/>
    <mergeCell ref="B60:B62"/>
    <mergeCell ref="H60:H61"/>
    <mergeCell ref="I60:I61"/>
    <mergeCell ref="J60:J61"/>
    <mergeCell ref="B63:B65"/>
    <mergeCell ref="H63:H64"/>
    <mergeCell ref="I63:I64"/>
    <mergeCell ref="A47:A59"/>
    <mergeCell ref="B47:B49"/>
    <mergeCell ref="D47:D48"/>
    <mergeCell ref="H47:H48"/>
    <mergeCell ref="I47:I48"/>
    <mergeCell ref="J47:J48"/>
    <mergeCell ref="B50:B52"/>
    <mergeCell ref="D50:D51"/>
    <mergeCell ref="H50:H51"/>
    <mergeCell ref="I50:I51"/>
    <mergeCell ref="J63:J64"/>
    <mergeCell ref="B66:B68"/>
    <mergeCell ref="H66:H67"/>
    <mergeCell ref="J78:J79"/>
    <mergeCell ref="B81:B83"/>
    <mergeCell ref="D81:D82"/>
    <mergeCell ref="H81:H82"/>
    <mergeCell ref="I81:I82"/>
    <mergeCell ref="J81:J82"/>
    <mergeCell ref="J66:J67"/>
    <mergeCell ref="B69:B71"/>
    <mergeCell ref="H69:H70"/>
    <mergeCell ref="I69:I70"/>
    <mergeCell ref="J69:J70"/>
    <mergeCell ref="H72:H73"/>
    <mergeCell ref="I72:I73"/>
    <mergeCell ref="J72:J73"/>
    <mergeCell ref="B75:B77"/>
    <mergeCell ref="D75:D76"/>
    <mergeCell ref="H75:H76"/>
    <mergeCell ref="I75:I76"/>
    <mergeCell ref="J75:J76"/>
    <mergeCell ref="B72:B74"/>
    <mergeCell ref="C72:C73"/>
    <mergeCell ref="D72:D73"/>
    <mergeCell ref="E72:E73"/>
    <mergeCell ref="F72:F73"/>
    <mergeCell ref="B53:B55"/>
    <mergeCell ref="B56:B58"/>
    <mergeCell ref="J91:J92"/>
    <mergeCell ref="B94:C94"/>
    <mergeCell ref="A88:A94"/>
    <mergeCell ref="B88:B90"/>
    <mergeCell ref="D88:D89"/>
    <mergeCell ref="H88:H89"/>
    <mergeCell ref="I88:I89"/>
    <mergeCell ref="J88:J89"/>
    <mergeCell ref="B91:B93"/>
    <mergeCell ref="D91:D92"/>
    <mergeCell ref="H91:H92"/>
    <mergeCell ref="I91:I92"/>
    <mergeCell ref="B84:B86"/>
    <mergeCell ref="D84:D85"/>
    <mergeCell ref="H84:H85"/>
    <mergeCell ref="I84:I85"/>
    <mergeCell ref="J84:J85"/>
    <mergeCell ref="B87:C87"/>
    <mergeCell ref="B78:B80"/>
    <mergeCell ref="D78:D79"/>
    <mergeCell ref="H78:H79"/>
    <mergeCell ref="I78:I79"/>
  </mergeCells>
  <conditionalFormatting sqref="B9:M13">
    <cfRule type="cellIs" dxfId="11" priority="6" stopIfTrue="1" operator="lessThan">
      <formula>0</formula>
    </cfRule>
  </conditionalFormatting>
  <conditionalFormatting sqref="C14:L14 C15:E16 I15:I16 D18:L20 E21:L21">
    <cfRule type="cellIs" dxfId="10" priority="11" stopIfTrue="1" operator="lessThan">
      <formula>0</formula>
    </cfRule>
  </conditionalFormatting>
  <conditionalFormatting sqref="K16:M16 C17:N17">
    <cfRule type="cellIs" dxfId="9" priority="9" stopIfTrue="1" operator="lessThan">
      <formula>0</formula>
    </cfRule>
  </conditionalFormatting>
  <conditionalFormatting sqref="M19:N19">
    <cfRule type="cellIs" dxfId="8" priority="2" operator="greaterThan">
      <formula>0</formula>
    </cfRule>
  </conditionalFormatting>
  <conditionalFormatting sqref="N9:N13 M9:M14">
    <cfRule type="cellIs" dxfId="7" priority="1" operator="lessThan">
      <formula>0</formula>
    </cfRule>
  </conditionalFormatting>
  <conditionalFormatting sqref="N14">
    <cfRule type="cellIs" dxfId="6" priority="3" operator="greaterThan">
      <formula>0</formula>
    </cfRule>
  </conditionalFormatting>
  <hyperlinks>
    <hyperlink ref="A6:D6" location="'Índice Tablas'!A1" display="TABLA 1: RESUMEN DE INGRESOS Y EGRESOS DE CENTROS DE BENEFICIOS" xr:uid="{00000000-0004-0000-0200-000000000000}"/>
    <hyperlink ref="A21:D21" location="'Índice Tablas'!A1" display="TABLA 2: DETALLE DE INGRESOS POR PRESTACIÓN Y SEGMENTO" xr:uid="{00000000-0004-0000-0200-000001000000}"/>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A1:AB59"/>
  <sheetViews>
    <sheetView showGridLines="0" topLeftCell="K1" zoomScale="90" zoomScaleNormal="90" workbookViewId="0">
      <selection activeCell="AB27" sqref="AB27"/>
    </sheetView>
  </sheetViews>
  <sheetFormatPr baseColWidth="10" defaultRowHeight="15" x14ac:dyDescent="0.25"/>
  <cols>
    <col min="1" max="1" width="28" customWidth="1"/>
    <col min="2" max="2" width="53.42578125" bestFit="1" customWidth="1"/>
    <col min="3" max="3" width="14.85546875" customWidth="1"/>
    <col min="4" max="4" width="13.5703125" bestFit="1" customWidth="1"/>
    <col min="5" max="6" width="13.7109375" customWidth="1"/>
    <col min="7" max="7" width="12.42578125" bestFit="1" customWidth="1"/>
    <col min="8" max="8" width="13.5703125" customWidth="1"/>
    <col min="9" max="9" width="15.28515625" customWidth="1"/>
    <col min="10" max="10" width="11.28515625" customWidth="1"/>
    <col min="11" max="11" width="13.5703125" bestFit="1" customWidth="1"/>
    <col min="12" max="14" width="13.5703125" customWidth="1"/>
    <col min="15" max="18" width="11.85546875" customWidth="1"/>
    <col min="19" max="19" width="33.85546875" customWidth="1"/>
    <col min="20" max="20" width="53.42578125" bestFit="1" customWidth="1"/>
    <col min="22" max="24" width="13.5703125" bestFit="1" customWidth="1"/>
    <col min="28" max="28" width="11.85546875" bestFit="1" customWidth="1"/>
  </cols>
  <sheetData>
    <row r="1" spans="1:28" x14ac:dyDescent="0.25">
      <c r="A1" s="935"/>
      <c r="B1" s="936"/>
      <c r="C1" s="936"/>
      <c r="D1" s="936"/>
      <c r="E1" s="936"/>
      <c r="F1" s="937"/>
      <c r="G1" s="936"/>
      <c r="H1" s="936"/>
      <c r="I1" s="936"/>
      <c r="J1" s="936"/>
      <c r="K1" s="935"/>
      <c r="L1" s="936"/>
      <c r="M1" s="936"/>
      <c r="N1" s="936"/>
      <c r="O1" s="936"/>
      <c r="P1" s="936"/>
      <c r="Q1" s="936"/>
      <c r="R1" s="936"/>
      <c r="S1" s="936"/>
      <c r="T1" s="936"/>
      <c r="U1" s="936"/>
      <c r="V1" s="936"/>
      <c r="W1" s="936"/>
      <c r="X1" s="936"/>
      <c r="Y1" s="936"/>
    </row>
    <row r="2" spans="1:28" x14ac:dyDescent="0.25">
      <c r="A2" s="938"/>
      <c r="B2" s="936"/>
      <c r="C2" s="936"/>
      <c r="D2" s="936"/>
      <c r="E2" s="936"/>
      <c r="F2" s="937" t="s">
        <v>34</v>
      </c>
      <c r="G2" s="936"/>
      <c r="H2" s="936"/>
      <c r="I2" s="936"/>
      <c r="J2" s="936"/>
      <c r="K2" s="938"/>
      <c r="L2" s="936"/>
      <c r="M2" s="936"/>
      <c r="N2" s="936"/>
      <c r="O2" s="936"/>
      <c r="P2" s="936"/>
      <c r="Q2" s="936"/>
      <c r="R2" s="936"/>
      <c r="S2" s="936"/>
      <c r="T2" s="936"/>
      <c r="U2" s="936"/>
      <c r="V2" s="936"/>
      <c r="W2" s="936"/>
      <c r="X2" s="936"/>
      <c r="Y2" s="936"/>
    </row>
    <row r="3" spans="1:28" x14ac:dyDescent="0.25">
      <c r="A3" s="5"/>
      <c r="B3" s="936"/>
      <c r="C3" s="936"/>
      <c r="D3" s="936"/>
      <c r="E3" s="936"/>
      <c r="F3" s="936"/>
      <c r="G3" s="936"/>
      <c r="H3" s="936"/>
      <c r="I3" s="936"/>
      <c r="J3" s="936"/>
      <c r="K3" s="5"/>
      <c r="L3" s="939"/>
      <c r="M3" s="936"/>
      <c r="N3" s="936"/>
      <c r="O3" s="936"/>
      <c r="P3" s="936"/>
      <c r="Q3" s="936"/>
      <c r="R3" s="936"/>
      <c r="S3" s="936"/>
      <c r="T3" s="936"/>
      <c r="U3" s="936"/>
      <c r="V3" s="936"/>
      <c r="W3" s="936"/>
      <c r="X3" s="936"/>
      <c r="Y3" s="936"/>
    </row>
    <row r="4" spans="1:28" ht="15.75" thickBot="1" x14ac:dyDescent="0.3">
      <c r="A4" s="5"/>
      <c r="B4" s="940"/>
      <c r="C4" s="940"/>
      <c r="D4" s="936"/>
      <c r="E4" s="936"/>
      <c r="F4" s="936"/>
      <c r="G4" s="936"/>
      <c r="H4" s="936"/>
      <c r="I4" s="936"/>
      <c r="J4" s="936"/>
      <c r="K4" s="5"/>
      <c r="L4" s="940"/>
      <c r="M4" s="936"/>
      <c r="N4" s="936"/>
      <c r="O4" s="936"/>
      <c r="P4" s="936"/>
      <c r="Q4" s="936"/>
      <c r="R4" s="936"/>
      <c r="S4" s="936"/>
      <c r="T4" s="936"/>
      <c r="U4" s="936"/>
      <c r="V4" s="936"/>
      <c r="W4" s="936"/>
      <c r="X4" s="936"/>
      <c r="Y4" s="936"/>
    </row>
    <row r="5" spans="1:28" ht="15.75" thickBot="1" x14ac:dyDescent="0.3">
      <c r="A5" s="5"/>
      <c r="B5" s="940"/>
      <c r="C5" s="940"/>
      <c r="D5" s="1131" t="s">
        <v>1</v>
      </c>
      <c r="E5" s="1132"/>
      <c r="F5" s="1133" t="s">
        <v>35</v>
      </c>
      <c r="G5" s="1134"/>
      <c r="H5" s="937"/>
      <c r="I5" s="937"/>
      <c r="J5" s="937"/>
      <c r="K5" s="5"/>
      <c r="L5" s="939"/>
      <c r="M5" s="936"/>
      <c r="N5" s="936"/>
      <c r="O5" s="936"/>
      <c r="P5" s="936"/>
      <c r="Q5" s="936"/>
      <c r="R5" s="936"/>
      <c r="S5" s="7"/>
      <c r="T5" s="936"/>
      <c r="U5" s="936"/>
      <c r="V5" s="936"/>
      <c r="W5" s="936"/>
      <c r="X5" s="936"/>
      <c r="Y5" s="936"/>
    </row>
    <row r="6" spans="1:28" x14ac:dyDescent="0.25">
      <c r="A6" s="5"/>
      <c r="B6" s="940"/>
      <c r="C6" s="940"/>
      <c r="D6" s="941"/>
      <c r="E6" s="941"/>
      <c r="F6" s="937"/>
      <c r="G6" s="937"/>
      <c r="H6" s="937"/>
      <c r="I6" s="937"/>
      <c r="J6" s="937"/>
      <c r="K6" s="5"/>
      <c r="L6" s="940"/>
      <c r="M6" s="936"/>
      <c r="N6" s="936"/>
      <c r="O6" s="936"/>
      <c r="P6" s="936"/>
      <c r="Q6" s="936"/>
      <c r="R6" s="936"/>
      <c r="S6" s="7"/>
      <c r="T6" s="936"/>
      <c r="U6" s="936"/>
      <c r="V6" s="936"/>
      <c r="W6" s="936"/>
      <c r="X6" s="936"/>
      <c r="Y6" s="936"/>
    </row>
    <row r="7" spans="1:28" x14ac:dyDescent="0.25">
      <c r="A7" s="5"/>
      <c r="B7" s="940"/>
      <c r="C7" s="940"/>
      <c r="D7" s="941"/>
      <c r="E7" s="941"/>
      <c r="F7" s="937"/>
      <c r="G7" s="937"/>
      <c r="H7" s="937"/>
      <c r="I7" s="937"/>
      <c r="J7" s="937"/>
      <c r="K7" s="5"/>
      <c r="L7" s="940"/>
      <c r="M7" s="936"/>
      <c r="N7" s="936"/>
      <c r="O7" s="936"/>
      <c r="P7" s="936"/>
      <c r="Q7" s="936"/>
      <c r="R7" s="936"/>
      <c r="S7" s="41"/>
      <c r="T7" s="936"/>
      <c r="U7" s="936"/>
      <c r="V7" s="936"/>
      <c r="W7" s="936"/>
      <c r="X7" s="936"/>
      <c r="Y7" s="936"/>
    </row>
    <row r="8" spans="1:28" x14ac:dyDescent="0.25">
      <c r="A8" s="1111" t="s">
        <v>36</v>
      </c>
      <c r="B8" s="1111"/>
      <c r="C8" s="1111"/>
      <c r="D8" s="942"/>
      <c r="E8" s="937"/>
      <c r="F8" s="937"/>
      <c r="G8" s="936"/>
      <c r="H8" s="936"/>
      <c r="I8" s="936"/>
      <c r="J8" s="936"/>
      <c r="K8" s="936"/>
      <c r="L8" s="936"/>
      <c r="M8" s="936"/>
      <c r="N8" s="936"/>
      <c r="O8" s="936"/>
      <c r="P8" s="936"/>
      <c r="Q8" s="936"/>
      <c r="R8" s="936"/>
      <c r="S8" s="1111" t="s">
        <v>37</v>
      </c>
      <c r="T8" s="1111"/>
      <c r="U8" s="1111"/>
      <c r="V8" s="42"/>
      <c r="W8" s="936"/>
      <c r="X8" s="936"/>
      <c r="Y8" s="936"/>
    </row>
    <row r="9" spans="1:28" ht="15.75" thickBot="1" x14ac:dyDescent="0.3"/>
    <row r="10" spans="1:28" ht="16.5" customHeight="1" thickBot="1" x14ac:dyDescent="0.3">
      <c r="A10" s="1112" t="s">
        <v>3</v>
      </c>
      <c r="B10" s="1114" t="s">
        <v>23</v>
      </c>
      <c r="C10" s="1116" t="s">
        <v>326</v>
      </c>
      <c r="D10" s="1117"/>
      <c r="E10" s="1117"/>
      <c r="F10" s="1118"/>
      <c r="G10" s="1119" t="s">
        <v>38</v>
      </c>
      <c r="H10" s="1120"/>
      <c r="I10" s="1121"/>
      <c r="J10" s="1116" t="s">
        <v>347</v>
      </c>
      <c r="K10" s="1117"/>
      <c r="L10" s="1117"/>
      <c r="M10" s="1118"/>
      <c r="N10" s="1108" t="s">
        <v>343</v>
      </c>
      <c r="O10" s="1109"/>
      <c r="P10" s="1109"/>
      <c r="Q10" s="1110"/>
      <c r="R10" s="943"/>
      <c r="S10" s="1122" t="s">
        <v>22</v>
      </c>
      <c r="T10" s="1124" t="s">
        <v>23</v>
      </c>
      <c r="U10" s="1126" t="s">
        <v>323</v>
      </c>
      <c r="V10" s="1127"/>
      <c r="W10" s="1127"/>
      <c r="X10" s="1128"/>
      <c r="Y10" s="1096" t="s">
        <v>39</v>
      </c>
    </row>
    <row r="11" spans="1:28" ht="29.25" customHeight="1" thickBot="1" x14ac:dyDescent="0.3">
      <c r="A11" s="1113"/>
      <c r="B11" s="1115"/>
      <c r="C11" s="944" t="s">
        <v>40</v>
      </c>
      <c r="D11" s="945" t="s">
        <v>28</v>
      </c>
      <c r="E11" s="945" t="s">
        <v>29</v>
      </c>
      <c r="F11" s="946" t="s">
        <v>30</v>
      </c>
      <c r="G11" s="947" t="s">
        <v>28</v>
      </c>
      <c r="H11" s="948" t="s">
        <v>29</v>
      </c>
      <c r="I11" s="949" t="s">
        <v>30</v>
      </c>
      <c r="J11" s="944" t="s">
        <v>40</v>
      </c>
      <c r="K11" s="945" t="s">
        <v>28</v>
      </c>
      <c r="L11" s="945" t="s">
        <v>29</v>
      </c>
      <c r="M11" s="946" t="s">
        <v>30</v>
      </c>
      <c r="N11" s="950" t="s">
        <v>40</v>
      </c>
      <c r="O11" s="951" t="s">
        <v>344</v>
      </c>
      <c r="P11" s="951" t="s">
        <v>345</v>
      </c>
      <c r="Q11" s="952" t="s">
        <v>346</v>
      </c>
      <c r="R11" s="943"/>
      <c r="S11" s="1123"/>
      <c r="T11" s="1125"/>
      <c r="U11" s="953" t="s">
        <v>27</v>
      </c>
      <c r="V11" s="954" t="s">
        <v>28</v>
      </c>
      <c r="W11" s="954" t="s">
        <v>29</v>
      </c>
      <c r="X11" s="955" t="s">
        <v>30</v>
      </c>
      <c r="Y11" s="1097"/>
    </row>
    <row r="12" spans="1:28" x14ac:dyDescent="0.25">
      <c r="A12" s="1074" t="s">
        <v>42</v>
      </c>
      <c r="B12" s="46" t="s">
        <v>43</v>
      </c>
      <c r="C12" s="47">
        <v>35400</v>
      </c>
      <c r="D12" s="48">
        <v>54400</v>
      </c>
      <c r="E12" s="48">
        <v>64800</v>
      </c>
      <c r="F12" s="49">
        <v>67900</v>
      </c>
      <c r="G12" s="989">
        <v>4.4999999999999998E-2</v>
      </c>
      <c r="H12" s="990">
        <v>4.4999999999999998E-2</v>
      </c>
      <c r="I12" s="991">
        <v>4.4999999999999998E-2</v>
      </c>
      <c r="J12" s="50">
        <f>IF(OR(C12=0,C12=""),0,CEILING(K12*0.65,100))</f>
        <v>37000</v>
      </c>
      <c r="K12" s="48">
        <f>CEILING($D12*(1+$G12),100)</f>
        <v>56900</v>
      </c>
      <c r="L12" s="48">
        <f>CEILING($E12*(1+$H12),100)</f>
        <v>67800</v>
      </c>
      <c r="M12" s="49">
        <f>CEILING($F12*(1+$I12),100)</f>
        <v>71000</v>
      </c>
      <c r="N12" s="713">
        <f>J12-C12</f>
        <v>1600</v>
      </c>
      <c r="O12" s="671">
        <f t="shared" ref="O12:Q12" si="0">K12-D12</f>
        <v>2500</v>
      </c>
      <c r="P12" s="671">
        <f t="shared" si="0"/>
        <v>3000</v>
      </c>
      <c r="Q12" s="864">
        <f t="shared" si="0"/>
        <v>3100</v>
      </c>
      <c r="R12" s="51"/>
      <c r="S12" s="1072" t="str">
        <f>+A12</f>
        <v>C. H. Hanga Roa</v>
      </c>
      <c r="T12" s="924" t="str">
        <f>+B12</f>
        <v>Simple</v>
      </c>
      <c r="U12" s="52">
        <v>105</v>
      </c>
      <c r="V12" s="53">
        <v>40</v>
      </c>
      <c r="W12" s="53">
        <v>21</v>
      </c>
      <c r="X12" s="54">
        <v>0</v>
      </c>
      <c r="Y12" s="956">
        <f>SUM(U12:X12)</f>
        <v>166</v>
      </c>
      <c r="Z12" s="1021">
        <f>+Y12</f>
        <v>166</v>
      </c>
    </row>
    <row r="13" spans="1:28" x14ac:dyDescent="0.25">
      <c r="A13" s="1075"/>
      <c r="B13" s="55" t="s">
        <v>44</v>
      </c>
      <c r="C13" s="56">
        <v>52600</v>
      </c>
      <c r="D13" s="57">
        <v>80800</v>
      </c>
      <c r="E13" s="57">
        <v>96100</v>
      </c>
      <c r="F13" s="58">
        <v>100700</v>
      </c>
      <c r="G13" s="992">
        <v>4.4999999999999998E-2</v>
      </c>
      <c r="H13" s="993">
        <v>4.4999999999999998E-2</v>
      </c>
      <c r="I13" s="994">
        <v>4.4999999999999998E-2</v>
      </c>
      <c r="J13" s="59">
        <f t="shared" ref="J13:J26" si="1">IF(OR(C13=0,C13=""),0,CEILING(K13*0.65,100))</f>
        <v>55000</v>
      </c>
      <c r="K13" s="57">
        <f t="shared" ref="K13:K34" si="2">CEILING($D13*(1+$G13),100)</f>
        <v>84500</v>
      </c>
      <c r="L13" s="57">
        <f t="shared" ref="L13:L33" si="3">CEILING($E13*(1+$H13),100)</f>
        <v>100500</v>
      </c>
      <c r="M13" s="58">
        <f>CEILING($F13*(1+$I13),100)</f>
        <v>105300</v>
      </c>
      <c r="N13" s="897">
        <f t="shared" ref="N13:N26" si="4">J13-C13</f>
        <v>2400</v>
      </c>
      <c r="O13" s="898">
        <f t="shared" ref="O13:O33" si="5">K13-D13</f>
        <v>3700</v>
      </c>
      <c r="P13" s="898">
        <f t="shared" ref="P13:P33" si="6">L13-E13</f>
        <v>4400</v>
      </c>
      <c r="Q13" s="899">
        <f t="shared" ref="Q13:Q33" si="7">M13-F13</f>
        <v>4600</v>
      </c>
      <c r="S13" s="1077"/>
      <c r="T13" s="925" t="str">
        <f>+B13</f>
        <v>Doble (Cama Matrimonial + cama plaza 1 1/2)</v>
      </c>
      <c r="U13" s="52">
        <v>162</v>
      </c>
      <c r="V13" s="53">
        <v>45</v>
      </c>
      <c r="W13" s="53">
        <v>23</v>
      </c>
      <c r="X13" s="54">
        <v>1</v>
      </c>
      <c r="Y13" s="957">
        <f>SUM(U13:X13)</f>
        <v>231</v>
      </c>
      <c r="Z13">
        <f>+Y13*2</f>
        <v>462</v>
      </c>
      <c r="AB13" s="719"/>
    </row>
    <row r="14" spans="1:28" x14ac:dyDescent="0.25">
      <c r="A14" s="1075"/>
      <c r="B14" s="55" t="s">
        <v>45</v>
      </c>
      <c r="C14" s="56">
        <v>48400</v>
      </c>
      <c r="D14" s="57">
        <v>74400</v>
      </c>
      <c r="E14" s="57">
        <v>88500</v>
      </c>
      <c r="F14" s="58">
        <v>92700</v>
      </c>
      <c r="G14" s="992">
        <v>4.4999999999999998E-2</v>
      </c>
      <c r="H14" s="993">
        <v>4.4999999999999998E-2</v>
      </c>
      <c r="I14" s="994">
        <v>4.4999999999999998E-2</v>
      </c>
      <c r="J14" s="59">
        <f>IF(OR(C14=0,C14=""),0,CEILING(K14*0.65,100))</f>
        <v>50600</v>
      </c>
      <c r="K14" s="57">
        <f>CEILING($D14*(1+$G14),100)</f>
        <v>77800</v>
      </c>
      <c r="L14" s="57">
        <f t="shared" si="3"/>
        <v>92500</v>
      </c>
      <c r="M14" s="58">
        <f t="shared" ref="M14:M33" si="8">CEILING($F14*(1+$I14),100)</f>
        <v>96900</v>
      </c>
      <c r="N14" s="897">
        <f t="shared" si="4"/>
        <v>2200</v>
      </c>
      <c r="O14" s="898">
        <f t="shared" si="5"/>
        <v>3400</v>
      </c>
      <c r="P14" s="898">
        <f t="shared" si="6"/>
        <v>4000</v>
      </c>
      <c r="Q14" s="899">
        <f t="shared" si="7"/>
        <v>4200</v>
      </c>
      <c r="S14" s="1077"/>
      <c r="T14" s="925" t="str">
        <f>+B14</f>
        <v>Matrimonial</v>
      </c>
      <c r="U14" s="52">
        <v>300</v>
      </c>
      <c r="V14" s="53">
        <v>61</v>
      </c>
      <c r="W14" s="53">
        <v>30</v>
      </c>
      <c r="X14" s="54">
        <v>4</v>
      </c>
      <c r="Y14" s="957">
        <f t="shared" ref="Y14:Y18" si="9">SUM(U14:X14)</f>
        <v>395</v>
      </c>
      <c r="Z14">
        <f>+Y14*2</f>
        <v>790</v>
      </c>
      <c r="AB14" s="719"/>
    </row>
    <row r="15" spans="1:28" x14ac:dyDescent="0.25">
      <c r="A15" s="1075"/>
      <c r="B15" s="958" t="s">
        <v>46</v>
      </c>
      <c r="C15" s="1078"/>
      <c r="D15" s="1079"/>
      <c r="E15" s="1079"/>
      <c r="F15" s="1080"/>
      <c r="G15" s="1099"/>
      <c r="H15" s="1100"/>
      <c r="I15" s="1101"/>
      <c r="J15" s="1102"/>
      <c r="K15" s="1103"/>
      <c r="L15" s="1103"/>
      <c r="M15" s="1104"/>
      <c r="N15" s="1093"/>
      <c r="O15" s="1094"/>
      <c r="P15" s="1094"/>
      <c r="Q15" s="1095"/>
      <c r="S15" s="1077"/>
      <c r="T15" s="959" t="str">
        <f t="shared" ref="T15:T31" si="10">+B15</f>
        <v>Early check in/Late check out/Uso por tránsito</v>
      </c>
      <c r="U15" s="1105"/>
      <c r="V15" s="1106"/>
      <c r="W15" s="1106"/>
      <c r="X15" s="1107"/>
      <c r="Y15" s="960"/>
      <c r="Z15" s="1022">
        <f>SUM(Z12:Z14)</f>
        <v>1418</v>
      </c>
      <c r="AA15">
        <v>3476</v>
      </c>
      <c r="AB15" s="719">
        <f>+Z15*AA15</f>
        <v>4928968</v>
      </c>
    </row>
    <row r="16" spans="1:28" x14ac:dyDescent="0.25">
      <c r="A16" s="1075"/>
      <c r="B16" s="61" t="s">
        <v>43</v>
      </c>
      <c r="C16" s="62"/>
      <c r="D16" s="63">
        <v>16400</v>
      </c>
      <c r="E16" s="63">
        <v>19500</v>
      </c>
      <c r="F16" s="64">
        <v>20400</v>
      </c>
      <c r="G16" s="879"/>
      <c r="H16" s="880"/>
      <c r="I16" s="881"/>
      <c r="J16" s="65"/>
      <c r="K16" s="57">
        <f>CEILING(K12*0.3,100)</f>
        <v>17100</v>
      </c>
      <c r="L16" s="57">
        <f t="shared" ref="L16:M16" si="11">CEILING(L12*0.3,100)</f>
        <v>20400</v>
      </c>
      <c r="M16" s="58">
        <f t="shared" si="11"/>
        <v>21300</v>
      </c>
      <c r="N16" s="900"/>
      <c r="O16" s="898">
        <f t="shared" si="5"/>
        <v>700</v>
      </c>
      <c r="P16" s="898">
        <f t="shared" si="6"/>
        <v>900</v>
      </c>
      <c r="Q16" s="899">
        <f t="shared" si="7"/>
        <v>900</v>
      </c>
      <c r="S16" s="1077"/>
      <c r="T16" s="926" t="str">
        <f t="shared" si="10"/>
        <v>Simple</v>
      </c>
      <c r="U16" s="66"/>
      <c r="V16" s="53">
        <v>5</v>
      </c>
      <c r="W16" s="53"/>
      <c r="X16" s="54"/>
      <c r="Y16" s="957">
        <f t="shared" ref="Y16" si="12">SUM(U16:X16)</f>
        <v>5</v>
      </c>
      <c r="AB16" s="719"/>
    </row>
    <row r="17" spans="1:28" x14ac:dyDescent="0.25">
      <c r="A17" s="1075"/>
      <c r="B17" s="61" t="s">
        <v>47</v>
      </c>
      <c r="C17" s="62"/>
      <c r="D17" s="63">
        <v>24300</v>
      </c>
      <c r="E17" s="63">
        <v>28900</v>
      </c>
      <c r="F17" s="64">
        <v>30300</v>
      </c>
      <c r="G17" s="879"/>
      <c r="H17" s="880"/>
      <c r="I17" s="881"/>
      <c r="J17" s="65"/>
      <c r="K17" s="57">
        <f t="shared" ref="K17:M18" si="13">CEILING(K13*0.3,100)</f>
        <v>25400</v>
      </c>
      <c r="L17" s="57">
        <f t="shared" si="13"/>
        <v>30200</v>
      </c>
      <c r="M17" s="58">
        <f t="shared" si="13"/>
        <v>31600</v>
      </c>
      <c r="N17" s="900"/>
      <c r="O17" s="898">
        <f t="shared" si="5"/>
        <v>1100</v>
      </c>
      <c r="P17" s="898">
        <f t="shared" si="6"/>
        <v>1300</v>
      </c>
      <c r="Q17" s="899">
        <f t="shared" si="7"/>
        <v>1300</v>
      </c>
      <c r="S17" s="1077"/>
      <c r="T17" s="926" t="str">
        <f>+B17</f>
        <v>Doble</v>
      </c>
      <c r="U17" s="66"/>
      <c r="V17" s="53">
        <v>15</v>
      </c>
      <c r="W17" s="53"/>
      <c r="X17" s="54"/>
      <c r="Y17" s="957">
        <f t="shared" si="9"/>
        <v>15</v>
      </c>
      <c r="AB17" s="719"/>
    </row>
    <row r="18" spans="1:28" ht="15.75" thickBot="1" x14ac:dyDescent="0.3">
      <c r="A18" s="1098"/>
      <c r="B18" s="67" t="s">
        <v>45</v>
      </c>
      <c r="C18" s="588"/>
      <c r="D18" s="589">
        <v>22400</v>
      </c>
      <c r="E18" s="589">
        <v>26600</v>
      </c>
      <c r="F18" s="590">
        <v>27900</v>
      </c>
      <c r="G18" s="882"/>
      <c r="H18" s="883"/>
      <c r="I18" s="884"/>
      <c r="J18" s="69"/>
      <c r="K18" s="70">
        <f t="shared" si="13"/>
        <v>23400</v>
      </c>
      <c r="L18" s="70">
        <f>CEILING(L14*0.3,100)</f>
        <v>27800</v>
      </c>
      <c r="M18" s="71">
        <f t="shared" si="13"/>
        <v>29100</v>
      </c>
      <c r="N18" s="869"/>
      <c r="O18" s="675">
        <f t="shared" si="5"/>
        <v>1000</v>
      </c>
      <c r="P18" s="675">
        <f t="shared" si="6"/>
        <v>1200</v>
      </c>
      <c r="Q18" s="716">
        <f t="shared" si="7"/>
        <v>1200</v>
      </c>
      <c r="S18" s="1077"/>
      <c r="T18" s="926" t="str">
        <f t="shared" si="10"/>
        <v>Matrimonial</v>
      </c>
      <c r="U18" s="72"/>
      <c r="V18" s="73">
        <v>40</v>
      </c>
      <c r="W18" s="73"/>
      <c r="X18" s="74"/>
      <c r="Y18" s="957">
        <f t="shared" si="9"/>
        <v>40</v>
      </c>
      <c r="AB18" s="719"/>
    </row>
    <row r="19" spans="1:28" ht="15" customHeight="1" x14ac:dyDescent="0.25">
      <c r="A19" s="1087" t="s">
        <v>289</v>
      </c>
      <c r="B19" s="665" t="s">
        <v>51</v>
      </c>
      <c r="C19" s="670"/>
      <c r="D19" s="671">
        <v>35600</v>
      </c>
      <c r="E19" s="671">
        <v>34300</v>
      </c>
      <c r="F19" s="676">
        <v>61000</v>
      </c>
      <c r="G19" s="995">
        <v>4.4999999999999998E-2</v>
      </c>
      <c r="H19" s="1003">
        <v>4.4999999999999998E-2</v>
      </c>
      <c r="I19" s="1004">
        <v>4.4999999999999998E-2</v>
      </c>
      <c r="J19" s="670"/>
      <c r="K19" s="714">
        <f t="shared" si="2"/>
        <v>37300</v>
      </c>
      <c r="L19" s="714">
        <f t="shared" si="3"/>
        <v>35900</v>
      </c>
      <c r="M19" s="672">
        <f t="shared" si="8"/>
        <v>63800</v>
      </c>
      <c r="N19" s="670"/>
      <c r="O19" s="671">
        <f t="shared" si="5"/>
        <v>1700</v>
      </c>
      <c r="P19" s="671">
        <f t="shared" si="6"/>
        <v>1600</v>
      </c>
      <c r="Q19" s="864">
        <f t="shared" si="7"/>
        <v>2800</v>
      </c>
      <c r="R19" s="75"/>
      <c r="S19" s="1090" t="str">
        <f>+A19</f>
        <v>Salon de Eventos y Quinchos</v>
      </c>
      <c r="T19" s="928" t="str">
        <f t="shared" si="10"/>
        <v>Salón de Eventos (de 1 a 20 personas)</v>
      </c>
      <c r="U19" s="80"/>
      <c r="V19" s="81">
        <v>60</v>
      </c>
      <c r="W19" s="81"/>
      <c r="X19" s="82"/>
      <c r="Y19" s="961">
        <f t="shared" ref="Y19:Y22" si="14">SUM(U19:X19)</f>
        <v>60</v>
      </c>
      <c r="AB19" s="719"/>
    </row>
    <row r="20" spans="1:28" x14ac:dyDescent="0.25">
      <c r="A20" s="1088"/>
      <c r="B20" s="666" t="s">
        <v>52</v>
      </c>
      <c r="C20" s="406"/>
      <c r="D20" s="668">
        <v>1900</v>
      </c>
      <c r="E20" s="668">
        <v>2300</v>
      </c>
      <c r="F20" s="677">
        <v>2400</v>
      </c>
      <c r="G20" s="1005">
        <v>4.4999999999999998E-2</v>
      </c>
      <c r="H20" s="1006">
        <v>4.4999999999999998E-2</v>
      </c>
      <c r="I20" s="1007">
        <v>4.4999999999999998E-2</v>
      </c>
      <c r="J20" s="406"/>
      <c r="K20" s="878">
        <f>CEILING($D20*(1+$G20),100)</f>
        <v>2000</v>
      </c>
      <c r="L20" s="878">
        <f>CEILING($E20*(1+$H20),100)</f>
        <v>2500</v>
      </c>
      <c r="M20" s="673">
        <f>CEILING($F20*(1+$I20),100)</f>
        <v>2600</v>
      </c>
      <c r="N20" s="900"/>
      <c r="O20" s="898">
        <f t="shared" si="5"/>
        <v>100</v>
      </c>
      <c r="P20" s="898">
        <f t="shared" si="6"/>
        <v>200</v>
      </c>
      <c r="Q20" s="899">
        <f t="shared" si="7"/>
        <v>200</v>
      </c>
      <c r="R20" s="75"/>
      <c r="S20" s="1091"/>
      <c r="T20" s="661" t="str">
        <f t="shared" si="10"/>
        <v>Salón de Eventos (persona adicional)</v>
      </c>
      <c r="U20" s="83"/>
      <c r="V20" s="53">
        <v>30</v>
      </c>
      <c r="W20" s="53">
        <v>75</v>
      </c>
      <c r="X20" s="54"/>
      <c r="Y20" s="957">
        <f t="shared" si="14"/>
        <v>105</v>
      </c>
      <c r="AB20" s="719"/>
    </row>
    <row r="21" spans="1:28" x14ac:dyDescent="0.25">
      <c r="A21" s="1088"/>
      <c r="B21" s="661" t="s">
        <v>306</v>
      </c>
      <c r="C21" s="79"/>
      <c r="D21" s="668">
        <v>18900</v>
      </c>
      <c r="E21" s="668">
        <v>22500</v>
      </c>
      <c r="F21" s="677">
        <v>23600</v>
      </c>
      <c r="G21" s="1005">
        <v>4.4999999999999998E-2</v>
      </c>
      <c r="H21" s="1006">
        <v>4.4999999999999998E-2</v>
      </c>
      <c r="I21" s="1007">
        <v>4.4999999999999998E-2</v>
      </c>
      <c r="J21" s="406"/>
      <c r="K21" s="878">
        <f>CEILING(D21*(1+$G21),100)</f>
        <v>19800</v>
      </c>
      <c r="L21" s="878">
        <f>CEILING(E21*(1+$H21),100)</f>
        <v>23600</v>
      </c>
      <c r="M21" s="673">
        <f>CEILING(F21*(1+$I21),100)</f>
        <v>24700</v>
      </c>
      <c r="N21" s="900"/>
      <c r="O21" s="898">
        <f t="shared" si="5"/>
        <v>900</v>
      </c>
      <c r="P21" s="898">
        <f t="shared" si="6"/>
        <v>1100</v>
      </c>
      <c r="Q21" s="899">
        <f t="shared" si="7"/>
        <v>1100</v>
      </c>
      <c r="R21" s="75"/>
      <c r="S21" s="1091"/>
      <c r="T21" s="661" t="s">
        <v>49</v>
      </c>
      <c r="U21" s="659"/>
      <c r="V21" s="660">
        <v>45</v>
      </c>
      <c r="W21" s="660">
        <v>10</v>
      </c>
      <c r="X21" s="82"/>
      <c r="Y21" s="957">
        <f t="shared" si="14"/>
        <v>55</v>
      </c>
      <c r="AB21" s="719"/>
    </row>
    <row r="22" spans="1:28" ht="15.75" thickBot="1" x14ac:dyDescent="0.3">
      <c r="A22" s="1089"/>
      <c r="B22" s="662" t="s">
        <v>50</v>
      </c>
      <c r="C22" s="674"/>
      <c r="D22" s="675">
        <v>3600</v>
      </c>
      <c r="E22" s="675">
        <v>4300</v>
      </c>
      <c r="F22" s="678">
        <v>4500</v>
      </c>
      <c r="G22" s="1008">
        <v>4.4999999999999998E-2</v>
      </c>
      <c r="H22" s="1009">
        <v>4.4999999999999998E-2</v>
      </c>
      <c r="I22" s="1010">
        <v>4.4999999999999998E-2</v>
      </c>
      <c r="J22" s="869"/>
      <c r="K22" s="675">
        <f>CEILING(D22*(1+G22),100)</f>
        <v>3800</v>
      </c>
      <c r="L22" s="675">
        <f>CEILING(E22*(1+H22),100)</f>
        <v>4500</v>
      </c>
      <c r="M22" s="716">
        <f>CEILING(F22*(1+I22),100)</f>
        <v>4800</v>
      </c>
      <c r="N22" s="869"/>
      <c r="O22" s="675">
        <f t="shared" si="5"/>
        <v>200</v>
      </c>
      <c r="P22" s="675">
        <f t="shared" si="6"/>
        <v>200</v>
      </c>
      <c r="Q22" s="716">
        <f t="shared" si="7"/>
        <v>300</v>
      </c>
      <c r="R22" s="75"/>
      <c r="S22" s="1092"/>
      <c r="T22" s="662" t="s">
        <v>50</v>
      </c>
      <c r="U22" s="659"/>
      <c r="V22" s="660"/>
      <c r="W22" s="660"/>
      <c r="X22" s="82"/>
      <c r="Y22" s="957">
        <f t="shared" si="14"/>
        <v>0</v>
      </c>
      <c r="AB22" s="719"/>
    </row>
    <row r="23" spans="1:28" x14ac:dyDescent="0.25">
      <c r="A23" s="1074" t="s">
        <v>53</v>
      </c>
      <c r="B23" s="664" t="s">
        <v>43</v>
      </c>
      <c r="C23" s="669">
        <v>17200</v>
      </c>
      <c r="D23" s="667">
        <v>26400</v>
      </c>
      <c r="E23" s="667">
        <v>32900</v>
      </c>
      <c r="F23" s="405">
        <v>35900</v>
      </c>
      <c r="G23" s="1000">
        <v>4.4999999999999998E-2</v>
      </c>
      <c r="H23" s="1001">
        <v>4.4999999999999998E-2</v>
      </c>
      <c r="I23" s="1002">
        <v>4.4999999999999998E-2</v>
      </c>
      <c r="J23" s="669">
        <f t="shared" si="1"/>
        <v>18000</v>
      </c>
      <c r="K23" s="667">
        <f>CEILING($D23*(1+$G23),100)</f>
        <v>27600</v>
      </c>
      <c r="L23" s="667">
        <f>CEILING($E23*(1+$H23),100)</f>
        <v>34400</v>
      </c>
      <c r="M23" s="717">
        <f>CEILING($F23*(1+$I23),100)</f>
        <v>37600</v>
      </c>
      <c r="N23" s="669">
        <f t="shared" si="4"/>
        <v>800</v>
      </c>
      <c r="O23" s="667">
        <f t="shared" si="5"/>
        <v>1200</v>
      </c>
      <c r="P23" s="667">
        <f t="shared" si="6"/>
        <v>1500</v>
      </c>
      <c r="Q23" s="717">
        <f t="shared" si="7"/>
        <v>1700</v>
      </c>
      <c r="S23" s="1072" t="str">
        <f>+A23</f>
        <v>C.H. Archipielago Juan Fernandez</v>
      </c>
      <c r="T23" s="929" t="str">
        <f t="shared" si="10"/>
        <v>Simple</v>
      </c>
      <c r="U23" s="84">
        <v>99</v>
      </c>
      <c r="V23" s="76">
        <v>65</v>
      </c>
      <c r="W23" s="76">
        <v>40</v>
      </c>
      <c r="X23" s="77">
        <v>1</v>
      </c>
      <c r="Y23" s="956">
        <f>SUM(U23:X23)</f>
        <v>205</v>
      </c>
      <c r="Z23" s="1021">
        <f>+Y23</f>
        <v>205</v>
      </c>
      <c r="AB23" s="719"/>
    </row>
    <row r="24" spans="1:28" x14ac:dyDescent="0.25">
      <c r="A24" s="1075"/>
      <c r="B24" s="85" t="s">
        <v>47</v>
      </c>
      <c r="C24" s="56">
        <v>22500</v>
      </c>
      <c r="D24" s="57">
        <v>34600</v>
      </c>
      <c r="E24" s="57">
        <v>43100</v>
      </c>
      <c r="F24" s="58">
        <v>47000</v>
      </c>
      <c r="G24" s="997">
        <v>4.4999999999999998E-2</v>
      </c>
      <c r="H24" s="998">
        <v>4.4999999999999998E-2</v>
      </c>
      <c r="I24" s="999">
        <v>4.4999999999999998E-2</v>
      </c>
      <c r="J24" s="715">
        <f t="shared" si="1"/>
        <v>23600</v>
      </c>
      <c r="K24" s="878">
        <f t="shared" si="2"/>
        <v>36200</v>
      </c>
      <c r="L24" s="878">
        <f t="shared" si="3"/>
        <v>45100</v>
      </c>
      <c r="M24" s="673">
        <f t="shared" si="8"/>
        <v>49200</v>
      </c>
      <c r="N24" s="897">
        <f t="shared" si="4"/>
        <v>1100</v>
      </c>
      <c r="O24" s="898">
        <f t="shared" si="5"/>
        <v>1600</v>
      </c>
      <c r="P24" s="898">
        <f t="shared" si="6"/>
        <v>2000</v>
      </c>
      <c r="Q24" s="899">
        <f t="shared" si="7"/>
        <v>2200</v>
      </c>
      <c r="S24" s="1077"/>
      <c r="T24" s="925" t="str">
        <f t="shared" si="10"/>
        <v>Doble</v>
      </c>
      <c r="U24" s="52">
        <v>97</v>
      </c>
      <c r="V24" s="53">
        <v>79</v>
      </c>
      <c r="W24" s="53">
        <v>25</v>
      </c>
      <c r="X24" s="54">
        <v>2</v>
      </c>
      <c r="Y24" s="957">
        <f t="shared" ref="Y24:Y31" si="15">SUM(U24:X24)</f>
        <v>203</v>
      </c>
      <c r="Z24">
        <f>+Y24*2</f>
        <v>406</v>
      </c>
      <c r="AB24" s="719"/>
    </row>
    <row r="25" spans="1:28" x14ac:dyDescent="0.25">
      <c r="A25" s="1075"/>
      <c r="B25" s="85" t="s">
        <v>54</v>
      </c>
      <c r="C25" s="56">
        <v>24800</v>
      </c>
      <c r="D25" s="57">
        <v>38100</v>
      </c>
      <c r="E25" s="57">
        <v>47400</v>
      </c>
      <c r="F25" s="58">
        <v>51700</v>
      </c>
      <c r="G25" s="997">
        <v>4.4999999999999998E-2</v>
      </c>
      <c r="H25" s="998">
        <v>4.4999999999999998E-2</v>
      </c>
      <c r="I25" s="999">
        <v>4.4999999999999998E-2</v>
      </c>
      <c r="J25" s="715">
        <f t="shared" si="1"/>
        <v>26000</v>
      </c>
      <c r="K25" s="878">
        <f t="shared" si="2"/>
        <v>39900</v>
      </c>
      <c r="L25" s="878">
        <f t="shared" si="3"/>
        <v>49600</v>
      </c>
      <c r="M25" s="673">
        <f t="shared" si="8"/>
        <v>54100</v>
      </c>
      <c r="N25" s="897">
        <f t="shared" si="4"/>
        <v>1200</v>
      </c>
      <c r="O25" s="898">
        <f t="shared" si="5"/>
        <v>1800</v>
      </c>
      <c r="P25" s="898">
        <f t="shared" si="6"/>
        <v>2200</v>
      </c>
      <c r="Q25" s="899">
        <f t="shared" si="7"/>
        <v>2400</v>
      </c>
      <c r="S25" s="1077"/>
      <c r="T25" s="925" t="str">
        <f t="shared" si="10"/>
        <v>Matrimonial baño privado</v>
      </c>
      <c r="U25" s="52">
        <v>135</v>
      </c>
      <c r="V25" s="53">
        <v>90</v>
      </c>
      <c r="W25" s="53">
        <v>31</v>
      </c>
      <c r="X25" s="54">
        <v>2</v>
      </c>
      <c r="Y25" s="957">
        <f t="shared" si="15"/>
        <v>258</v>
      </c>
      <c r="Z25">
        <f>+Y25*2</f>
        <v>516</v>
      </c>
      <c r="AB25" s="719"/>
    </row>
    <row r="26" spans="1:28" x14ac:dyDescent="0.25">
      <c r="A26" s="1075"/>
      <c r="B26" s="85" t="s">
        <v>55</v>
      </c>
      <c r="C26" s="56">
        <v>20100</v>
      </c>
      <c r="D26" s="57">
        <v>30800</v>
      </c>
      <c r="E26" s="57">
        <v>38400</v>
      </c>
      <c r="F26" s="58">
        <v>41900</v>
      </c>
      <c r="G26" s="997">
        <v>4.4999999999999998E-2</v>
      </c>
      <c r="H26" s="998">
        <v>4.4999999999999998E-2</v>
      </c>
      <c r="I26" s="999">
        <v>4.4999999999999998E-2</v>
      </c>
      <c r="J26" s="715">
        <f t="shared" si="1"/>
        <v>21000</v>
      </c>
      <c r="K26" s="878">
        <f t="shared" si="2"/>
        <v>32200</v>
      </c>
      <c r="L26" s="878">
        <f t="shared" si="3"/>
        <v>40200</v>
      </c>
      <c r="M26" s="673">
        <f t="shared" si="8"/>
        <v>43800</v>
      </c>
      <c r="N26" s="897">
        <f t="shared" si="4"/>
        <v>900</v>
      </c>
      <c r="O26" s="898">
        <f t="shared" si="5"/>
        <v>1400</v>
      </c>
      <c r="P26" s="898">
        <f t="shared" si="6"/>
        <v>1800</v>
      </c>
      <c r="Q26" s="899">
        <f t="shared" si="7"/>
        <v>1900</v>
      </c>
      <c r="S26" s="1077"/>
      <c r="T26" s="925" t="str">
        <f t="shared" si="10"/>
        <v>Matrimonial baño compartido</v>
      </c>
      <c r="U26" s="52">
        <v>558</v>
      </c>
      <c r="V26" s="53">
        <v>208</v>
      </c>
      <c r="W26" s="53">
        <v>52</v>
      </c>
      <c r="X26" s="54">
        <v>3</v>
      </c>
      <c r="Y26" s="957">
        <f t="shared" si="15"/>
        <v>821</v>
      </c>
      <c r="Z26">
        <f>+Y26*2</f>
        <v>1642</v>
      </c>
      <c r="AB26" s="719"/>
    </row>
    <row r="27" spans="1:28" x14ac:dyDescent="0.25">
      <c r="A27" s="1075"/>
      <c r="B27" s="962" t="s">
        <v>46</v>
      </c>
      <c r="C27" s="1078"/>
      <c r="D27" s="1079"/>
      <c r="E27" s="1079"/>
      <c r="F27" s="1080"/>
      <c r="G27" s="1081"/>
      <c r="H27" s="1082"/>
      <c r="I27" s="1083"/>
      <c r="J27" s="1084"/>
      <c r="K27" s="1085"/>
      <c r="L27" s="1085"/>
      <c r="M27" s="1086"/>
      <c r="N27" s="1093"/>
      <c r="O27" s="1094"/>
      <c r="P27" s="1094"/>
      <c r="Q27" s="1095"/>
      <c r="S27" s="1077"/>
      <c r="T27" s="959" t="str">
        <f t="shared" si="10"/>
        <v>Early check in/Late check out/Uso por tránsito</v>
      </c>
      <c r="U27" s="1105"/>
      <c r="V27" s="1106"/>
      <c r="W27" s="1106"/>
      <c r="X27" s="1107"/>
      <c r="Y27" s="960"/>
      <c r="Z27" s="1022">
        <f>SUM(Z23:Z26)</f>
        <v>2769</v>
      </c>
      <c r="AA27">
        <v>3476</v>
      </c>
      <c r="AB27" s="719">
        <f>+Z27*AA27</f>
        <v>9625044</v>
      </c>
    </row>
    <row r="28" spans="1:28" x14ac:dyDescent="0.25">
      <c r="A28" s="1075"/>
      <c r="B28" s="87" t="s">
        <v>43</v>
      </c>
      <c r="C28" s="62"/>
      <c r="D28" s="63">
        <v>8000</v>
      </c>
      <c r="E28" s="63">
        <v>9900</v>
      </c>
      <c r="F28" s="64">
        <v>10800</v>
      </c>
      <c r="G28" s="885"/>
      <c r="H28" s="886"/>
      <c r="I28" s="887"/>
      <c r="J28" s="406"/>
      <c r="K28" s="878">
        <f>CEILING(K23*0.3,100)</f>
        <v>8300</v>
      </c>
      <c r="L28" s="878">
        <f t="shared" ref="L28:M28" si="16">CEILING(L23*0.3,100)</f>
        <v>10400</v>
      </c>
      <c r="M28" s="673">
        <f t="shared" si="16"/>
        <v>11300</v>
      </c>
      <c r="N28" s="900"/>
      <c r="O28" s="898">
        <f t="shared" si="5"/>
        <v>300</v>
      </c>
      <c r="P28" s="898">
        <f t="shared" si="6"/>
        <v>500</v>
      </c>
      <c r="Q28" s="899">
        <f t="shared" si="7"/>
        <v>500</v>
      </c>
      <c r="S28" s="1077"/>
      <c r="T28" s="926" t="str">
        <f t="shared" si="10"/>
        <v>Simple</v>
      </c>
      <c r="U28" s="66"/>
      <c r="V28" s="53">
        <v>5</v>
      </c>
      <c r="W28" s="53"/>
      <c r="X28" s="54"/>
      <c r="Y28" s="957">
        <f>SUM(U28:X28)</f>
        <v>5</v>
      </c>
    </row>
    <row r="29" spans="1:28" x14ac:dyDescent="0.25">
      <c r="A29" s="1075"/>
      <c r="B29" s="87" t="s">
        <v>47</v>
      </c>
      <c r="C29" s="62"/>
      <c r="D29" s="63">
        <v>10400</v>
      </c>
      <c r="E29" s="63">
        <v>13000</v>
      </c>
      <c r="F29" s="64">
        <v>14100</v>
      </c>
      <c r="G29" s="885"/>
      <c r="H29" s="886"/>
      <c r="I29" s="887"/>
      <c r="J29" s="406"/>
      <c r="K29" s="878">
        <f t="shared" ref="K29:M31" si="17">CEILING(K24*0.3,100)</f>
        <v>10900</v>
      </c>
      <c r="L29" s="878">
        <f t="shared" si="17"/>
        <v>13600</v>
      </c>
      <c r="M29" s="673">
        <f t="shared" si="17"/>
        <v>14800</v>
      </c>
      <c r="N29" s="900"/>
      <c r="O29" s="898">
        <f t="shared" si="5"/>
        <v>500</v>
      </c>
      <c r="P29" s="898">
        <f t="shared" si="6"/>
        <v>600</v>
      </c>
      <c r="Q29" s="899">
        <f t="shared" si="7"/>
        <v>700</v>
      </c>
      <c r="S29" s="1077"/>
      <c r="T29" s="926" t="str">
        <f t="shared" si="10"/>
        <v>Doble</v>
      </c>
      <c r="U29" s="66"/>
      <c r="V29" s="53">
        <v>1</v>
      </c>
      <c r="W29" s="53"/>
      <c r="X29" s="54"/>
      <c r="Y29" s="957">
        <f t="shared" si="15"/>
        <v>1</v>
      </c>
    </row>
    <row r="30" spans="1:28" x14ac:dyDescent="0.25">
      <c r="A30" s="1075"/>
      <c r="B30" s="87" t="s">
        <v>54</v>
      </c>
      <c r="C30" s="62"/>
      <c r="D30" s="63">
        <v>11500</v>
      </c>
      <c r="E30" s="63">
        <v>14300</v>
      </c>
      <c r="F30" s="64">
        <v>15600</v>
      </c>
      <c r="G30" s="885"/>
      <c r="H30" s="886"/>
      <c r="I30" s="887"/>
      <c r="J30" s="406"/>
      <c r="K30" s="878">
        <f t="shared" si="17"/>
        <v>12000</v>
      </c>
      <c r="L30" s="878">
        <f t="shared" si="17"/>
        <v>14900</v>
      </c>
      <c r="M30" s="673">
        <f t="shared" si="17"/>
        <v>16300</v>
      </c>
      <c r="N30" s="900"/>
      <c r="O30" s="898">
        <f t="shared" si="5"/>
        <v>500</v>
      </c>
      <c r="P30" s="898">
        <f t="shared" si="6"/>
        <v>600</v>
      </c>
      <c r="Q30" s="899">
        <f t="shared" si="7"/>
        <v>700</v>
      </c>
      <c r="S30" s="1077"/>
      <c r="T30" s="926" t="str">
        <f t="shared" si="10"/>
        <v>Matrimonial baño privado</v>
      </c>
      <c r="U30" s="66"/>
      <c r="V30" s="53">
        <v>3</v>
      </c>
      <c r="W30" s="53"/>
      <c r="X30" s="54"/>
      <c r="Y30" s="957">
        <f t="shared" si="15"/>
        <v>3</v>
      </c>
    </row>
    <row r="31" spans="1:28" ht="15.75" thickBot="1" x14ac:dyDescent="0.3">
      <c r="A31" s="1076"/>
      <c r="B31" s="930" t="s">
        <v>55</v>
      </c>
      <c r="C31" s="901"/>
      <c r="D31" s="904">
        <v>9300</v>
      </c>
      <c r="E31" s="904">
        <v>11600</v>
      </c>
      <c r="F31" s="905">
        <v>12600</v>
      </c>
      <c r="G31" s="906"/>
      <c r="H31" s="907"/>
      <c r="I31" s="908"/>
      <c r="J31" s="901"/>
      <c r="K31" s="909">
        <f t="shared" si="17"/>
        <v>9700</v>
      </c>
      <c r="L31" s="909">
        <f t="shared" si="17"/>
        <v>12100</v>
      </c>
      <c r="M31" s="910">
        <f t="shared" si="17"/>
        <v>13200</v>
      </c>
      <c r="N31" s="901"/>
      <c r="O31" s="909">
        <f t="shared" si="5"/>
        <v>400</v>
      </c>
      <c r="P31" s="909">
        <f t="shared" si="6"/>
        <v>500</v>
      </c>
      <c r="Q31" s="910">
        <f t="shared" si="7"/>
        <v>600</v>
      </c>
      <c r="S31" s="1077"/>
      <c r="T31" s="926" t="str">
        <f t="shared" si="10"/>
        <v>Matrimonial baño compartido</v>
      </c>
      <c r="U31" s="66"/>
      <c r="V31" s="53"/>
      <c r="W31" s="53"/>
      <c r="X31" s="54"/>
      <c r="Y31" s="957">
        <f t="shared" si="15"/>
        <v>0</v>
      </c>
    </row>
    <row r="32" spans="1:28" x14ac:dyDescent="0.25">
      <c r="A32" s="1070" t="s">
        <v>56</v>
      </c>
      <c r="B32" s="665" t="s">
        <v>57</v>
      </c>
      <c r="C32" s="670"/>
      <c r="D32" s="920">
        <v>6100</v>
      </c>
      <c r="E32" s="920">
        <v>7300</v>
      </c>
      <c r="F32" s="921">
        <v>7600</v>
      </c>
      <c r="G32" s="995">
        <v>4.4999999999999998E-2</v>
      </c>
      <c r="H32" s="996">
        <v>4.4999999999999998E-2</v>
      </c>
      <c r="I32" s="1011">
        <v>4.4999999999999998E-2</v>
      </c>
      <c r="J32" s="670"/>
      <c r="K32" s="920">
        <f t="shared" si="2"/>
        <v>6400</v>
      </c>
      <c r="L32" s="920">
        <f t="shared" si="3"/>
        <v>7700</v>
      </c>
      <c r="M32" s="922">
        <f t="shared" si="8"/>
        <v>8000</v>
      </c>
      <c r="N32" s="670"/>
      <c r="O32" s="920">
        <f t="shared" si="5"/>
        <v>300</v>
      </c>
      <c r="P32" s="920">
        <f t="shared" si="6"/>
        <v>400</v>
      </c>
      <c r="Q32" s="921">
        <f t="shared" si="7"/>
        <v>400</v>
      </c>
      <c r="S32" s="1072" t="str">
        <f>+A32</f>
        <v>Piscina</v>
      </c>
      <c r="T32" s="924" t="str">
        <f>+B32</f>
        <v>Piscina Adulto</v>
      </c>
      <c r="U32" s="90"/>
      <c r="V32" s="76">
        <v>205</v>
      </c>
      <c r="W32" s="76">
        <v>66</v>
      </c>
      <c r="X32" s="77"/>
      <c r="Y32" s="956">
        <f>SUM(U32:X32)</f>
        <v>271</v>
      </c>
    </row>
    <row r="33" spans="1:25" ht="15.75" thickBot="1" x14ac:dyDescent="0.3">
      <c r="A33" s="1071"/>
      <c r="B33" s="931" t="s">
        <v>58</v>
      </c>
      <c r="C33" s="869"/>
      <c r="D33" s="902">
        <v>3900</v>
      </c>
      <c r="E33" s="902">
        <v>4700</v>
      </c>
      <c r="F33" s="903">
        <v>4900</v>
      </c>
      <c r="G33" s="1008">
        <v>4.4999999999999998E-2</v>
      </c>
      <c r="H33" s="1009">
        <v>4.4999999999999998E-2</v>
      </c>
      <c r="I33" s="1010">
        <v>4.4999999999999998E-2</v>
      </c>
      <c r="J33" s="869"/>
      <c r="K33" s="902">
        <f t="shared" si="2"/>
        <v>4100</v>
      </c>
      <c r="L33" s="902">
        <f t="shared" si="3"/>
        <v>5000</v>
      </c>
      <c r="M33" s="923">
        <f t="shared" si="8"/>
        <v>5200</v>
      </c>
      <c r="N33" s="869"/>
      <c r="O33" s="902">
        <f t="shared" si="5"/>
        <v>200</v>
      </c>
      <c r="P33" s="902">
        <f t="shared" si="6"/>
        <v>300</v>
      </c>
      <c r="Q33" s="903">
        <f t="shared" si="7"/>
        <v>300</v>
      </c>
      <c r="S33" s="1073"/>
      <c r="T33" s="925" t="str">
        <f>+B33</f>
        <v>Piscina Niños</v>
      </c>
      <c r="U33" s="66"/>
      <c r="V33" s="53">
        <v>197</v>
      </c>
      <c r="W33" s="53">
        <v>58</v>
      </c>
      <c r="X33" s="54"/>
      <c r="Y33" s="957">
        <f t="shared" ref="Y33" si="18">SUM(U33:X33)</f>
        <v>255</v>
      </c>
    </row>
    <row r="34" spans="1:25" ht="15.75" hidden="1" thickBot="1" x14ac:dyDescent="0.3">
      <c r="A34" s="927" t="s">
        <v>59</v>
      </c>
      <c r="B34" s="932" t="s">
        <v>60</v>
      </c>
      <c r="C34" s="911">
        <v>0</v>
      </c>
      <c r="D34" s="911">
        <v>0</v>
      </c>
      <c r="E34" s="912">
        <v>0</v>
      </c>
      <c r="F34" s="913">
        <v>0</v>
      </c>
      <c r="G34" s="914"/>
      <c r="H34" s="915"/>
      <c r="I34" s="916"/>
      <c r="J34" s="674"/>
      <c r="K34" s="917">
        <f t="shared" si="2"/>
        <v>0</v>
      </c>
      <c r="L34" s="918"/>
      <c r="M34" s="919"/>
      <c r="N34" s="674"/>
      <c r="O34" s="917"/>
      <c r="P34" s="918"/>
      <c r="Q34" s="919"/>
      <c r="R34" s="51"/>
      <c r="S34" s="933" t="str">
        <f>+A34</f>
        <v>Departamento Superior</v>
      </c>
      <c r="T34" s="934" t="str">
        <f>+B34</f>
        <v>Departamento</v>
      </c>
      <c r="U34" s="94"/>
      <c r="V34" s="95"/>
      <c r="W34" s="96"/>
      <c r="X34" s="97"/>
      <c r="Y34" s="963">
        <f>SUM(U34:X34)</f>
        <v>0</v>
      </c>
    </row>
    <row r="35" spans="1:25" x14ac:dyDescent="0.25">
      <c r="O35" s="51"/>
      <c r="P35" s="51"/>
      <c r="Q35" s="51"/>
    </row>
    <row r="51" spans="7:13" x14ac:dyDescent="0.25">
      <c r="G51" s="1129"/>
      <c r="H51" s="1129"/>
      <c r="I51" s="1129"/>
      <c r="J51" s="1129"/>
      <c r="K51" s="1014"/>
      <c r="L51" s="1014"/>
      <c r="M51" s="1014"/>
    </row>
    <row r="52" spans="7:13" ht="15" customHeight="1" x14ac:dyDescent="0.25">
      <c r="G52" s="1136"/>
      <c r="H52" s="1130"/>
      <c r="I52" s="1130"/>
      <c r="J52" s="1130"/>
      <c r="K52" s="1015"/>
      <c r="L52" s="1015"/>
      <c r="M52" s="1015"/>
    </row>
    <row r="53" spans="7:13" x14ac:dyDescent="0.25">
      <c r="G53" s="1136"/>
      <c r="H53" s="1130"/>
      <c r="I53" s="1130"/>
      <c r="J53" s="1130"/>
      <c r="K53" s="1015"/>
      <c r="L53" s="1015"/>
      <c r="M53" s="1015"/>
    </row>
    <row r="54" spans="7:13" x14ac:dyDescent="0.25">
      <c r="G54" s="1136"/>
      <c r="H54" s="1130"/>
      <c r="I54" s="1130"/>
      <c r="J54" s="1130"/>
      <c r="K54" s="1015"/>
      <c r="L54" s="1015"/>
      <c r="M54" s="1015"/>
    </row>
    <row r="55" spans="7:13" x14ac:dyDescent="0.25">
      <c r="G55" s="1136"/>
      <c r="H55" s="1130"/>
      <c r="I55" s="1130"/>
      <c r="J55" s="1130"/>
      <c r="K55" s="1016"/>
      <c r="L55" s="1016"/>
      <c r="M55" s="1016"/>
    </row>
    <row r="56" spans="7:13" x14ac:dyDescent="0.25">
      <c r="G56" s="320"/>
      <c r="H56" s="320"/>
      <c r="I56" s="320"/>
      <c r="J56" s="320"/>
      <c r="K56" s="320"/>
      <c r="L56" s="320"/>
      <c r="M56" s="320"/>
    </row>
    <row r="57" spans="7:13" x14ac:dyDescent="0.25">
      <c r="G57" s="320"/>
      <c r="H57" s="1129"/>
      <c r="I57" s="1129"/>
      <c r="J57" s="1129"/>
      <c r="K57" s="1014"/>
      <c r="L57" s="1014"/>
      <c r="M57" s="1014"/>
    </row>
    <row r="58" spans="7:13" x14ac:dyDescent="0.25">
      <c r="G58" s="320"/>
      <c r="H58" s="1135"/>
      <c r="I58" s="1130"/>
      <c r="J58" s="1130"/>
      <c r="K58" s="1017"/>
      <c r="L58" s="1017"/>
      <c r="M58" s="1017"/>
    </row>
    <row r="59" spans="7:13" x14ac:dyDescent="0.25">
      <c r="G59" s="320"/>
      <c r="H59" s="1135"/>
      <c r="I59" s="1130"/>
      <c r="J59" s="1130"/>
      <c r="K59" s="1017"/>
      <c r="L59" s="1017"/>
      <c r="M59" s="1017"/>
    </row>
  </sheetData>
  <mergeCells count="42">
    <mergeCell ref="I58:J58"/>
    <mergeCell ref="I59:J59"/>
    <mergeCell ref="H58:H59"/>
    <mergeCell ref="H57:J57"/>
    <mergeCell ref="G52:G55"/>
    <mergeCell ref="H55:J55"/>
    <mergeCell ref="G51:J51"/>
    <mergeCell ref="H54:J54"/>
    <mergeCell ref="H52:J52"/>
    <mergeCell ref="H53:J53"/>
    <mergeCell ref="D5:E5"/>
    <mergeCell ref="F5:G5"/>
    <mergeCell ref="A8:C8"/>
    <mergeCell ref="S8:U8"/>
    <mergeCell ref="A10:A11"/>
    <mergeCell ref="B10:B11"/>
    <mergeCell ref="C10:F10"/>
    <mergeCell ref="G10:I10"/>
    <mergeCell ref="J10:M10"/>
    <mergeCell ref="S10:S11"/>
    <mergeCell ref="T10:T11"/>
    <mergeCell ref="U10:X10"/>
    <mergeCell ref="A19:A22"/>
    <mergeCell ref="S19:S22"/>
    <mergeCell ref="N27:Q27"/>
    <mergeCell ref="Y10:Y11"/>
    <mergeCell ref="A12:A18"/>
    <mergeCell ref="S12:S18"/>
    <mergeCell ref="C15:F15"/>
    <mergeCell ref="G15:I15"/>
    <mergeCell ref="J15:M15"/>
    <mergeCell ref="U15:X15"/>
    <mergeCell ref="N10:Q10"/>
    <mergeCell ref="N15:Q15"/>
    <mergeCell ref="U27:X27"/>
    <mergeCell ref="A32:A33"/>
    <mergeCell ref="S32:S33"/>
    <mergeCell ref="A23:A31"/>
    <mergeCell ref="S23:S31"/>
    <mergeCell ref="C27:F27"/>
    <mergeCell ref="G27:I27"/>
    <mergeCell ref="J27:M27"/>
  </mergeCells>
  <hyperlinks>
    <hyperlink ref="A8:C8" location="'Índice Tablas'!A1" display="TABLA 3: REAJUSTE DE TARIFAS POR PRESTACIÓN Y SEGMENTO" xr:uid="{00000000-0004-0000-0300-000000000000}"/>
    <hyperlink ref="S8:U8" location="'Índice Tablas'!A1" display="TABLA 4: METAS DE OCUPACIÓN POR PRESTACIÓN Y SEGMENTO" xr:uid="{00000000-0004-0000-0300-000001000000}"/>
  </hyperlink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P29"/>
  <sheetViews>
    <sheetView workbookViewId="0">
      <selection activeCell="N3" sqref="N3"/>
    </sheetView>
  </sheetViews>
  <sheetFormatPr baseColWidth="10" defaultRowHeight="15" x14ac:dyDescent="0.25"/>
  <cols>
    <col min="1" max="1" width="11.42578125" style="320"/>
    <col min="2" max="2" width="35.85546875" style="320" bestFit="1" customWidth="1"/>
    <col min="3" max="3" width="43.140625" style="320" bestFit="1" customWidth="1"/>
    <col min="4" max="10" width="11.42578125" style="320"/>
    <col min="11" max="11" width="3.85546875" style="320" customWidth="1"/>
    <col min="12" max="14" width="11.42578125" style="320"/>
    <col min="15" max="15" width="13" style="320" bestFit="1" customWidth="1"/>
    <col min="16" max="16" width="14" style="320" bestFit="1" customWidth="1"/>
    <col min="17" max="16384" width="11.42578125" style="320"/>
  </cols>
  <sheetData>
    <row r="2" spans="2:16" ht="15.75" thickBot="1" x14ac:dyDescent="0.3">
      <c r="G2" s="1137" t="s">
        <v>342</v>
      </c>
      <c r="H2" s="1137"/>
      <c r="I2" s="888">
        <v>1.1000000000000001</v>
      </c>
      <c r="J2" s="888">
        <v>1.2</v>
      </c>
    </row>
    <row r="3" spans="2:16" ht="15.75" x14ac:dyDescent="0.25">
      <c r="B3" s="1147" t="s">
        <v>3</v>
      </c>
      <c r="C3" s="1149" t="s">
        <v>23</v>
      </c>
      <c r="D3" s="1151" t="s">
        <v>322</v>
      </c>
      <c r="E3" s="1152"/>
      <c r="F3" s="1152"/>
      <c r="G3" s="1153"/>
      <c r="H3" s="876">
        <v>1.19</v>
      </c>
      <c r="I3" s="876">
        <v>1.05</v>
      </c>
      <c r="J3" s="876">
        <v>1.1000000000000001</v>
      </c>
    </row>
    <row r="4" spans="2:16" ht="26.25" thickBot="1" x14ac:dyDescent="0.3">
      <c r="B4" s="1148"/>
      <c r="C4" s="1150"/>
      <c r="D4" s="43" t="s">
        <v>40</v>
      </c>
      <c r="E4" s="44" t="s">
        <v>28</v>
      </c>
      <c r="F4" s="44" t="s">
        <v>29</v>
      </c>
      <c r="G4" s="45" t="s">
        <v>30</v>
      </c>
      <c r="I4" s="877" t="s">
        <v>29</v>
      </c>
      <c r="J4" s="877" t="s">
        <v>30</v>
      </c>
    </row>
    <row r="5" spans="2:16" x14ac:dyDescent="0.25">
      <c r="B5" s="1141" t="s">
        <v>42</v>
      </c>
      <c r="C5" s="46" t="s">
        <v>43</v>
      </c>
      <c r="D5" s="713">
        <v>33700</v>
      </c>
      <c r="E5" s="671">
        <v>51800</v>
      </c>
      <c r="F5" s="671">
        <v>63400</v>
      </c>
      <c r="G5" s="864">
        <v>78500</v>
      </c>
      <c r="I5" s="668">
        <f>+E5*$H$3*$I$3</f>
        <v>64724.100000000006</v>
      </c>
      <c r="J5" s="668">
        <f>+E5*$H$3*$J$3</f>
        <v>67806.200000000012</v>
      </c>
      <c r="K5" s="863"/>
      <c r="L5" s="875">
        <f>(I5-F5)/F5</f>
        <v>2.088485804416413E-2</v>
      </c>
      <c r="M5" s="875">
        <f>(J5-G5)/G5</f>
        <v>-0.13622675159235653</v>
      </c>
      <c r="O5" s="964"/>
      <c r="P5" s="964"/>
    </row>
    <row r="6" spans="2:16" x14ac:dyDescent="0.25">
      <c r="B6" s="1142"/>
      <c r="C6" s="55" t="s">
        <v>44</v>
      </c>
      <c r="D6" s="715">
        <v>50000</v>
      </c>
      <c r="E6" s="668">
        <v>76900</v>
      </c>
      <c r="F6" s="668">
        <v>94400</v>
      </c>
      <c r="G6" s="673">
        <v>119300</v>
      </c>
      <c r="I6" s="668">
        <f t="shared" ref="I6:I28" si="0">+E6*$H$3*$I$3</f>
        <v>96086.55</v>
      </c>
      <c r="J6" s="668">
        <f t="shared" ref="J6:J28" si="1">+E6*$H$3*$J$3</f>
        <v>100662.1</v>
      </c>
      <c r="L6" s="875">
        <f t="shared" ref="L6:L28" si="2">(I6-F6)/F6</f>
        <v>1.7865995762711896E-2</v>
      </c>
      <c r="M6" s="875">
        <f t="shared" ref="M6:M28" si="3">(J6-G6)/G6</f>
        <v>-0.15622715842414078</v>
      </c>
      <c r="O6" s="964"/>
      <c r="P6" s="964"/>
    </row>
    <row r="7" spans="2:16" x14ac:dyDescent="0.25">
      <c r="B7" s="1142"/>
      <c r="C7" s="55" t="s">
        <v>45</v>
      </c>
      <c r="D7" s="715">
        <v>46100</v>
      </c>
      <c r="E7" s="668">
        <v>70800</v>
      </c>
      <c r="F7" s="668">
        <v>76400</v>
      </c>
      <c r="G7" s="673">
        <v>94800</v>
      </c>
      <c r="I7" s="668">
        <f t="shared" si="0"/>
        <v>88464.6</v>
      </c>
      <c r="J7" s="668">
        <f t="shared" si="1"/>
        <v>92677.200000000012</v>
      </c>
      <c r="L7" s="875">
        <f t="shared" si="2"/>
        <v>0.15791361256544512</v>
      </c>
      <c r="M7" s="875">
        <f t="shared" si="3"/>
        <v>-2.2392405063291015E-2</v>
      </c>
      <c r="O7" s="964"/>
      <c r="P7" s="964"/>
    </row>
    <row r="8" spans="2:16" x14ac:dyDescent="0.25">
      <c r="B8" s="1142"/>
      <c r="C8" s="60" t="s">
        <v>46</v>
      </c>
      <c r="D8" s="1144"/>
      <c r="E8" s="1145"/>
      <c r="F8" s="1145"/>
      <c r="G8" s="1146"/>
      <c r="I8" s="668"/>
      <c r="J8" s="668"/>
      <c r="L8" s="875"/>
      <c r="M8" s="875"/>
    </row>
    <row r="9" spans="2:16" x14ac:dyDescent="0.25">
      <c r="B9" s="1142"/>
      <c r="C9" s="61" t="s">
        <v>43</v>
      </c>
      <c r="D9" s="406"/>
      <c r="E9" s="865">
        <v>15600</v>
      </c>
      <c r="F9" s="865">
        <v>19100</v>
      </c>
      <c r="G9" s="451">
        <v>23600</v>
      </c>
      <c r="I9" s="668">
        <f t="shared" si="0"/>
        <v>19492.2</v>
      </c>
      <c r="J9" s="668">
        <f t="shared" si="1"/>
        <v>20420.400000000001</v>
      </c>
      <c r="L9" s="875">
        <f t="shared" si="2"/>
        <v>2.0534031413612604E-2</v>
      </c>
      <c r="M9" s="875">
        <f t="shared" si="3"/>
        <v>-0.13472881355932198</v>
      </c>
    </row>
    <row r="10" spans="2:16" x14ac:dyDescent="0.25">
      <c r="B10" s="1142"/>
      <c r="C10" s="61" t="s">
        <v>47</v>
      </c>
      <c r="D10" s="406"/>
      <c r="E10" s="865">
        <v>23100</v>
      </c>
      <c r="F10" s="865">
        <v>28400</v>
      </c>
      <c r="G10" s="451">
        <v>35800</v>
      </c>
      <c r="I10" s="668">
        <f t="shared" si="0"/>
        <v>28863.45</v>
      </c>
      <c r="J10" s="668">
        <f t="shared" si="1"/>
        <v>30237.9</v>
      </c>
      <c r="L10" s="875">
        <f t="shared" si="2"/>
        <v>1.6318661971831013E-2</v>
      </c>
      <c r="M10" s="875">
        <f t="shared" si="3"/>
        <v>-0.15536592178770944</v>
      </c>
    </row>
    <row r="11" spans="2:16" ht="15.75" thickBot="1" x14ac:dyDescent="0.3">
      <c r="B11" s="1143"/>
      <c r="C11" s="67" t="s">
        <v>45</v>
      </c>
      <c r="D11" s="866"/>
      <c r="E11" s="867">
        <v>21300</v>
      </c>
      <c r="F11" s="867">
        <v>23000</v>
      </c>
      <c r="G11" s="868">
        <v>28500</v>
      </c>
      <c r="I11" s="668">
        <f t="shared" si="0"/>
        <v>26614.350000000002</v>
      </c>
      <c r="J11" s="668">
        <f t="shared" si="1"/>
        <v>27881.7</v>
      </c>
      <c r="L11" s="875">
        <f t="shared" si="2"/>
        <v>0.15714565217391313</v>
      </c>
      <c r="M11" s="875">
        <f t="shared" si="3"/>
        <v>-2.1694736842105239E-2</v>
      </c>
    </row>
    <row r="12" spans="2:16" x14ac:dyDescent="0.25">
      <c r="B12" s="1154" t="s">
        <v>48</v>
      </c>
      <c r="C12" s="587" t="s">
        <v>49</v>
      </c>
      <c r="D12" s="591"/>
      <c r="E12" s="592"/>
      <c r="F12" s="592"/>
      <c r="G12" s="593"/>
      <c r="I12" s="668"/>
      <c r="J12" s="668"/>
      <c r="L12" s="875"/>
      <c r="M12" s="875"/>
    </row>
    <row r="13" spans="2:16" ht="15.75" thickBot="1" x14ac:dyDescent="0.3">
      <c r="B13" s="1155"/>
      <c r="C13" s="663" t="s">
        <v>50</v>
      </c>
      <c r="D13" s="594"/>
      <c r="E13" s="595"/>
      <c r="F13" s="595"/>
      <c r="G13" s="596"/>
      <c r="I13" s="668"/>
      <c r="J13" s="668"/>
      <c r="L13" s="875"/>
      <c r="M13" s="875"/>
    </row>
    <row r="14" spans="2:16" x14ac:dyDescent="0.25">
      <c r="B14" s="1138" t="s">
        <v>289</v>
      </c>
      <c r="C14" s="665" t="s">
        <v>51</v>
      </c>
      <c r="D14" s="670"/>
      <c r="E14" s="671">
        <v>33900</v>
      </c>
      <c r="F14" s="671">
        <v>34300</v>
      </c>
      <c r="G14" s="864">
        <v>61000</v>
      </c>
      <c r="I14" s="668">
        <f t="shared" si="0"/>
        <v>42358.05</v>
      </c>
      <c r="J14" s="668">
        <f t="shared" si="1"/>
        <v>44375.100000000006</v>
      </c>
      <c r="L14" s="875">
        <f t="shared" si="2"/>
        <v>0.23492857142857151</v>
      </c>
      <c r="M14" s="875">
        <f t="shared" si="3"/>
        <v>-0.27253934426229498</v>
      </c>
    </row>
    <row r="15" spans="2:16" x14ac:dyDescent="0.25">
      <c r="B15" s="1139"/>
      <c r="C15" s="666" t="s">
        <v>52</v>
      </c>
      <c r="D15" s="406"/>
      <c r="E15" s="668">
        <v>1800</v>
      </c>
      <c r="F15" s="668">
        <v>1900</v>
      </c>
      <c r="G15" s="673">
        <v>2300</v>
      </c>
      <c r="I15" s="668">
        <f t="shared" si="0"/>
        <v>2249.1</v>
      </c>
      <c r="J15" s="668">
        <f t="shared" si="1"/>
        <v>2356.2000000000003</v>
      </c>
      <c r="L15" s="875">
        <f t="shared" si="2"/>
        <v>0.18373684210526312</v>
      </c>
      <c r="M15" s="875">
        <f t="shared" si="3"/>
        <v>2.443478260869577E-2</v>
      </c>
    </row>
    <row r="16" spans="2:16" x14ac:dyDescent="0.25">
      <c r="B16" s="1139"/>
      <c r="C16" s="661" t="s">
        <v>306</v>
      </c>
      <c r="D16" s="79"/>
      <c r="E16" s="668">
        <v>18000</v>
      </c>
      <c r="F16" s="668">
        <v>18000</v>
      </c>
      <c r="G16" s="673">
        <v>18000</v>
      </c>
      <c r="I16" s="668">
        <f t="shared" si="0"/>
        <v>22491</v>
      </c>
      <c r="J16" s="668">
        <f t="shared" si="1"/>
        <v>23562.000000000004</v>
      </c>
      <c r="L16" s="875">
        <f t="shared" si="2"/>
        <v>0.2495</v>
      </c>
      <c r="M16" s="875">
        <f t="shared" si="3"/>
        <v>0.30900000000000022</v>
      </c>
    </row>
    <row r="17" spans="2:13" ht="15.75" thickBot="1" x14ac:dyDescent="0.3">
      <c r="B17" s="1140"/>
      <c r="C17" s="662" t="s">
        <v>50</v>
      </c>
      <c r="D17" s="674"/>
      <c r="E17" s="675">
        <v>3400</v>
      </c>
      <c r="F17" s="675">
        <v>3200</v>
      </c>
      <c r="G17" s="716">
        <v>3200</v>
      </c>
      <c r="I17" s="668">
        <f t="shared" si="0"/>
        <v>4248.3</v>
      </c>
      <c r="J17" s="668">
        <f t="shared" si="1"/>
        <v>4450.6000000000004</v>
      </c>
      <c r="L17" s="875">
        <f t="shared" si="2"/>
        <v>0.32759375000000007</v>
      </c>
      <c r="M17" s="875">
        <f t="shared" si="3"/>
        <v>0.39081250000000012</v>
      </c>
    </row>
    <row r="18" spans="2:13" x14ac:dyDescent="0.25">
      <c r="B18" s="1141" t="s">
        <v>53</v>
      </c>
      <c r="C18" s="664" t="s">
        <v>43</v>
      </c>
      <c r="D18" s="669">
        <v>16400</v>
      </c>
      <c r="E18" s="667">
        <v>25100</v>
      </c>
      <c r="F18" s="667">
        <v>34700</v>
      </c>
      <c r="G18" s="717">
        <v>46100</v>
      </c>
      <c r="I18" s="668">
        <f>+E18*$H$3*$I$2</f>
        <v>32855.9</v>
      </c>
      <c r="J18" s="668">
        <f>+E18*$H$3*$J$2</f>
        <v>35842.799999999996</v>
      </c>
      <c r="L18" s="875">
        <f t="shared" si="2"/>
        <v>-5.3144092219020132E-2</v>
      </c>
      <c r="M18" s="875">
        <f t="shared" si="3"/>
        <v>-0.22249891540130162</v>
      </c>
    </row>
    <row r="19" spans="2:13" x14ac:dyDescent="0.25">
      <c r="B19" s="1142"/>
      <c r="C19" s="85" t="s">
        <v>47</v>
      </c>
      <c r="D19" s="715">
        <v>21400</v>
      </c>
      <c r="E19" s="668">
        <v>32900</v>
      </c>
      <c r="F19" s="668">
        <v>45800</v>
      </c>
      <c r="G19" s="673">
        <v>60600</v>
      </c>
      <c r="I19" s="668">
        <f t="shared" ref="I19:I26" si="4">+E19*$H$3*$I$2</f>
        <v>43066.100000000006</v>
      </c>
      <c r="J19" s="668">
        <f t="shared" ref="J19:J26" si="5">+E19*$H$3*$J$2</f>
        <v>46981.2</v>
      </c>
      <c r="L19" s="875">
        <f t="shared" si="2"/>
        <v>-5.9692139737991139E-2</v>
      </c>
      <c r="M19" s="875">
        <f t="shared" si="3"/>
        <v>-0.22473267326732679</v>
      </c>
    </row>
    <row r="20" spans="2:13" x14ac:dyDescent="0.25">
      <c r="B20" s="1142"/>
      <c r="C20" s="85" t="s">
        <v>54</v>
      </c>
      <c r="D20" s="715">
        <v>23600</v>
      </c>
      <c r="E20" s="668">
        <v>36200</v>
      </c>
      <c r="F20" s="668">
        <v>50200</v>
      </c>
      <c r="G20" s="673">
        <v>66500</v>
      </c>
      <c r="I20" s="668">
        <f t="shared" si="4"/>
        <v>47385.8</v>
      </c>
      <c r="J20" s="668">
        <f t="shared" si="5"/>
        <v>51693.599999999999</v>
      </c>
      <c r="L20" s="875">
        <f t="shared" si="2"/>
        <v>-5.6059760956175243E-2</v>
      </c>
      <c r="M20" s="875">
        <f t="shared" si="3"/>
        <v>-0.22265263157894738</v>
      </c>
    </row>
    <row r="21" spans="2:13" x14ac:dyDescent="0.25">
      <c r="B21" s="1142"/>
      <c r="C21" s="85" t="s">
        <v>55</v>
      </c>
      <c r="D21" s="715">
        <v>19100</v>
      </c>
      <c r="E21" s="668">
        <v>29300</v>
      </c>
      <c r="F21" s="668">
        <v>40600</v>
      </c>
      <c r="G21" s="673">
        <v>50400</v>
      </c>
      <c r="I21" s="668">
        <f t="shared" si="4"/>
        <v>38353.700000000004</v>
      </c>
      <c r="J21" s="668">
        <f t="shared" si="5"/>
        <v>41840.400000000001</v>
      </c>
      <c r="L21" s="875">
        <f t="shared" si="2"/>
        <v>-5.5327586206896442E-2</v>
      </c>
      <c r="M21" s="875">
        <f t="shared" si="3"/>
        <v>-0.16983333333333331</v>
      </c>
    </row>
    <row r="22" spans="2:13" x14ac:dyDescent="0.25">
      <c r="B22" s="1142"/>
      <c r="C22" s="86" t="s">
        <v>46</v>
      </c>
      <c r="D22" s="1144"/>
      <c r="E22" s="1145"/>
      <c r="F22" s="1145"/>
      <c r="G22" s="1146"/>
      <c r="I22" s="668">
        <f t="shared" si="4"/>
        <v>0</v>
      </c>
      <c r="J22" s="668">
        <f t="shared" si="5"/>
        <v>0</v>
      </c>
      <c r="L22" s="875"/>
      <c r="M22" s="875"/>
    </row>
    <row r="23" spans="2:13" x14ac:dyDescent="0.25">
      <c r="B23" s="1142"/>
      <c r="C23" s="87" t="s">
        <v>43</v>
      </c>
      <c r="D23" s="406"/>
      <c r="E23" s="865">
        <v>7600</v>
      </c>
      <c r="F23" s="865">
        <v>10500</v>
      </c>
      <c r="G23" s="451">
        <v>13900</v>
      </c>
      <c r="I23" s="668">
        <f t="shared" si="4"/>
        <v>9948.4000000000015</v>
      </c>
      <c r="J23" s="668">
        <f t="shared" si="5"/>
        <v>10852.8</v>
      </c>
      <c r="L23" s="875">
        <f t="shared" si="2"/>
        <v>-5.2533333333333196E-2</v>
      </c>
      <c r="M23" s="875">
        <f t="shared" si="3"/>
        <v>-0.21922302158273388</v>
      </c>
    </row>
    <row r="24" spans="2:13" x14ac:dyDescent="0.25">
      <c r="B24" s="1142"/>
      <c r="C24" s="87" t="s">
        <v>47</v>
      </c>
      <c r="D24" s="406"/>
      <c r="E24" s="865">
        <v>9900</v>
      </c>
      <c r="F24" s="865">
        <v>13800</v>
      </c>
      <c r="G24" s="451">
        <v>18200</v>
      </c>
      <c r="I24" s="668">
        <f t="shared" si="4"/>
        <v>12959.1</v>
      </c>
      <c r="J24" s="668">
        <f t="shared" si="5"/>
        <v>14137.199999999999</v>
      </c>
      <c r="L24" s="875">
        <f t="shared" si="2"/>
        <v>-6.0934782608695628E-2</v>
      </c>
      <c r="M24" s="875">
        <f t="shared" si="3"/>
        <v>-0.22323076923076929</v>
      </c>
    </row>
    <row r="25" spans="2:13" x14ac:dyDescent="0.25">
      <c r="B25" s="1142"/>
      <c r="C25" s="87" t="s">
        <v>54</v>
      </c>
      <c r="D25" s="406"/>
      <c r="E25" s="865">
        <v>10900</v>
      </c>
      <c r="F25" s="865">
        <v>15100</v>
      </c>
      <c r="G25" s="451">
        <v>20000</v>
      </c>
      <c r="I25" s="668">
        <f t="shared" si="4"/>
        <v>14268.1</v>
      </c>
      <c r="J25" s="668">
        <f t="shared" si="5"/>
        <v>15565.199999999999</v>
      </c>
      <c r="L25" s="875">
        <f t="shared" si="2"/>
        <v>-5.5092715231788054E-2</v>
      </c>
      <c r="M25" s="875">
        <f t="shared" si="3"/>
        <v>-0.22174000000000005</v>
      </c>
    </row>
    <row r="26" spans="2:13" ht="15.75" thickBot="1" x14ac:dyDescent="0.3">
      <c r="B26" s="1143"/>
      <c r="C26" s="88" t="s">
        <v>55</v>
      </c>
      <c r="D26" s="869"/>
      <c r="E26" s="870">
        <v>8800</v>
      </c>
      <c r="F26" s="870">
        <v>12200</v>
      </c>
      <c r="G26" s="871">
        <v>15200</v>
      </c>
      <c r="I26" s="668">
        <f t="shared" si="4"/>
        <v>11519.2</v>
      </c>
      <c r="J26" s="668">
        <f t="shared" si="5"/>
        <v>12566.4</v>
      </c>
      <c r="L26" s="875">
        <f t="shared" si="2"/>
        <v>-5.5803278688524534E-2</v>
      </c>
      <c r="M26" s="875">
        <f t="shared" si="3"/>
        <v>-0.17326315789473687</v>
      </c>
    </row>
    <row r="27" spans="2:13" x14ac:dyDescent="0.25">
      <c r="B27" s="1141" t="s">
        <v>56</v>
      </c>
      <c r="C27" s="46" t="s">
        <v>57</v>
      </c>
      <c r="D27" s="79"/>
      <c r="E27" s="872">
        <v>5800</v>
      </c>
      <c r="F27" s="872">
        <v>7500</v>
      </c>
      <c r="G27" s="89">
        <v>8800</v>
      </c>
      <c r="I27" s="668">
        <f t="shared" si="0"/>
        <v>7247.1</v>
      </c>
      <c r="J27" s="668">
        <f t="shared" si="1"/>
        <v>7592.2000000000007</v>
      </c>
      <c r="L27" s="875">
        <f t="shared" si="2"/>
        <v>-3.3719999999999951E-2</v>
      </c>
      <c r="M27" s="875">
        <f t="shared" si="3"/>
        <v>-0.13724999999999993</v>
      </c>
    </row>
    <row r="28" spans="2:13" ht="15.75" thickBot="1" x14ac:dyDescent="0.3">
      <c r="B28" s="1143"/>
      <c r="C28" s="78" t="s">
        <v>58</v>
      </c>
      <c r="D28" s="866"/>
      <c r="E28" s="873">
        <v>3700</v>
      </c>
      <c r="F28" s="873">
        <v>4400</v>
      </c>
      <c r="G28" s="874">
        <v>6000</v>
      </c>
      <c r="I28" s="668">
        <f t="shared" si="0"/>
        <v>4623.1500000000005</v>
      </c>
      <c r="J28" s="668">
        <f t="shared" si="1"/>
        <v>4843.3</v>
      </c>
      <c r="L28" s="875">
        <f t="shared" si="2"/>
        <v>5.0715909090909214E-2</v>
      </c>
      <c r="M28" s="875">
        <f t="shared" si="3"/>
        <v>-0.19278333333333331</v>
      </c>
    </row>
    <row r="29" spans="2:13" ht="15.75" thickBot="1" x14ac:dyDescent="0.3">
      <c r="B29" s="91" t="s">
        <v>59</v>
      </c>
      <c r="C29" s="92" t="s">
        <v>60</v>
      </c>
      <c r="D29" s="584">
        <v>0</v>
      </c>
      <c r="E29" s="584">
        <v>0</v>
      </c>
      <c r="F29" s="585">
        <v>0</v>
      </c>
      <c r="G29" s="586">
        <v>0</v>
      </c>
      <c r="I29" s="668"/>
      <c r="J29" s="668"/>
      <c r="L29" s="875"/>
      <c r="M29" s="875"/>
    </row>
  </sheetData>
  <mergeCells count="11">
    <mergeCell ref="G2:H2"/>
    <mergeCell ref="B14:B17"/>
    <mergeCell ref="B18:B26"/>
    <mergeCell ref="D22:G22"/>
    <mergeCell ref="B27:B28"/>
    <mergeCell ref="B3:B4"/>
    <mergeCell ref="C3:C4"/>
    <mergeCell ref="D3:G3"/>
    <mergeCell ref="B5:B11"/>
    <mergeCell ref="D8:G8"/>
    <mergeCell ref="B12:B1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00000"/>
  </sheetPr>
  <dimension ref="A1:M296"/>
  <sheetViews>
    <sheetView showGridLines="0" topLeftCell="A259" zoomScale="80" zoomScaleNormal="80" workbookViewId="0">
      <selection activeCell="H296" sqref="H296"/>
    </sheetView>
  </sheetViews>
  <sheetFormatPr baseColWidth="10" defaultRowHeight="15" x14ac:dyDescent="0.25"/>
  <cols>
    <col min="1" max="1" width="30.85546875" style="5" customWidth="1"/>
    <col min="2" max="2" width="21.140625" style="5" customWidth="1"/>
    <col min="3" max="3" width="57.42578125" style="5" bestFit="1" customWidth="1"/>
    <col min="4" max="4" width="15.7109375" style="5" customWidth="1"/>
    <col min="5" max="5" width="14.28515625" style="5" customWidth="1"/>
    <col min="6" max="6" width="14.42578125" style="98" customWidth="1"/>
    <col min="7" max="7" width="14.28515625" style="2" customWidth="1"/>
    <col min="8" max="8" width="16.5703125" style="2" customWidth="1"/>
    <col min="9" max="9" width="84.5703125" style="5" bestFit="1" customWidth="1"/>
  </cols>
  <sheetData>
    <row r="1" spans="1:9" x14ac:dyDescent="0.25">
      <c r="C1" s="3"/>
      <c r="D1" s="3"/>
      <c r="F1" s="3"/>
      <c r="G1" s="3"/>
      <c r="H1" s="3"/>
    </row>
    <row r="2" spans="1:9" x14ac:dyDescent="0.25">
      <c r="C2" s="3"/>
      <c r="D2" s="3" t="s">
        <v>61</v>
      </c>
      <c r="F2" s="3"/>
      <c r="G2" s="3"/>
      <c r="H2" s="3"/>
    </row>
    <row r="3" spans="1:9" x14ac:dyDescent="0.25">
      <c r="C3" s="3"/>
      <c r="F3" s="3"/>
      <c r="G3" s="3"/>
      <c r="H3" s="3"/>
    </row>
    <row r="4" spans="1:9" ht="15.75" x14ac:dyDescent="0.25">
      <c r="C4" s="8" t="s">
        <v>1</v>
      </c>
      <c r="D4" s="1176" t="s">
        <v>35</v>
      </c>
      <c r="E4" s="1177"/>
      <c r="F4" s="3"/>
      <c r="G4" s="3"/>
      <c r="H4" s="3"/>
    </row>
    <row r="5" spans="1:9" x14ac:dyDescent="0.25">
      <c r="B5" s="3"/>
      <c r="C5" s="3"/>
      <c r="D5" s="3"/>
      <c r="E5" s="3"/>
      <c r="F5" s="3"/>
      <c r="G5" s="3"/>
      <c r="H5" s="3"/>
    </row>
    <row r="6" spans="1:9" x14ac:dyDescent="0.25">
      <c r="B6" s="3"/>
      <c r="C6" s="3"/>
      <c r="D6" s="3"/>
      <c r="E6" s="3"/>
      <c r="F6" s="3"/>
      <c r="G6" s="3"/>
      <c r="H6" s="3"/>
    </row>
    <row r="7" spans="1:9" x14ac:dyDescent="0.25">
      <c r="A7" s="1178" t="s">
        <v>62</v>
      </c>
      <c r="B7" s="1178"/>
      <c r="C7" s="1178"/>
      <c r="D7" s="3"/>
      <c r="G7" s="5"/>
    </row>
    <row r="9" spans="1:9" x14ac:dyDescent="0.25">
      <c r="A9" s="1179" t="s">
        <v>22</v>
      </c>
      <c r="B9" s="1180" t="s">
        <v>63</v>
      </c>
      <c r="C9" s="1181" t="s">
        <v>64</v>
      </c>
      <c r="D9" s="1182" t="s">
        <v>65</v>
      </c>
      <c r="E9" s="1183" t="s">
        <v>66</v>
      </c>
      <c r="F9" s="1184"/>
      <c r="G9" s="1185"/>
      <c r="H9" s="1173" t="s">
        <v>349</v>
      </c>
      <c r="I9" s="1174" t="s">
        <v>67</v>
      </c>
    </row>
    <row r="10" spans="1:9" ht="42.75" customHeight="1" x14ac:dyDescent="0.25">
      <c r="A10" s="1166"/>
      <c r="B10" s="1168"/>
      <c r="C10" s="1170"/>
      <c r="D10" s="1172"/>
      <c r="E10" s="99" t="s">
        <v>68</v>
      </c>
      <c r="F10" s="100" t="s">
        <v>69</v>
      </c>
      <c r="G10" s="101" t="s">
        <v>70</v>
      </c>
      <c r="H10" s="1157"/>
      <c r="I10" s="1174"/>
    </row>
    <row r="11" spans="1:9" x14ac:dyDescent="0.25">
      <c r="A11" s="1175" t="str">
        <f>+'B) Reajuste Tarifas y Ocupación'!A12</f>
        <v>C. H. Hanga Roa</v>
      </c>
      <c r="B11" s="102"/>
      <c r="C11" s="103" t="s">
        <v>71</v>
      </c>
      <c r="D11" s="104">
        <f>SUM(D12,D17,D19)</f>
        <v>28439552.66</v>
      </c>
      <c r="E11" s="105"/>
      <c r="F11" s="105"/>
      <c r="G11" s="104">
        <f>SUM(G12,G17,G19)</f>
        <v>240000</v>
      </c>
      <c r="H11" s="106">
        <f>SUM(H12,H17,H19)</f>
        <v>28679552.66</v>
      </c>
      <c r="I11" s="654"/>
    </row>
    <row r="12" spans="1:9" x14ac:dyDescent="0.25">
      <c r="A12" s="1160"/>
      <c r="B12" s="107"/>
      <c r="C12" s="108" t="s">
        <v>72</v>
      </c>
      <c r="D12" s="109">
        <f>SUM(D13:D16)</f>
        <v>19222089.66</v>
      </c>
      <c r="E12" s="110"/>
      <c r="F12" s="110"/>
      <c r="G12" s="109">
        <f>SUM(G13:G16)</f>
        <v>0</v>
      </c>
      <c r="H12" s="111">
        <f>SUM(H13:H16)</f>
        <v>19222089.66</v>
      </c>
      <c r="I12" s="654"/>
    </row>
    <row r="13" spans="1:9" x14ac:dyDescent="0.25">
      <c r="A13" s="1160"/>
      <c r="B13" s="112">
        <v>53103040100000</v>
      </c>
      <c r="C13" s="113" t="s">
        <v>73</v>
      </c>
      <c r="D13" s="643">
        <f>+'F) Remuneraciones'!M11</f>
        <v>19222089.66</v>
      </c>
      <c r="E13" s="115"/>
      <c r="F13" s="115"/>
      <c r="G13" s="115"/>
      <c r="H13" s="116">
        <f>D13+G13</f>
        <v>19222089.66</v>
      </c>
      <c r="I13" s="654"/>
    </row>
    <row r="14" spans="1:9" x14ac:dyDescent="0.25">
      <c r="A14" s="1160"/>
      <c r="B14" s="112">
        <v>53103050000000</v>
      </c>
      <c r="C14" s="113" t="s">
        <v>74</v>
      </c>
      <c r="D14" s="117"/>
      <c r="E14" s="118"/>
      <c r="F14" s="119"/>
      <c r="G14" s="120">
        <f>E14*F14</f>
        <v>0</v>
      </c>
      <c r="H14" s="121">
        <f t="shared" ref="H14:H16" si="0">D14+G14</f>
        <v>0</v>
      </c>
      <c r="I14" s="654"/>
    </row>
    <row r="15" spans="1:9" x14ac:dyDescent="0.25">
      <c r="A15" s="1160"/>
      <c r="B15" s="112">
        <v>53103060000000</v>
      </c>
      <c r="C15" s="113" t="s">
        <v>75</v>
      </c>
      <c r="D15" s="122"/>
      <c r="E15" s="123"/>
      <c r="F15" s="124"/>
      <c r="G15" s="125">
        <f t="shared" ref="G15:G16" si="1">E15*F15</f>
        <v>0</v>
      </c>
      <c r="H15" s="126">
        <f t="shared" si="0"/>
        <v>0</v>
      </c>
      <c r="I15" s="654"/>
    </row>
    <row r="16" spans="1:9" x14ac:dyDescent="0.25">
      <c r="A16" s="1160"/>
      <c r="B16" s="112">
        <v>53103080010000</v>
      </c>
      <c r="C16" s="113" t="s">
        <v>76</v>
      </c>
      <c r="D16" s="122"/>
      <c r="E16" s="123"/>
      <c r="F16" s="124"/>
      <c r="G16" s="125">
        <f t="shared" si="1"/>
        <v>0</v>
      </c>
      <c r="H16" s="126">
        <f t="shared" si="0"/>
        <v>0</v>
      </c>
      <c r="I16" s="655"/>
    </row>
    <row r="17" spans="1:9" x14ac:dyDescent="0.25">
      <c r="A17" s="1160"/>
      <c r="B17" s="107"/>
      <c r="C17" s="108" t="s">
        <v>77</v>
      </c>
      <c r="D17" s="109">
        <f>SUM(D18)</f>
        <v>0</v>
      </c>
      <c r="E17" s="127"/>
      <c r="F17" s="127"/>
      <c r="G17" s="128">
        <f>SUM(G18:G18)</f>
        <v>0</v>
      </c>
      <c r="H17" s="129">
        <f>SUM(H18:H18)</f>
        <v>0</v>
      </c>
      <c r="I17" s="654"/>
    </row>
    <row r="18" spans="1:9" x14ac:dyDescent="0.25">
      <c r="A18" s="1160"/>
      <c r="B18" s="112">
        <v>55201010100001</v>
      </c>
      <c r="C18" s="113" t="s">
        <v>78</v>
      </c>
      <c r="D18" s="122"/>
      <c r="E18" s="123"/>
      <c r="F18" s="124"/>
      <c r="G18" s="125">
        <f t="shared" ref="G18" si="2">E18*F18</f>
        <v>0</v>
      </c>
      <c r="H18" s="126">
        <f>D18+G18</f>
        <v>0</v>
      </c>
      <c r="I18" s="654"/>
    </row>
    <row r="19" spans="1:9" x14ac:dyDescent="0.25">
      <c r="A19" s="1160"/>
      <c r="B19" s="107"/>
      <c r="C19" s="108" t="s">
        <v>79</v>
      </c>
      <c r="D19" s="109">
        <f>SUM(D20:D38)</f>
        <v>9217463</v>
      </c>
      <c r="E19" s="127"/>
      <c r="F19" s="127"/>
      <c r="G19" s="130">
        <f>SUM(G20:G38)</f>
        <v>240000</v>
      </c>
      <c r="H19" s="129">
        <f>SUM(H20:H38)</f>
        <v>9457463</v>
      </c>
      <c r="I19" s="654"/>
    </row>
    <row r="20" spans="1:9" x14ac:dyDescent="0.25">
      <c r="A20" s="1160"/>
      <c r="B20" s="112">
        <v>53201010100000</v>
      </c>
      <c r="C20" s="113" t="s">
        <v>80</v>
      </c>
      <c r="D20" s="122">
        <v>2191800</v>
      </c>
      <c r="E20" s="123"/>
      <c r="F20" s="124"/>
      <c r="G20" s="125">
        <f t="shared" ref="G20:G38" si="3">E20*F20</f>
        <v>0</v>
      </c>
      <c r="H20" s="126">
        <f t="shared" ref="H20:H38" si="4">D20+G20</f>
        <v>2191800</v>
      </c>
      <c r="I20" s="655" t="s">
        <v>376</v>
      </c>
    </row>
    <row r="21" spans="1:9" x14ac:dyDescent="0.25">
      <c r="A21" s="1160"/>
      <c r="B21" s="112">
        <v>53202010100000</v>
      </c>
      <c r="C21" s="113" t="s">
        <v>81</v>
      </c>
      <c r="D21" s="122"/>
      <c r="E21" s="123"/>
      <c r="F21" s="124"/>
      <c r="G21" s="125">
        <f t="shared" si="3"/>
        <v>0</v>
      </c>
      <c r="H21" s="126">
        <f t="shared" si="4"/>
        <v>0</v>
      </c>
      <c r="I21" s="654"/>
    </row>
    <row r="22" spans="1:9" x14ac:dyDescent="0.25">
      <c r="A22" s="1160"/>
      <c r="B22" s="112">
        <v>53203010100000</v>
      </c>
      <c r="C22" s="113" t="s">
        <v>82</v>
      </c>
      <c r="D22" s="131"/>
      <c r="E22" s="132"/>
      <c r="F22" s="133"/>
      <c r="G22" s="125">
        <f t="shared" si="3"/>
        <v>0</v>
      </c>
      <c r="H22" s="126">
        <f t="shared" si="4"/>
        <v>0</v>
      </c>
      <c r="I22" s="654"/>
    </row>
    <row r="23" spans="1:9" x14ac:dyDescent="0.25">
      <c r="A23" s="1160"/>
      <c r="B23" s="112">
        <v>53203030000000</v>
      </c>
      <c r="C23" s="113" t="s">
        <v>83</v>
      </c>
      <c r="D23" s="131"/>
      <c r="E23" s="132"/>
      <c r="F23" s="133"/>
      <c r="G23" s="125">
        <f t="shared" si="3"/>
        <v>0</v>
      </c>
      <c r="H23" s="126">
        <f t="shared" si="4"/>
        <v>0</v>
      </c>
      <c r="I23" s="654"/>
    </row>
    <row r="24" spans="1:9" x14ac:dyDescent="0.25">
      <c r="A24" s="1160"/>
      <c r="B24" s="112">
        <v>53204030000000</v>
      </c>
      <c r="C24" s="113" t="s">
        <v>84</v>
      </c>
      <c r="D24" s="131"/>
      <c r="E24" s="132"/>
      <c r="F24" s="133"/>
      <c r="G24" s="125">
        <f t="shared" si="3"/>
        <v>0</v>
      </c>
      <c r="H24" s="126">
        <f t="shared" si="4"/>
        <v>0</v>
      </c>
      <c r="I24" s="654"/>
    </row>
    <row r="25" spans="1:9" x14ac:dyDescent="0.25">
      <c r="A25" s="1160"/>
      <c r="B25" s="112">
        <v>53204100100001</v>
      </c>
      <c r="C25" s="113" t="s">
        <v>85</v>
      </c>
      <c r="D25" s="131">
        <v>353011</v>
      </c>
      <c r="E25" s="132"/>
      <c r="F25" s="133"/>
      <c r="G25" s="125">
        <f t="shared" si="3"/>
        <v>0</v>
      </c>
      <c r="H25" s="126">
        <f t="shared" si="4"/>
        <v>353011</v>
      </c>
      <c r="I25" s="654"/>
    </row>
    <row r="26" spans="1:9" x14ac:dyDescent="0.25">
      <c r="A26" s="1160"/>
      <c r="B26" s="112">
        <v>53204130100000</v>
      </c>
      <c r="C26" s="113" t="s">
        <v>86</v>
      </c>
      <c r="D26" s="131">
        <v>88853</v>
      </c>
      <c r="E26" s="132"/>
      <c r="F26" s="133"/>
      <c r="G26" s="125">
        <f t="shared" si="3"/>
        <v>0</v>
      </c>
      <c r="H26" s="126">
        <f t="shared" si="4"/>
        <v>88853</v>
      </c>
      <c r="I26" s="654"/>
    </row>
    <row r="27" spans="1:9" x14ac:dyDescent="0.25">
      <c r="A27" s="1160"/>
      <c r="B27" s="112">
        <v>53205010100000</v>
      </c>
      <c r="C27" s="113" t="s">
        <v>87</v>
      </c>
      <c r="D27" s="131">
        <v>813384</v>
      </c>
      <c r="E27" s="132"/>
      <c r="F27" s="133"/>
      <c r="G27" s="125">
        <f t="shared" si="3"/>
        <v>0</v>
      </c>
      <c r="H27" s="126">
        <f t="shared" si="4"/>
        <v>813384</v>
      </c>
      <c r="I27" s="654" t="s">
        <v>377</v>
      </c>
    </row>
    <row r="28" spans="1:9" x14ac:dyDescent="0.25">
      <c r="A28" s="1160"/>
      <c r="B28" s="112">
        <v>53205020100000</v>
      </c>
      <c r="C28" s="113" t="s">
        <v>88</v>
      </c>
      <c r="D28" s="131">
        <v>2091747</v>
      </c>
      <c r="E28" s="132"/>
      <c r="F28" s="133"/>
      <c r="G28" s="125">
        <f t="shared" si="3"/>
        <v>0</v>
      </c>
      <c r="H28" s="126">
        <f t="shared" si="4"/>
        <v>2091747</v>
      </c>
      <c r="I28" s="654" t="s">
        <v>377</v>
      </c>
    </row>
    <row r="29" spans="1:9" x14ac:dyDescent="0.25">
      <c r="A29" s="1160"/>
      <c r="B29" s="112">
        <v>53205030100000</v>
      </c>
      <c r="C29" s="113" t="s">
        <v>89</v>
      </c>
      <c r="D29" s="131">
        <v>3002075</v>
      </c>
      <c r="E29" s="132"/>
      <c r="F29" s="133"/>
      <c r="G29" s="125">
        <f t="shared" si="3"/>
        <v>0</v>
      </c>
      <c r="H29" s="126">
        <f t="shared" si="4"/>
        <v>3002075</v>
      </c>
      <c r="I29" s="654" t="s">
        <v>378</v>
      </c>
    </row>
    <row r="30" spans="1:9" x14ac:dyDescent="0.25">
      <c r="A30" s="1160"/>
      <c r="B30" s="112">
        <v>53205050100000</v>
      </c>
      <c r="C30" s="113" t="s">
        <v>90</v>
      </c>
      <c r="D30" s="131"/>
      <c r="E30" s="132"/>
      <c r="F30" s="133"/>
      <c r="G30" s="125">
        <f t="shared" si="3"/>
        <v>0</v>
      </c>
      <c r="H30" s="126">
        <f t="shared" si="4"/>
        <v>0</v>
      </c>
      <c r="I30" s="654"/>
    </row>
    <row r="31" spans="1:9" x14ac:dyDescent="0.25">
      <c r="A31" s="1160"/>
      <c r="B31" s="112">
        <v>53205060100000</v>
      </c>
      <c r="C31" s="113" t="s">
        <v>91</v>
      </c>
      <c r="D31" s="131"/>
      <c r="E31" s="132">
        <v>20000</v>
      </c>
      <c r="F31" s="133">
        <v>12</v>
      </c>
      <c r="G31" s="125">
        <f t="shared" si="3"/>
        <v>240000</v>
      </c>
      <c r="H31" s="126">
        <f t="shared" si="4"/>
        <v>240000</v>
      </c>
      <c r="I31" s="654"/>
    </row>
    <row r="32" spans="1:9" x14ac:dyDescent="0.25">
      <c r="A32" s="1160"/>
      <c r="B32" s="112">
        <v>53205070100000</v>
      </c>
      <c r="C32" s="113" t="s">
        <v>92</v>
      </c>
      <c r="D32" s="131"/>
      <c r="E32" s="132"/>
      <c r="F32" s="133"/>
      <c r="G32" s="125">
        <f t="shared" si="3"/>
        <v>0</v>
      </c>
      <c r="H32" s="126">
        <f t="shared" si="4"/>
        <v>0</v>
      </c>
      <c r="I32" s="654"/>
    </row>
    <row r="33" spans="1:9" x14ac:dyDescent="0.25">
      <c r="A33" s="1160"/>
      <c r="B33" s="112">
        <v>53208010100000</v>
      </c>
      <c r="C33" s="113" t="s">
        <v>93</v>
      </c>
      <c r="D33" s="131"/>
      <c r="E33" s="132"/>
      <c r="F33" s="133"/>
      <c r="G33" s="125">
        <f t="shared" si="3"/>
        <v>0</v>
      </c>
      <c r="H33" s="126">
        <f t="shared" si="4"/>
        <v>0</v>
      </c>
      <c r="I33" s="654"/>
    </row>
    <row r="34" spans="1:9" x14ac:dyDescent="0.25">
      <c r="A34" s="1160"/>
      <c r="B34" s="112">
        <v>53208070100001</v>
      </c>
      <c r="C34" s="113" t="s">
        <v>94</v>
      </c>
      <c r="D34" s="131"/>
      <c r="E34" s="132"/>
      <c r="F34" s="133"/>
      <c r="G34" s="125">
        <f t="shared" si="3"/>
        <v>0</v>
      </c>
      <c r="H34" s="126">
        <f t="shared" si="4"/>
        <v>0</v>
      </c>
      <c r="I34" s="654"/>
    </row>
    <row r="35" spans="1:9" x14ac:dyDescent="0.25">
      <c r="A35" s="1160"/>
      <c r="B35" s="112">
        <v>53208100100001</v>
      </c>
      <c r="C35" s="113" t="s">
        <v>95</v>
      </c>
      <c r="D35" s="131"/>
      <c r="E35" s="132"/>
      <c r="F35" s="133"/>
      <c r="G35" s="125">
        <f t="shared" si="3"/>
        <v>0</v>
      </c>
      <c r="H35" s="126">
        <f t="shared" si="4"/>
        <v>0</v>
      </c>
      <c r="I35" s="654"/>
    </row>
    <row r="36" spans="1:9" x14ac:dyDescent="0.25">
      <c r="A36" s="1160"/>
      <c r="B36" s="112">
        <v>53211030000000</v>
      </c>
      <c r="C36" s="113" t="s">
        <v>96</v>
      </c>
      <c r="D36" s="131"/>
      <c r="E36" s="132"/>
      <c r="F36" s="133"/>
      <c r="G36" s="125">
        <f t="shared" si="3"/>
        <v>0</v>
      </c>
      <c r="H36" s="126">
        <f t="shared" si="4"/>
        <v>0</v>
      </c>
      <c r="I36" s="654"/>
    </row>
    <row r="37" spans="1:9" x14ac:dyDescent="0.25">
      <c r="A37" s="1160"/>
      <c r="B37" s="112">
        <v>53212020100000</v>
      </c>
      <c r="C37" s="113" t="s">
        <v>97</v>
      </c>
      <c r="D37" s="131">
        <v>676593</v>
      </c>
      <c r="E37" s="132"/>
      <c r="F37" s="133"/>
      <c r="G37" s="125">
        <f t="shared" si="3"/>
        <v>0</v>
      </c>
      <c r="H37" s="126">
        <f t="shared" si="4"/>
        <v>676593</v>
      </c>
      <c r="I37" s="654"/>
    </row>
    <row r="38" spans="1:9" x14ac:dyDescent="0.25">
      <c r="A38" s="1160"/>
      <c r="B38" s="112">
        <v>53214020000000</v>
      </c>
      <c r="C38" s="113" t="s">
        <v>98</v>
      </c>
      <c r="D38" s="122"/>
      <c r="E38" s="123"/>
      <c r="F38" s="124"/>
      <c r="G38" s="125">
        <f t="shared" si="3"/>
        <v>0</v>
      </c>
      <c r="H38" s="126">
        <f t="shared" si="4"/>
        <v>0</v>
      </c>
      <c r="I38" s="654"/>
    </row>
    <row r="39" spans="1:9" x14ac:dyDescent="0.25">
      <c r="A39" s="1160"/>
      <c r="B39" s="102"/>
      <c r="C39" s="103" t="s">
        <v>99</v>
      </c>
      <c r="D39" s="134">
        <f>SUM(D40,D45,D48,D59,D69,D77)</f>
        <v>3233440</v>
      </c>
      <c r="E39" s="105"/>
      <c r="F39" s="105"/>
      <c r="G39" s="135">
        <f>SUM(G40,G45,G48,G59,G69,G77)</f>
        <v>4928968</v>
      </c>
      <c r="H39" s="136">
        <f>SUM(H40,H45,H48,H59,H69,H77)</f>
        <v>10705485</v>
      </c>
      <c r="I39" s="654"/>
    </row>
    <row r="40" spans="1:9" x14ac:dyDescent="0.25">
      <c r="A40" s="1160"/>
      <c r="B40" s="107"/>
      <c r="C40" s="108" t="s">
        <v>100</v>
      </c>
      <c r="D40" s="109">
        <f>SUM(D41:D44)</f>
        <v>761600</v>
      </c>
      <c r="E40" s="127"/>
      <c r="F40" s="127"/>
      <c r="G40" s="128">
        <f>SUM(G41:G44)</f>
        <v>0</v>
      </c>
      <c r="H40" s="137">
        <f>SUM(H41:H44)</f>
        <v>761600</v>
      </c>
      <c r="I40" s="654"/>
    </row>
    <row r="41" spans="1:9" x14ac:dyDescent="0.25">
      <c r="A41" s="1160"/>
      <c r="B41" s="112">
        <v>53202020100000</v>
      </c>
      <c r="C41" s="113" t="s">
        <v>101</v>
      </c>
      <c r="D41" s="131">
        <v>761600</v>
      </c>
      <c r="E41" s="132"/>
      <c r="F41" s="133"/>
      <c r="G41" s="125">
        <f>E41*F41</f>
        <v>0</v>
      </c>
      <c r="H41" s="126">
        <f t="shared" ref="H41:H79" si="5">D41+G41</f>
        <v>761600</v>
      </c>
      <c r="I41" s="654"/>
    </row>
    <row r="42" spans="1:9" x14ac:dyDescent="0.25">
      <c r="A42" s="1160"/>
      <c r="B42" s="112">
        <v>53202030000000</v>
      </c>
      <c r="C42" s="113" t="s">
        <v>102</v>
      </c>
      <c r="D42" s="122"/>
      <c r="E42" s="123"/>
      <c r="F42" s="124"/>
      <c r="G42" s="125">
        <f t="shared" ref="G42:G79" si="6">E42*F42</f>
        <v>0</v>
      </c>
      <c r="H42" s="126">
        <f t="shared" si="5"/>
        <v>0</v>
      </c>
      <c r="I42" s="654"/>
    </row>
    <row r="43" spans="1:9" x14ac:dyDescent="0.25">
      <c r="A43" s="1160"/>
      <c r="B43" s="112">
        <v>53211020000000</v>
      </c>
      <c r="C43" s="113" t="s">
        <v>103</v>
      </c>
      <c r="D43" s="131"/>
      <c r="E43" s="132"/>
      <c r="F43" s="133"/>
      <c r="G43" s="125">
        <f t="shared" si="6"/>
        <v>0</v>
      </c>
      <c r="H43" s="126">
        <f t="shared" si="5"/>
        <v>0</v>
      </c>
      <c r="I43" s="654"/>
    </row>
    <row r="44" spans="1:9" x14ac:dyDescent="0.25">
      <c r="A44" s="1160"/>
      <c r="B44" s="112">
        <v>53101004030000</v>
      </c>
      <c r="C44" s="113" t="s">
        <v>104</v>
      </c>
      <c r="D44" s="122"/>
      <c r="E44" s="123"/>
      <c r="F44" s="124"/>
      <c r="G44" s="125">
        <f t="shared" si="6"/>
        <v>0</v>
      </c>
      <c r="H44" s="126">
        <f t="shared" si="5"/>
        <v>0</v>
      </c>
      <c r="I44" s="654"/>
    </row>
    <row r="45" spans="1:9" x14ac:dyDescent="0.25">
      <c r="A45" s="1160"/>
      <c r="B45" s="107"/>
      <c r="C45" s="108" t="s">
        <v>105</v>
      </c>
      <c r="D45" s="109"/>
      <c r="E45" s="127"/>
      <c r="F45" s="127"/>
      <c r="G45" s="128">
        <f>SUM(G46:G47)</f>
        <v>0</v>
      </c>
      <c r="H45" s="137">
        <f>SUM(H46:H47)</f>
        <v>217396</v>
      </c>
      <c r="I45" s="654"/>
    </row>
    <row r="46" spans="1:9" x14ac:dyDescent="0.25">
      <c r="A46" s="1160"/>
      <c r="B46" s="112">
        <v>53205080000000</v>
      </c>
      <c r="C46" s="138" t="s">
        <v>106</v>
      </c>
      <c r="D46" s="122"/>
      <c r="E46" s="123"/>
      <c r="F46" s="124"/>
      <c r="G46" s="125">
        <f t="shared" si="6"/>
        <v>0</v>
      </c>
      <c r="H46" s="126">
        <f t="shared" si="5"/>
        <v>0</v>
      </c>
      <c r="I46" s="654"/>
    </row>
    <row r="47" spans="1:9" x14ac:dyDescent="0.25">
      <c r="A47" s="1160"/>
      <c r="B47" s="112">
        <v>53205990000000</v>
      </c>
      <c r="C47" s="113" t="s">
        <v>107</v>
      </c>
      <c r="D47" s="131">
        <v>217396</v>
      </c>
      <c r="E47" s="132"/>
      <c r="F47" s="133"/>
      <c r="G47" s="125">
        <f t="shared" si="6"/>
        <v>0</v>
      </c>
      <c r="H47" s="126">
        <f t="shared" si="5"/>
        <v>217396</v>
      </c>
      <c r="I47" s="654"/>
    </row>
    <row r="48" spans="1:9" x14ac:dyDescent="0.25">
      <c r="A48" s="1160"/>
      <c r="B48" s="107"/>
      <c r="C48" s="108" t="s">
        <v>108</v>
      </c>
      <c r="D48" s="109"/>
      <c r="E48" s="127"/>
      <c r="F48" s="127"/>
      <c r="G48" s="130">
        <f>SUM(G49:G58)</f>
        <v>4928968</v>
      </c>
      <c r="H48" s="129">
        <f>SUM(H49:H58)</f>
        <v>7254649</v>
      </c>
      <c r="I48" s="654"/>
    </row>
    <row r="49" spans="1:13" x14ac:dyDescent="0.25">
      <c r="A49" s="1160"/>
      <c r="B49" s="112">
        <v>53203010200000</v>
      </c>
      <c r="C49" s="113" t="s">
        <v>109</v>
      </c>
      <c r="D49" s="164"/>
      <c r="E49" s="165"/>
      <c r="F49" s="166"/>
      <c r="G49" s="125">
        <f t="shared" si="6"/>
        <v>0</v>
      </c>
      <c r="H49" s="126">
        <f t="shared" si="5"/>
        <v>0</v>
      </c>
      <c r="I49" s="654"/>
    </row>
    <row r="50" spans="1:13" x14ac:dyDescent="0.25">
      <c r="A50" s="1160"/>
      <c r="B50" s="112">
        <v>53204010000000</v>
      </c>
      <c r="C50" s="113" t="s">
        <v>110</v>
      </c>
      <c r="D50" s="131">
        <v>278780</v>
      </c>
      <c r="E50" s="131"/>
      <c r="F50" s="133"/>
      <c r="G50" s="125">
        <f t="shared" si="6"/>
        <v>0</v>
      </c>
      <c r="H50" s="126">
        <f t="shared" si="5"/>
        <v>278780</v>
      </c>
      <c r="I50" s="654"/>
    </row>
    <row r="51" spans="1:13" x14ac:dyDescent="0.25">
      <c r="A51" s="1160"/>
      <c r="B51" s="112">
        <v>53204040200000</v>
      </c>
      <c r="C51" s="138" t="s">
        <v>111</v>
      </c>
      <c r="D51" s="131"/>
      <c r="E51" s="131"/>
      <c r="F51" s="133"/>
      <c r="G51" s="125">
        <f t="shared" si="6"/>
        <v>0</v>
      </c>
      <c r="H51" s="126">
        <f t="shared" si="5"/>
        <v>0</v>
      </c>
      <c r="I51" s="654"/>
    </row>
    <row r="52" spans="1:13" x14ac:dyDescent="0.25">
      <c r="A52" s="1160"/>
      <c r="B52" s="112">
        <v>53204060000000</v>
      </c>
      <c r="C52" s="138" t="s">
        <v>112</v>
      </c>
      <c r="D52" s="131"/>
      <c r="E52" s="131"/>
      <c r="F52" s="133"/>
      <c r="G52" s="125">
        <f t="shared" si="6"/>
        <v>0</v>
      </c>
      <c r="H52" s="126">
        <f t="shared" si="5"/>
        <v>0</v>
      </c>
      <c r="I52" s="654"/>
    </row>
    <row r="53" spans="1:13" x14ac:dyDescent="0.25">
      <c r="A53" s="1160"/>
      <c r="B53" s="112">
        <v>53204070000000</v>
      </c>
      <c r="C53" s="113" t="s">
        <v>113</v>
      </c>
      <c r="D53" s="131">
        <v>1761777</v>
      </c>
      <c r="E53" s="131"/>
      <c r="F53" s="133"/>
      <c r="G53" s="125">
        <f t="shared" si="6"/>
        <v>0</v>
      </c>
      <c r="H53" s="126">
        <f t="shared" si="5"/>
        <v>1761777</v>
      </c>
      <c r="I53" s="654" t="s">
        <v>379</v>
      </c>
    </row>
    <row r="54" spans="1:13" x14ac:dyDescent="0.25">
      <c r="A54" s="1160"/>
      <c r="B54" s="112">
        <v>53204080000000</v>
      </c>
      <c r="C54" s="138" t="s">
        <v>114</v>
      </c>
      <c r="D54" s="131"/>
      <c r="E54" s="131"/>
      <c r="F54" s="133"/>
      <c r="G54" s="125">
        <f t="shared" si="6"/>
        <v>0</v>
      </c>
      <c r="H54" s="126">
        <f t="shared" si="5"/>
        <v>0</v>
      </c>
      <c r="I54" s="654"/>
    </row>
    <row r="55" spans="1:13" x14ac:dyDescent="0.25">
      <c r="A55" s="1160"/>
      <c r="B55" s="112">
        <v>53214010000000</v>
      </c>
      <c r="C55" s="138" t="s">
        <v>115</v>
      </c>
      <c r="D55" s="122">
        <v>285124</v>
      </c>
      <c r="E55" s="122"/>
      <c r="F55" s="124"/>
      <c r="G55" s="125">
        <f t="shared" si="6"/>
        <v>0</v>
      </c>
      <c r="H55" s="126">
        <f t="shared" si="5"/>
        <v>285124</v>
      </c>
      <c r="I55" s="654"/>
    </row>
    <row r="56" spans="1:13" x14ac:dyDescent="0.25">
      <c r="A56" s="1160"/>
      <c r="B56" s="112">
        <v>53214040000000</v>
      </c>
      <c r="C56" s="113" t="s">
        <v>116</v>
      </c>
      <c r="D56" s="122"/>
      <c r="E56" s="122"/>
      <c r="F56" s="124"/>
      <c r="G56" s="125">
        <f t="shared" si="6"/>
        <v>0</v>
      </c>
      <c r="H56" s="126">
        <f t="shared" si="5"/>
        <v>0</v>
      </c>
      <c r="I56" s="654"/>
      <c r="M56" s="555"/>
    </row>
    <row r="57" spans="1:13" x14ac:dyDescent="0.25">
      <c r="A57" s="1160"/>
      <c r="B57" s="112">
        <v>55201010100004</v>
      </c>
      <c r="C57" s="113" t="s">
        <v>117</v>
      </c>
      <c r="D57" s="122"/>
      <c r="E57" s="114">
        <f>+'I) Costo Desayuno'!C29</f>
        <v>3476</v>
      </c>
      <c r="F57" s="124">
        <f>+'B) Reajuste Tarifas y Ocupación'!Z15</f>
        <v>1418</v>
      </c>
      <c r="G57" s="125">
        <f t="shared" si="6"/>
        <v>4928968</v>
      </c>
      <c r="H57" s="126">
        <f t="shared" si="5"/>
        <v>4928968</v>
      </c>
      <c r="I57" s="654"/>
    </row>
    <row r="58" spans="1:13" x14ac:dyDescent="0.25">
      <c r="A58" s="1160"/>
      <c r="B58" s="112">
        <v>55201010100005</v>
      </c>
      <c r="C58" s="113" t="s">
        <v>118</v>
      </c>
      <c r="D58" s="122"/>
      <c r="E58" s="122"/>
      <c r="F58" s="124"/>
      <c r="G58" s="125">
        <f t="shared" si="6"/>
        <v>0</v>
      </c>
      <c r="H58" s="126">
        <f t="shared" si="5"/>
        <v>0</v>
      </c>
      <c r="I58" s="654"/>
    </row>
    <row r="59" spans="1:13" x14ac:dyDescent="0.25">
      <c r="A59" s="1160"/>
      <c r="B59" s="107"/>
      <c r="C59" s="108" t="s">
        <v>119</v>
      </c>
      <c r="D59" s="109">
        <f>SUM(D60:D68)</f>
        <v>1204469</v>
      </c>
      <c r="E59" s="127"/>
      <c r="F59" s="127"/>
      <c r="G59" s="130">
        <f>SUM(G60:G68)</f>
        <v>0</v>
      </c>
      <c r="H59" s="129">
        <f>SUM(H60:H68)</f>
        <v>1204469</v>
      </c>
      <c r="I59" s="654"/>
    </row>
    <row r="60" spans="1:13" x14ac:dyDescent="0.25">
      <c r="A60" s="1160"/>
      <c r="B60" s="112">
        <v>53207010000000</v>
      </c>
      <c r="C60" s="113" t="s">
        <v>120</v>
      </c>
      <c r="D60" s="131"/>
      <c r="E60" s="131"/>
      <c r="F60" s="133"/>
      <c r="G60" s="125">
        <f t="shared" si="6"/>
        <v>0</v>
      </c>
      <c r="H60" s="126">
        <f t="shared" si="5"/>
        <v>0</v>
      </c>
      <c r="I60" s="654"/>
    </row>
    <row r="61" spans="1:13" x14ac:dyDescent="0.25">
      <c r="A61" s="1160"/>
      <c r="B61" s="112">
        <v>53207020000000</v>
      </c>
      <c r="C61" s="113" t="s">
        <v>121</v>
      </c>
      <c r="D61" s="131"/>
      <c r="E61" s="131"/>
      <c r="F61" s="133"/>
      <c r="G61" s="125">
        <f t="shared" si="6"/>
        <v>0</v>
      </c>
      <c r="H61" s="126">
        <f t="shared" si="5"/>
        <v>0</v>
      </c>
      <c r="I61" s="654"/>
    </row>
    <row r="62" spans="1:13" x14ac:dyDescent="0.25">
      <c r="A62" s="1160"/>
      <c r="B62" s="112">
        <v>53208020000000</v>
      </c>
      <c r="C62" s="113" t="s">
        <v>122</v>
      </c>
      <c r="D62" s="131"/>
      <c r="E62" s="131"/>
      <c r="F62" s="133"/>
      <c r="G62" s="125">
        <f t="shared" si="6"/>
        <v>0</v>
      </c>
      <c r="H62" s="126">
        <f t="shared" si="5"/>
        <v>0</v>
      </c>
      <c r="I62" s="654"/>
    </row>
    <row r="63" spans="1:13" x14ac:dyDescent="0.25">
      <c r="A63" s="1160"/>
      <c r="B63" s="112">
        <v>53208990000000</v>
      </c>
      <c r="C63" s="113" t="s">
        <v>123</v>
      </c>
      <c r="D63" s="131">
        <v>1204469</v>
      </c>
      <c r="E63" s="131"/>
      <c r="F63" s="133"/>
      <c r="G63" s="125">
        <f t="shared" si="6"/>
        <v>0</v>
      </c>
      <c r="H63" s="126">
        <f t="shared" si="5"/>
        <v>1204469</v>
      </c>
      <c r="I63" s="654"/>
    </row>
    <row r="64" spans="1:13" x14ac:dyDescent="0.25">
      <c r="A64" s="1160"/>
      <c r="B64" s="112">
        <v>53209010000000</v>
      </c>
      <c r="C64" s="113" t="s">
        <v>124</v>
      </c>
      <c r="D64" s="131"/>
      <c r="E64" s="131"/>
      <c r="F64" s="133"/>
      <c r="G64" s="125">
        <f t="shared" si="6"/>
        <v>0</v>
      </c>
      <c r="H64" s="126">
        <f t="shared" si="5"/>
        <v>0</v>
      </c>
      <c r="I64" s="654"/>
    </row>
    <row r="65" spans="1:9" x14ac:dyDescent="0.25">
      <c r="A65" s="1160"/>
      <c r="B65" s="112">
        <v>53209040000000</v>
      </c>
      <c r="C65" s="113" t="s">
        <v>125</v>
      </c>
      <c r="D65" s="131"/>
      <c r="E65" s="131"/>
      <c r="F65" s="133"/>
      <c r="G65" s="125">
        <f t="shared" si="6"/>
        <v>0</v>
      </c>
      <c r="H65" s="126">
        <f t="shared" si="5"/>
        <v>0</v>
      </c>
      <c r="I65" s="654"/>
    </row>
    <row r="66" spans="1:9" x14ac:dyDescent="0.25">
      <c r="A66" s="1160"/>
      <c r="B66" s="112">
        <v>53209050000000</v>
      </c>
      <c r="C66" s="113" t="s">
        <v>126</v>
      </c>
      <c r="D66" s="131"/>
      <c r="E66" s="131"/>
      <c r="F66" s="133"/>
      <c r="G66" s="125">
        <f t="shared" si="6"/>
        <v>0</v>
      </c>
      <c r="H66" s="126">
        <f t="shared" si="5"/>
        <v>0</v>
      </c>
      <c r="I66" s="654"/>
    </row>
    <row r="67" spans="1:9" x14ac:dyDescent="0.25">
      <c r="A67" s="1160"/>
      <c r="B67" s="112">
        <v>53209990000000</v>
      </c>
      <c r="C67" s="113" t="s">
        <v>127</v>
      </c>
      <c r="D67" s="131"/>
      <c r="E67" s="131"/>
      <c r="F67" s="133"/>
      <c r="G67" s="125">
        <f t="shared" si="6"/>
        <v>0</v>
      </c>
      <c r="H67" s="126">
        <f t="shared" si="5"/>
        <v>0</v>
      </c>
      <c r="I67" s="654"/>
    </row>
    <row r="68" spans="1:9" x14ac:dyDescent="0.25">
      <c r="A68" s="1160"/>
      <c r="B68" s="112">
        <v>53210020100000</v>
      </c>
      <c r="C68" s="113" t="s">
        <v>128</v>
      </c>
      <c r="D68" s="131"/>
      <c r="E68" s="131"/>
      <c r="F68" s="133"/>
      <c r="G68" s="125">
        <f t="shared" si="6"/>
        <v>0</v>
      </c>
      <c r="H68" s="126">
        <f t="shared" si="5"/>
        <v>0</v>
      </c>
      <c r="I68" s="654"/>
    </row>
    <row r="69" spans="1:9" x14ac:dyDescent="0.25">
      <c r="A69" s="1160"/>
      <c r="B69" s="107"/>
      <c r="C69" s="108" t="s">
        <v>129</v>
      </c>
      <c r="D69" s="109">
        <f>SUM(D70:D76)</f>
        <v>1222071</v>
      </c>
      <c r="E69" s="127"/>
      <c r="F69" s="127"/>
      <c r="G69" s="130">
        <f>SUM(G70:G76)</f>
        <v>0</v>
      </c>
      <c r="H69" s="129">
        <f>SUM(H70:H76)</f>
        <v>1222071</v>
      </c>
      <c r="I69" s="654"/>
    </row>
    <row r="70" spans="1:9" x14ac:dyDescent="0.25">
      <c r="A70" s="1160"/>
      <c r="B70" s="112">
        <v>53206030000000</v>
      </c>
      <c r="C70" s="113" t="s">
        <v>130</v>
      </c>
      <c r="D70" s="131">
        <v>1039584</v>
      </c>
      <c r="E70" s="131"/>
      <c r="F70" s="133"/>
      <c r="G70" s="125">
        <f t="shared" si="6"/>
        <v>0</v>
      </c>
      <c r="H70" s="126">
        <f t="shared" si="5"/>
        <v>1039584</v>
      </c>
      <c r="I70" s="654"/>
    </row>
    <row r="71" spans="1:9" x14ac:dyDescent="0.25">
      <c r="A71" s="1160"/>
      <c r="B71" s="112">
        <v>53206040000000</v>
      </c>
      <c r="C71" s="113" t="s">
        <v>131</v>
      </c>
      <c r="D71" s="131"/>
      <c r="E71" s="131"/>
      <c r="F71" s="133"/>
      <c r="G71" s="125">
        <f t="shared" si="6"/>
        <v>0</v>
      </c>
      <c r="H71" s="126">
        <f t="shared" si="5"/>
        <v>0</v>
      </c>
      <c r="I71" s="654"/>
    </row>
    <row r="72" spans="1:9" x14ac:dyDescent="0.25">
      <c r="A72" s="1160"/>
      <c r="B72" s="112">
        <v>53206060000000</v>
      </c>
      <c r="C72" s="113" t="s">
        <v>132</v>
      </c>
      <c r="D72" s="131"/>
      <c r="E72" s="131"/>
      <c r="F72" s="133"/>
      <c r="G72" s="125">
        <f t="shared" si="6"/>
        <v>0</v>
      </c>
      <c r="H72" s="126">
        <f t="shared" si="5"/>
        <v>0</v>
      </c>
      <c r="I72" s="654"/>
    </row>
    <row r="73" spans="1:9" x14ac:dyDescent="0.25">
      <c r="A73" s="1160"/>
      <c r="B73" s="112">
        <v>53206070000000</v>
      </c>
      <c r="C73" s="113" t="s">
        <v>133</v>
      </c>
      <c r="D73" s="131"/>
      <c r="E73" s="131"/>
      <c r="F73" s="133"/>
      <c r="G73" s="125">
        <f t="shared" si="6"/>
        <v>0</v>
      </c>
      <c r="H73" s="126">
        <f t="shared" si="5"/>
        <v>0</v>
      </c>
      <c r="I73" s="654"/>
    </row>
    <row r="74" spans="1:9" x14ac:dyDescent="0.25">
      <c r="A74" s="1160"/>
      <c r="B74" s="112">
        <v>53206990000000</v>
      </c>
      <c r="C74" s="113" t="s">
        <v>134</v>
      </c>
      <c r="D74" s="131">
        <v>182487</v>
      </c>
      <c r="E74" s="131"/>
      <c r="F74" s="133"/>
      <c r="G74" s="125">
        <f t="shared" si="6"/>
        <v>0</v>
      </c>
      <c r="H74" s="126">
        <f t="shared" si="5"/>
        <v>182487</v>
      </c>
      <c r="I74" s="654"/>
    </row>
    <row r="75" spans="1:9" x14ac:dyDescent="0.25">
      <c r="A75" s="1160"/>
      <c r="B75" s="112">
        <v>53208030000000</v>
      </c>
      <c r="C75" s="113" t="s">
        <v>135</v>
      </c>
      <c r="D75" s="131"/>
      <c r="E75" s="131"/>
      <c r="F75" s="133"/>
      <c r="G75" s="125">
        <f t="shared" si="6"/>
        <v>0</v>
      </c>
      <c r="H75" s="126">
        <f t="shared" si="5"/>
        <v>0</v>
      </c>
      <c r="I75" s="654"/>
    </row>
    <row r="76" spans="1:9" x14ac:dyDescent="0.25">
      <c r="A76" s="1160"/>
      <c r="B76" s="112">
        <v>53212060000000</v>
      </c>
      <c r="C76" s="113" t="s">
        <v>136</v>
      </c>
      <c r="D76" s="122"/>
      <c r="E76" s="122"/>
      <c r="F76" s="124"/>
      <c r="G76" s="125">
        <f t="shared" si="6"/>
        <v>0</v>
      </c>
      <c r="H76" s="126">
        <f t="shared" si="5"/>
        <v>0</v>
      </c>
      <c r="I76" s="654"/>
    </row>
    <row r="77" spans="1:9" x14ac:dyDescent="0.25">
      <c r="A77" s="1160"/>
      <c r="B77" s="107"/>
      <c r="C77" s="108" t="s">
        <v>137</v>
      </c>
      <c r="D77" s="109">
        <f>SUM(D78:D79)</f>
        <v>45300</v>
      </c>
      <c r="E77" s="127"/>
      <c r="F77" s="127"/>
      <c r="G77" s="130">
        <f>SUM(G78:G79)</f>
        <v>0</v>
      </c>
      <c r="H77" s="129">
        <f>SUM(H78:H79)</f>
        <v>45300</v>
      </c>
      <c r="I77" s="654"/>
    </row>
    <row r="78" spans="1:9" x14ac:dyDescent="0.25">
      <c r="A78" s="1160"/>
      <c r="B78" s="112">
        <v>53210020500000</v>
      </c>
      <c r="C78" s="113" t="s">
        <v>138</v>
      </c>
      <c r="D78" s="122"/>
      <c r="E78" s="122"/>
      <c r="F78" s="124"/>
      <c r="G78" s="125">
        <f t="shared" si="6"/>
        <v>0</v>
      </c>
      <c r="H78" s="139">
        <f t="shared" si="5"/>
        <v>0</v>
      </c>
      <c r="I78" s="654"/>
    </row>
    <row r="79" spans="1:9" x14ac:dyDescent="0.25">
      <c r="A79" s="1160"/>
      <c r="B79" s="140">
        <v>53204999000000</v>
      </c>
      <c r="C79" s="141" t="s">
        <v>139</v>
      </c>
      <c r="D79" s="131">
        <v>45300</v>
      </c>
      <c r="E79" s="131"/>
      <c r="F79" s="133"/>
      <c r="G79" s="142">
        <f t="shared" si="6"/>
        <v>0</v>
      </c>
      <c r="H79" s="139">
        <f t="shared" si="5"/>
        <v>45300</v>
      </c>
      <c r="I79" s="654"/>
    </row>
    <row r="80" spans="1:9" x14ac:dyDescent="0.25">
      <c r="A80" s="1161"/>
      <c r="B80" s="143"/>
      <c r="C80" s="144" t="s">
        <v>12</v>
      </c>
      <c r="D80" s="145">
        <f>SUM(D11,D39)</f>
        <v>31672992.66</v>
      </c>
      <c r="E80" s="146"/>
      <c r="F80" s="146"/>
      <c r="G80" s="145">
        <f>SUM(G11,G39)</f>
        <v>5168968</v>
      </c>
      <c r="H80" s="147">
        <f>SUM(H11,H39)</f>
        <v>39385037.659999996</v>
      </c>
      <c r="I80" s="656"/>
    </row>
    <row r="81" spans="1:9" x14ac:dyDescent="0.25">
      <c r="A81" s="1165" t="s">
        <v>22</v>
      </c>
      <c r="B81" s="1167" t="s">
        <v>63</v>
      </c>
      <c r="C81" s="1169" t="s">
        <v>64</v>
      </c>
      <c r="D81" s="1171" t="s">
        <v>65</v>
      </c>
      <c r="E81" s="1162" t="s">
        <v>66</v>
      </c>
      <c r="F81" s="1163"/>
      <c r="G81" s="1164"/>
      <c r="H81" s="1173" t="s">
        <v>349</v>
      </c>
      <c r="I81" s="1158" t="s">
        <v>67</v>
      </c>
    </row>
    <row r="82" spans="1:9" ht="41.25" customHeight="1" x14ac:dyDescent="0.25">
      <c r="A82" s="1166"/>
      <c r="B82" s="1168"/>
      <c r="C82" s="1170"/>
      <c r="D82" s="1172"/>
      <c r="E82" s="148" t="s">
        <v>68</v>
      </c>
      <c r="F82" s="149" t="s">
        <v>69</v>
      </c>
      <c r="G82" s="150" t="s">
        <v>70</v>
      </c>
      <c r="H82" s="1157"/>
      <c r="I82" s="1158"/>
    </row>
    <row r="83" spans="1:9" x14ac:dyDescent="0.25">
      <c r="A83" s="1159" t="str">
        <f>+'B) Reajuste Tarifas y Ocupación'!A19</f>
        <v>Salon de Eventos y Quinchos</v>
      </c>
      <c r="B83" s="151"/>
      <c r="C83" s="152" t="s">
        <v>71</v>
      </c>
      <c r="D83" s="153">
        <f>SUM(D84,D89,D91)</f>
        <v>0</v>
      </c>
      <c r="E83" s="154"/>
      <c r="F83" s="154"/>
      <c r="G83" s="153">
        <f>SUM(G84,G89,G91)</f>
        <v>0</v>
      </c>
      <c r="H83" s="155">
        <f>SUM(H84,H89,H91)</f>
        <v>0</v>
      </c>
      <c r="I83" s="656"/>
    </row>
    <row r="84" spans="1:9" x14ac:dyDescent="0.25">
      <c r="A84" s="1160"/>
      <c r="B84" s="107"/>
      <c r="C84" s="156" t="s">
        <v>72</v>
      </c>
      <c r="D84" s="157">
        <f>SUM(D85:D88)</f>
        <v>0</v>
      </c>
      <c r="E84" s="158"/>
      <c r="F84" s="158"/>
      <c r="G84" s="157">
        <f>SUM(G85:G88)</f>
        <v>0</v>
      </c>
      <c r="H84" s="159">
        <f>SUM(H85:H88)</f>
        <v>0</v>
      </c>
      <c r="I84" s="656"/>
    </row>
    <row r="85" spans="1:9" x14ac:dyDescent="0.25">
      <c r="A85" s="1160"/>
      <c r="B85" s="112">
        <v>53103040100000</v>
      </c>
      <c r="C85" s="160" t="s">
        <v>73</v>
      </c>
      <c r="D85" s="161">
        <f>+'F) Remuneraciones'!M51</f>
        <v>0</v>
      </c>
      <c r="E85" s="162"/>
      <c r="F85" s="162"/>
      <c r="G85" s="162"/>
      <c r="H85" s="163">
        <f>D85+G85</f>
        <v>0</v>
      </c>
      <c r="I85" s="656"/>
    </row>
    <row r="86" spans="1:9" x14ac:dyDescent="0.25">
      <c r="A86" s="1160"/>
      <c r="B86" s="112">
        <v>53103050000000</v>
      </c>
      <c r="C86" s="160" t="s">
        <v>74</v>
      </c>
      <c r="D86" s="117"/>
      <c r="E86" s="118"/>
      <c r="F86" s="119"/>
      <c r="G86" s="120">
        <f>E86*F86</f>
        <v>0</v>
      </c>
      <c r="H86" s="121">
        <f t="shared" ref="H86:H88" si="7">D86+G86</f>
        <v>0</v>
      </c>
      <c r="I86" s="656"/>
    </row>
    <row r="87" spans="1:9" x14ac:dyDescent="0.25">
      <c r="A87" s="1160"/>
      <c r="B87" s="112">
        <v>53103060000000</v>
      </c>
      <c r="C87" s="160" t="s">
        <v>75</v>
      </c>
      <c r="D87" s="164"/>
      <c r="E87" s="165"/>
      <c r="F87" s="166"/>
      <c r="G87" s="167">
        <f t="shared" ref="G87:G88" si="8">E87*F87</f>
        <v>0</v>
      </c>
      <c r="H87" s="168">
        <f t="shared" si="7"/>
        <v>0</v>
      </c>
      <c r="I87" s="656"/>
    </row>
    <row r="88" spans="1:9" x14ac:dyDescent="0.25">
      <c r="A88" s="1160"/>
      <c r="B88" s="112">
        <v>53103080010000</v>
      </c>
      <c r="C88" s="160" t="s">
        <v>76</v>
      </c>
      <c r="D88" s="164"/>
      <c r="E88" s="165"/>
      <c r="F88" s="166"/>
      <c r="G88" s="167">
        <f t="shared" si="8"/>
        <v>0</v>
      </c>
      <c r="H88" s="168">
        <f t="shared" si="7"/>
        <v>0</v>
      </c>
      <c r="I88" s="656"/>
    </row>
    <row r="89" spans="1:9" x14ac:dyDescent="0.25">
      <c r="A89" s="1160"/>
      <c r="B89" s="107"/>
      <c r="C89" s="156" t="s">
        <v>77</v>
      </c>
      <c r="D89" s="157">
        <f>SUM(D90)</f>
        <v>0</v>
      </c>
      <c r="E89" s="169"/>
      <c r="F89" s="169"/>
      <c r="G89" s="170">
        <f>SUM(G90:G90)</f>
        <v>0</v>
      </c>
      <c r="H89" s="129">
        <f>SUM(H90:H90)</f>
        <v>0</v>
      </c>
      <c r="I89" s="656"/>
    </row>
    <row r="90" spans="1:9" x14ac:dyDescent="0.25">
      <c r="A90" s="1160"/>
      <c r="B90" s="112">
        <v>55201010100001</v>
      </c>
      <c r="C90" s="160" t="s">
        <v>78</v>
      </c>
      <c r="D90" s="164"/>
      <c r="E90" s="165"/>
      <c r="F90" s="166"/>
      <c r="G90" s="167">
        <f t="shared" ref="G90" si="9">E90*F90</f>
        <v>0</v>
      </c>
      <c r="H90" s="168">
        <f>D90+G90</f>
        <v>0</v>
      </c>
      <c r="I90" s="656"/>
    </row>
    <row r="91" spans="1:9" x14ac:dyDescent="0.25">
      <c r="A91" s="1160"/>
      <c r="B91" s="107"/>
      <c r="C91" s="156" t="s">
        <v>79</v>
      </c>
      <c r="D91" s="157">
        <f>SUM(D92:D110)</f>
        <v>0</v>
      </c>
      <c r="E91" s="169"/>
      <c r="F91" s="169"/>
      <c r="G91" s="130">
        <f>SUM(G92:G110)</f>
        <v>0</v>
      </c>
      <c r="H91" s="129">
        <f>SUM(H92:H110)</f>
        <v>0</v>
      </c>
      <c r="I91" s="656"/>
    </row>
    <row r="92" spans="1:9" x14ac:dyDescent="0.25">
      <c r="A92" s="1160"/>
      <c r="B92" s="112">
        <v>53201010100000</v>
      </c>
      <c r="C92" s="160" t="s">
        <v>80</v>
      </c>
      <c r="D92" s="164"/>
      <c r="E92" s="165"/>
      <c r="F92" s="166"/>
      <c r="G92" s="167">
        <f t="shared" ref="G92:G110" si="10">E92*F92</f>
        <v>0</v>
      </c>
      <c r="H92" s="168">
        <f t="shared" ref="H92:H110" si="11">D92+G92</f>
        <v>0</v>
      </c>
      <c r="I92" s="656"/>
    </row>
    <row r="93" spans="1:9" x14ac:dyDescent="0.25">
      <c r="A93" s="1160"/>
      <c r="B93" s="112">
        <v>53202010100000</v>
      </c>
      <c r="C93" s="160" t="s">
        <v>81</v>
      </c>
      <c r="D93" s="164"/>
      <c r="E93" s="165"/>
      <c r="F93" s="166"/>
      <c r="G93" s="167">
        <f t="shared" si="10"/>
        <v>0</v>
      </c>
      <c r="H93" s="168">
        <f t="shared" si="11"/>
        <v>0</v>
      </c>
      <c r="I93" s="656"/>
    </row>
    <row r="94" spans="1:9" x14ac:dyDescent="0.25">
      <c r="A94" s="1160"/>
      <c r="B94" s="112">
        <v>53203010100000</v>
      </c>
      <c r="C94" s="160" t="s">
        <v>82</v>
      </c>
      <c r="D94" s="171"/>
      <c r="E94" s="172"/>
      <c r="F94" s="173"/>
      <c r="G94" s="167">
        <f t="shared" si="10"/>
        <v>0</v>
      </c>
      <c r="H94" s="168">
        <f t="shared" si="11"/>
        <v>0</v>
      </c>
      <c r="I94" s="656"/>
    </row>
    <row r="95" spans="1:9" x14ac:dyDescent="0.25">
      <c r="A95" s="1160"/>
      <c r="B95" s="112">
        <v>53203030000000</v>
      </c>
      <c r="C95" s="160" t="s">
        <v>83</v>
      </c>
      <c r="D95" s="171"/>
      <c r="E95" s="172"/>
      <c r="F95" s="173"/>
      <c r="G95" s="167">
        <f t="shared" si="10"/>
        <v>0</v>
      </c>
      <c r="H95" s="168">
        <f t="shared" si="11"/>
        <v>0</v>
      </c>
      <c r="I95" s="656"/>
    </row>
    <row r="96" spans="1:9" x14ac:dyDescent="0.25">
      <c r="A96" s="1160"/>
      <c r="B96" s="112">
        <v>53204030000000</v>
      </c>
      <c r="C96" s="160" t="s">
        <v>84</v>
      </c>
      <c r="D96" s="171"/>
      <c r="E96" s="172"/>
      <c r="F96" s="173"/>
      <c r="G96" s="167">
        <f t="shared" si="10"/>
        <v>0</v>
      </c>
      <c r="H96" s="168">
        <f t="shared" si="11"/>
        <v>0</v>
      </c>
      <c r="I96" s="656"/>
    </row>
    <row r="97" spans="1:9" x14ac:dyDescent="0.25">
      <c r="A97" s="1160"/>
      <c r="B97" s="112">
        <v>53204100100001</v>
      </c>
      <c r="C97" s="160" t="s">
        <v>85</v>
      </c>
      <c r="D97" s="171"/>
      <c r="E97" s="172"/>
      <c r="F97" s="173"/>
      <c r="G97" s="167">
        <f t="shared" si="10"/>
        <v>0</v>
      </c>
      <c r="H97" s="168">
        <f t="shared" si="11"/>
        <v>0</v>
      </c>
      <c r="I97" s="656"/>
    </row>
    <row r="98" spans="1:9" x14ac:dyDescent="0.25">
      <c r="A98" s="1160"/>
      <c r="B98" s="112">
        <v>53204130100000</v>
      </c>
      <c r="C98" s="160" t="s">
        <v>86</v>
      </c>
      <c r="D98" s="171"/>
      <c r="E98" s="172"/>
      <c r="F98" s="173"/>
      <c r="G98" s="167">
        <f t="shared" si="10"/>
        <v>0</v>
      </c>
      <c r="H98" s="168">
        <f t="shared" si="11"/>
        <v>0</v>
      </c>
      <c r="I98" s="656"/>
    </row>
    <row r="99" spans="1:9" x14ac:dyDescent="0.25">
      <c r="A99" s="1160"/>
      <c r="B99" s="112">
        <v>53205010100000</v>
      </c>
      <c r="C99" s="160" t="s">
        <v>87</v>
      </c>
      <c r="D99" s="171"/>
      <c r="E99" s="172"/>
      <c r="F99" s="173"/>
      <c r="G99" s="167">
        <f t="shared" si="10"/>
        <v>0</v>
      </c>
      <c r="H99" s="168">
        <f t="shared" si="11"/>
        <v>0</v>
      </c>
      <c r="I99" s="656"/>
    </row>
    <row r="100" spans="1:9" x14ac:dyDescent="0.25">
      <c r="A100" s="1160"/>
      <c r="B100" s="112">
        <v>53205020100000</v>
      </c>
      <c r="C100" s="160" t="s">
        <v>88</v>
      </c>
      <c r="D100" s="171"/>
      <c r="E100" s="172"/>
      <c r="F100" s="173"/>
      <c r="G100" s="167">
        <f t="shared" si="10"/>
        <v>0</v>
      </c>
      <c r="H100" s="168">
        <f t="shared" si="11"/>
        <v>0</v>
      </c>
      <c r="I100" s="656"/>
    </row>
    <row r="101" spans="1:9" x14ac:dyDescent="0.25">
      <c r="A101" s="1160"/>
      <c r="B101" s="112">
        <v>53205030100000</v>
      </c>
      <c r="C101" s="160" t="s">
        <v>89</v>
      </c>
      <c r="D101" s="171"/>
      <c r="E101" s="172"/>
      <c r="F101" s="173"/>
      <c r="G101" s="167">
        <f t="shared" si="10"/>
        <v>0</v>
      </c>
      <c r="H101" s="168">
        <f t="shared" si="11"/>
        <v>0</v>
      </c>
      <c r="I101" s="656"/>
    </row>
    <row r="102" spans="1:9" x14ac:dyDescent="0.25">
      <c r="A102" s="1160"/>
      <c r="B102" s="112">
        <v>53205050100000</v>
      </c>
      <c r="C102" s="160" t="s">
        <v>90</v>
      </c>
      <c r="D102" s="171"/>
      <c r="E102" s="172"/>
      <c r="F102" s="173"/>
      <c r="G102" s="167">
        <f t="shared" si="10"/>
        <v>0</v>
      </c>
      <c r="H102" s="168">
        <f t="shared" si="11"/>
        <v>0</v>
      </c>
      <c r="I102" s="656"/>
    </row>
    <row r="103" spans="1:9" x14ac:dyDescent="0.25">
      <c r="A103" s="1160"/>
      <c r="B103" s="112">
        <v>53205060100000</v>
      </c>
      <c r="C103" s="160" t="s">
        <v>91</v>
      </c>
      <c r="D103" s="171"/>
      <c r="E103" s="172"/>
      <c r="F103" s="173"/>
      <c r="G103" s="167">
        <f t="shared" si="10"/>
        <v>0</v>
      </c>
      <c r="H103" s="168">
        <f t="shared" si="11"/>
        <v>0</v>
      </c>
      <c r="I103" s="656"/>
    </row>
    <row r="104" spans="1:9" x14ac:dyDescent="0.25">
      <c r="A104" s="1160"/>
      <c r="B104" s="112">
        <v>53205070100000</v>
      </c>
      <c r="C104" s="160" t="s">
        <v>92</v>
      </c>
      <c r="D104" s="171"/>
      <c r="E104" s="172"/>
      <c r="F104" s="173"/>
      <c r="G104" s="167">
        <f t="shared" si="10"/>
        <v>0</v>
      </c>
      <c r="H104" s="168">
        <f t="shared" si="11"/>
        <v>0</v>
      </c>
      <c r="I104" s="656"/>
    </row>
    <row r="105" spans="1:9" x14ac:dyDescent="0.25">
      <c r="A105" s="1160"/>
      <c r="B105" s="112">
        <v>53208010100000</v>
      </c>
      <c r="C105" s="160" t="s">
        <v>93</v>
      </c>
      <c r="D105" s="171"/>
      <c r="E105" s="172"/>
      <c r="F105" s="173"/>
      <c r="G105" s="167">
        <f t="shared" si="10"/>
        <v>0</v>
      </c>
      <c r="H105" s="168">
        <f t="shared" si="11"/>
        <v>0</v>
      </c>
      <c r="I105" s="656"/>
    </row>
    <row r="106" spans="1:9" x14ac:dyDescent="0.25">
      <c r="A106" s="1160"/>
      <c r="B106" s="112">
        <v>53208070100001</v>
      </c>
      <c r="C106" s="160" t="s">
        <v>94</v>
      </c>
      <c r="D106" s="171"/>
      <c r="E106" s="172"/>
      <c r="F106" s="173"/>
      <c r="G106" s="167">
        <f t="shared" si="10"/>
        <v>0</v>
      </c>
      <c r="H106" s="168">
        <f t="shared" si="11"/>
        <v>0</v>
      </c>
      <c r="I106" s="656"/>
    </row>
    <row r="107" spans="1:9" x14ac:dyDescent="0.25">
      <c r="A107" s="1160"/>
      <c r="B107" s="112">
        <v>53208100100001</v>
      </c>
      <c r="C107" s="160" t="s">
        <v>95</v>
      </c>
      <c r="D107" s="171"/>
      <c r="E107" s="172"/>
      <c r="F107" s="173"/>
      <c r="G107" s="167">
        <f t="shared" si="10"/>
        <v>0</v>
      </c>
      <c r="H107" s="168">
        <f t="shared" si="11"/>
        <v>0</v>
      </c>
      <c r="I107" s="656"/>
    </row>
    <row r="108" spans="1:9" x14ac:dyDescent="0.25">
      <c r="A108" s="1160"/>
      <c r="B108" s="112">
        <v>53211030000000</v>
      </c>
      <c r="C108" s="160" t="s">
        <v>96</v>
      </c>
      <c r="D108" s="171"/>
      <c r="E108" s="172"/>
      <c r="F108" s="173"/>
      <c r="G108" s="167">
        <f t="shared" si="10"/>
        <v>0</v>
      </c>
      <c r="H108" s="168">
        <f t="shared" si="11"/>
        <v>0</v>
      </c>
      <c r="I108" s="656"/>
    </row>
    <row r="109" spans="1:9" x14ac:dyDescent="0.25">
      <c r="A109" s="1160"/>
      <c r="B109" s="112">
        <v>53212020100000</v>
      </c>
      <c r="C109" s="160" t="s">
        <v>97</v>
      </c>
      <c r="D109" s="171"/>
      <c r="E109" s="172"/>
      <c r="F109" s="173"/>
      <c r="G109" s="167">
        <f t="shared" si="10"/>
        <v>0</v>
      </c>
      <c r="H109" s="168">
        <f t="shared" si="11"/>
        <v>0</v>
      </c>
      <c r="I109" s="656"/>
    </row>
    <row r="110" spans="1:9" x14ac:dyDescent="0.25">
      <c r="A110" s="1160"/>
      <c r="B110" s="112">
        <v>53214020000000</v>
      </c>
      <c r="C110" s="160" t="s">
        <v>98</v>
      </c>
      <c r="D110" s="164"/>
      <c r="E110" s="165"/>
      <c r="F110" s="166"/>
      <c r="G110" s="167">
        <f t="shared" si="10"/>
        <v>0</v>
      </c>
      <c r="H110" s="168">
        <f t="shared" si="11"/>
        <v>0</v>
      </c>
      <c r="I110" s="656"/>
    </row>
    <row r="111" spans="1:9" x14ac:dyDescent="0.25">
      <c r="A111" s="1160"/>
      <c r="B111" s="151"/>
      <c r="C111" s="152" t="s">
        <v>99</v>
      </c>
      <c r="D111" s="174">
        <f>SUM(D112,D117,D120,D131,D141,D149)</f>
        <v>714208</v>
      </c>
      <c r="E111" s="154"/>
      <c r="F111" s="154"/>
      <c r="G111" s="135">
        <f>SUM(G112,G117,G120,G131,G141,G149)</f>
        <v>0</v>
      </c>
      <c r="H111" s="136">
        <f>SUM(H112,H117,H120,H131,H141,H149)</f>
        <v>714208</v>
      </c>
      <c r="I111" s="656"/>
    </row>
    <row r="112" spans="1:9" x14ac:dyDescent="0.25">
      <c r="A112" s="1160"/>
      <c r="B112" s="107"/>
      <c r="C112" s="156" t="s">
        <v>100</v>
      </c>
      <c r="D112" s="157">
        <f>SUM(D113:D116)</f>
        <v>0</v>
      </c>
      <c r="E112" s="169"/>
      <c r="F112" s="169"/>
      <c r="G112" s="170">
        <f>SUM(G113:G116)</f>
        <v>0</v>
      </c>
      <c r="H112" s="175">
        <f>SUM(H113:H116)</f>
        <v>0</v>
      </c>
      <c r="I112" s="656"/>
    </row>
    <row r="113" spans="1:9" x14ac:dyDescent="0.25">
      <c r="A113" s="1160"/>
      <c r="B113" s="112">
        <v>53202020100000</v>
      </c>
      <c r="C113" s="160" t="s">
        <v>101</v>
      </c>
      <c r="D113" s="171"/>
      <c r="E113" s="172"/>
      <c r="F113" s="173"/>
      <c r="G113" s="167">
        <f>E113*F113</f>
        <v>0</v>
      </c>
      <c r="H113" s="168">
        <f t="shared" ref="H113:H116" si="12">D113+G113</f>
        <v>0</v>
      </c>
      <c r="I113" s="656"/>
    </row>
    <row r="114" spans="1:9" x14ac:dyDescent="0.25">
      <c r="A114" s="1160"/>
      <c r="B114" s="112">
        <v>53202030000000</v>
      </c>
      <c r="C114" s="160" t="s">
        <v>102</v>
      </c>
      <c r="D114" s="164"/>
      <c r="E114" s="165"/>
      <c r="F114" s="166"/>
      <c r="G114" s="167">
        <f t="shared" ref="G114:G116" si="13">E114*F114</f>
        <v>0</v>
      </c>
      <c r="H114" s="168">
        <f t="shared" si="12"/>
        <v>0</v>
      </c>
      <c r="I114" s="656"/>
    </row>
    <row r="115" spans="1:9" x14ac:dyDescent="0.25">
      <c r="A115" s="1160"/>
      <c r="B115" s="112">
        <v>53211020000000</v>
      </c>
      <c r="C115" s="160" t="s">
        <v>103</v>
      </c>
      <c r="D115" s="171"/>
      <c r="E115" s="172"/>
      <c r="F115" s="173"/>
      <c r="G115" s="167">
        <f t="shared" si="13"/>
        <v>0</v>
      </c>
      <c r="H115" s="168">
        <f t="shared" si="12"/>
        <v>0</v>
      </c>
      <c r="I115" s="656"/>
    </row>
    <row r="116" spans="1:9" x14ac:dyDescent="0.25">
      <c r="A116" s="1160"/>
      <c r="B116" s="112">
        <v>53101004030000</v>
      </c>
      <c r="C116" s="160" t="s">
        <v>104</v>
      </c>
      <c r="D116" s="164"/>
      <c r="E116" s="165"/>
      <c r="F116" s="166"/>
      <c r="G116" s="167">
        <f t="shared" si="13"/>
        <v>0</v>
      </c>
      <c r="H116" s="168">
        <f t="shared" si="12"/>
        <v>0</v>
      </c>
      <c r="I116" s="656"/>
    </row>
    <row r="117" spans="1:9" x14ac:dyDescent="0.25">
      <c r="A117" s="1160"/>
      <c r="B117" s="107"/>
      <c r="C117" s="156" t="s">
        <v>105</v>
      </c>
      <c r="D117" s="157">
        <f>SUM(D118:D119)</f>
        <v>0</v>
      </c>
      <c r="E117" s="169"/>
      <c r="F117" s="169"/>
      <c r="G117" s="170">
        <f>SUM(G118:G119)</f>
        <v>0</v>
      </c>
      <c r="H117" s="175">
        <f>SUM(H118:H119)</f>
        <v>0</v>
      </c>
      <c r="I117" s="656"/>
    </row>
    <row r="118" spans="1:9" x14ac:dyDescent="0.25">
      <c r="A118" s="1160"/>
      <c r="B118" s="112">
        <v>53205080000000</v>
      </c>
      <c r="C118" s="176" t="s">
        <v>106</v>
      </c>
      <c r="D118" s="164"/>
      <c r="E118" s="165"/>
      <c r="F118" s="166"/>
      <c r="G118" s="167">
        <f t="shared" ref="G118:G119" si="14">E118*F118</f>
        <v>0</v>
      </c>
      <c r="H118" s="168">
        <f t="shared" ref="H118:H119" si="15">D118+G118</f>
        <v>0</v>
      </c>
      <c r="I118" s="656"/>
    </row>
    <row r="119" spans="1:9" x14ac:dyDescent="0.25">
      <c r="A119" s="1160"/>
      <c r="B119" s="112">
        <v>53205990000000</v>
      </c>
      <c r="C119" s="160" t="s">
        <v>107</v>
      </c>
      <c r="D119" s="171"/>
      <c r="E119" s="172"/>
      <c r="F119" s="173"/>
      <c r="G119" s="167">
        <f t="shared" si="14"/>
        <v>0</v>
      </c>
      <c r="H119" s="168">
        <f t="shared" si="15"/>
        <v>0</v>
      </c>
      <c r="I119" s="656"/>
    </row>
    <row r="120" spans="1:9" x14ac:dyDescent="0.25">
      <c r="A120" s="1160"/>
      <c r="B120" s="107"/>
      <c r="C120" s="156" t="s">
        <v>108</v>
      </c>
      <c r="D120" s="157">
        <f>SUM(D121:D130)</f>
        <v>649730</v>
      </c>
      <c r="E120" s="169"/>
      <c r="F120" s="169"/>
      <c r="G120" s="130">
        <f>SUM(G121:G130)</f>
        <v>0</v>
      </c>
      <c r="H120" s="129">
        <f>SUM(H121:H130)</f>
        <v>649730</v>
      </c>
      <c r="I120" s="656"/>
    </row>
    <row r="121" spans="1:9" x14ac:dyDescent="0.25">
      <c r="A121" s="1160"/>
      <c r="B121" s="112">
        <v>53203010200000</v>
      </c>
      <c r="C121" s="160" t="s">
        <v>109</v>
      </c>
      <c r="D121" s="164"/>
      <c r="E121" s="164"/>
      <c r="F121" s="166"/>
      <c r="G121" s="167">
        <f t="shared" ref="G121:G130" si="16">E121*F121</f>
        <v>0</v>
      </c>
      <c r="H121" s="168">
        <f t="shared" ref="H121:H130" si="17">D121+G121</f>
        <v>0</v>
      </c>
      <c r="I121" s="656"/>
    </row>
    <row r="122" spans="1:9" x14ac:dyDescent="0.25">
      <c r="A122" s="1160"/>
      <c r="B122" s="112">
        <v>53204010000000</v>
      </c>
      <c r="C122" s="160" t="s">
        <v>110</v>
      </c>
      <c r="D122" s="171"/>
      <c r="E122" s="171"/>
      <c r="F122" s="173"/>
      <c r="G122" s="167">
        <f t="shared" si="16"/>
        <v>0</v>
      </c>
      <c r="H122" s="168">
        <f t="shared" si="17"/>
        <v>0</v>
      </c>
      <c r="I122" s="656"/>
    </row>
    <row r="123" spans="1:9" x14ac:dyDescent="0.25">
      <c r="A123" s="1160"/>
      <c r="B123" s="112">
        <v>53204040200000</v>
      </c>
      <c r="C123" s="176" t="s">
        <v>111</v>
      </c>
      <c r="D123" s="171"/>
      <c r="E123" s="171"/>
      <c r="F123" s="173"/>
      <c r="G123" s="167">
        <f t="shared" si="16"/>
        <v>0</v>
      </c>
      <c r="H123" s="168">
        <f t="shared" si="17"/>
        <v>0</v>
      </c>
      <c r="I123" s="656"/>
    </row>
    <row r="124" spans="1:9" x14ac:dyDescent="0.25">
      <c r="A124" s="1160"/>
      <c r="B124" s="112">
        <v>53204060000000</v>
      </c>
      <c r="C124" s="176" t="s">
        <v>112</v>
      </c>
      <c r="D124" s="171"/>
      <c r="E124" s="171"/>
      <c r="F124" s="173"/>
      <c r="G124" s="167">
        <f t="shared" si="16"/>
        <v>0</v>
      </c>
      <c r="H124" s="168">
        <f t="shared" si="17"/>
        <v>0</v>
      </c>
      <c r="I124" s="656"/>
    </row>
    <row r="125" spans="1:9" x14ac:dyDescent="0.25">
      <c r="A125" s="1160"/>
      <c r="B125" s="112">
        <v>53204070000000</v>
      </c>
      <c r="C125" s="177" t="s">
        <v>113</v>
      </c>
      <c r="D125" s="171">
        <v>649730</v>
      </c>
      <c r="E125" s="171"/>
      <c r="F125" s="173"/>
      <c r="G125" s="167">
        <f t="shared" si="16"/>
        <v>0</v>
      </c>
      <c r="H125" s="168">
        <f t="shared" si="17"/>
        <v>649730</v>
      </c>
      <c r="I125" s="656"/>
    </row>
    <row r="126" spans="1:9" x14ac:dyDescent="0.25">
      <c r="A126" s="1160"/>
      <c r="B126" s="112">
        <v>53204080000000</v>
      </c>
      <c r="C126" s="176" t="s">
        <v>114</v>
      </c>
      <c r="D126" s="171"/>
      <c r="E126" s="171"/>
      <c r="F126" s="173"/>
      <c r="G126" s="167">
        <f t="shared" si="16"/>
        <v>0</v>
      </c>
      <c r="H126" s="168">
        <f t="shared" si="17"/>
        <v>0</v>
      </c>
      <c r="I126" s="656"/>
    </row>
    <row r="127" spans="1:9" x14ac:dyDescent="0.25">
      <c r="A127" s="1160"/>
      <c r="B127" s="112">
        <v>53214010000000</v>
      </c>
      <c r="C127" s="176" t="s">
        <v>115</v>
      </c>
      <c r="D127" s="164"/>
      <c r="E127" s="164"/>
      <c r="F127" s="166"/>
      <c r="G127" s="167">
        <f t="shared" si="16"/>
        <v>0</v>
      </c>
      <c r="H127" s="168">
        <f t="shared" si="17"/>
        <v>0</v>
      </c>
      <c r="I127" s="656"/>
    </row>
    <row r="128" spans="1:9" x14ac:dyDescent="0.25">
      <c r="A128" s="1160"/>
      <c r="B128" s="112">
        <v>53214040000000</v>
      </c>
      <c r="C128" s="160" t="s">
        <v>116</v>
      </c>
      <c r="D128" s="164"/>
      <c r="E128" s="164"/>
      <c r="F128" s="166"/>
      <c r="G128" s="167">
        <f t="shared" si="16"/>
        <v>0</v>
      </c>
      <c r="H128" s="168">
        <f t="shared" si="17"/>
        <v>0</v>
      </c>
      <c r="I128" s="656"/>
    </row>
    <row r="129" spans="1:9" x14ac:dyDescent="0.25">
      <c r="A129" s="1160"/>
      <c r="B129" s="112">
        <v>55201010100004</v>
      </c>
      <c r="C129" s="160" t="s">
        <v>117</v>
      </c>
      <c r="D129" s="164"/>
      <c r="E129" s="164"/>
      <c r="F129" s="166"/>
      <c r="G129" s="167">
        <f t="shared" si="16"/>
        <v>0</v>
      </c>
      <c r="H129" s="168">
        <f t="shared" si="17"/>
        <v>0</v>
      </c>
      <c r="I129" s="656"/>
    </row>
    <row r="130" spans="1:9" x14ac:dyDescent="0.25">
      <c r="A130" s="1160"/>
      <c r="B130" s="112">
        <v>55201010100005</v>
      </c>
      <c r="C130" s="160" t="s">
        <v>118</v>
      </c>
      <c r="D130" s="164"/>
      <c r="E130" s="164"/>
      <c r="F130" s="166"/>
      <c r="G130" s="167">
        <f t="shared" si="16"/>
        <v>0</v>
      </c>
      <c r="H130" s="168">
        <f t="shared" si="17"/>
        <v>0</v>
      </c>
      <c r="I130" s="656"/>
    </row>
    <row r="131" spans="1:9" x14ac:dyDescent="0.25">
      <c r="A131" s="1160"/>
      <c r="B131" s="107"/>
      <c r="C131" s="156" t="s">
        <v>119</v>
      </c>
      <c r="D131" s="157">
        <f>SUM(D132:D140)</f>
        <v>64478</v>
      </c>
      <c r="E131" s="169"/>
      <c r="F131" s="169"/>
      <c r="G131" s="130">
        <f>SUM(G132:G140)</f>
        <v>0</v>
      </c>
      <c r="H131" s="129">
        <f>SUM(H132:H140)</f>
        <v>64478</v>
      </c>
      <c r="I131" s="656"/>
    </row>
    <row r="132" spans="1:9" x14ac:dyDescent="0.25">
      <c r="A132" s="1160"/>
      <c r="B132" s="112">
        <v>53207010000000</v>
      </c>
      <c r="C132" s="160" t="s">
        <v>120</v>
      </c>
      <c r="D132" s="171"/>
      <c r="E132" s="171"/>
      <c r="F132" s="173"/>
      <c r="G132" s="167">
        <f t="shared" ref="G132:G140" si="18">E132*F132</f>
        <v>0</v>
      </c>
      <c r="H132" s="168">
        <f t="shared" ref="H132:H140" si="19">D132+G132</f>
        <v>0</v>
      </c>
      <c r="I132" s="656"/>
    </row>
    <row r="133" spans="1:9" x14ac:dyDescent="0.25">
      <c r="A133" s="1160"/>
      <c r="B133" s="112">
        <v>53207020000000</v>
      </c>
      <c r="C133" s="160" t="s">
        <v>121</v>
      </c>
      <c r="D133" s="171"/>
      <c r="E133" s="171"/>
      <c r="F133" s="173"/>
      <c r="G133" s="167">
        <f t="shared" si="18"/>
        <v>0</v>
      </c>
      <c r="H133" s="168">
        <f t="shared" si="19"/>
        <v>0</v>
      </c>
      <c r="I133" s="656"/>
    </row>
    <row r="134" spans="1:9" x14ac:dyDescent="0.25">
      <c r="A134" s="1160"/>
      <c r="B134" s="112">
        <v>53208020000000</v>
      </c>
      <c r="C134" s="160" t="s">
        <v>122</v>
      </c>
      <c r="D134" s="171"/>
      <c r="E134" s="171"/>
      <c r="F134" s="173"/>
      <c r="G134" s="167">
        <f t="shared" si="18"/>
        <v>0</v>
      </c>
      <c r="H134" s="168">
        <f t="shared" si="19"/>
        <v>0</v>
      </c>
      <c r="I134" s="656"/>
    </row>
    <row r="135" spans="1:9" x14ac:dyDescent="0.25">
      <c r="A135" s="1160"/>
      <c r="B135" s="112">
        <v>53208990000000</v>
      </c>
      <c r="C135" s="160" t="s">
        <v>123</v>
      </c>
      <c r="D135" s="171">
        <v>64478</v>
      </c>
      <c r="E135" s="171"/>
      <c r="F135" s="173"/>
      <c r="G135" s="167">
        <f t="shared" si="18"/>
        <v>0</v>
      </c>
      <c r="H135" s="168">
        <f t="shared" si="19"/>
        <v>64478</v>
      </c>
      <c r="I135" s="656"/>
    </row>
    <row r="136" spans="1:9" x14ac:dyDescent="0.25">
      <c r="A136" s="1160"/>
      <c r="B136" s="112">
        <v>53209010000000</v>
      </c>
      <c r="C136" s="160" t="s">
        <v>124</v>
      </c>
      <c r="D136" s="171"/>
      <c r="E136" s="171"/>
      <c r="F136" s="173"/>
      <c r="G136" s="167">
        <f t="shared" si="18"/>
        <v>0</v>
      </c>
      <c r="H136" s="168">
        <f t="shared" si="19"/>
        <v>0</v>
      </c>
      <c r="I136" s="656"/>
    </row>
    <row r="137" spans="1:9" x14ac:dyDescent="0.25">
      <c r="A137" s="1160"/>
      <c r="B137" s="112">
        <v>53209040000000</v>
      </c>
      <c r="C137" s="160" t="s">
        <v>125</v>
      </c>
      <c r="D137" s="171"/>
      <c r="E137" s="171"/>
      <c r="F137" s="173"/>
      <c r="G137" s="167">
        <f t="shared" si="18"/>
        <v>0</v>
      </c>
      <c r="H137" s="168">
        <f t="shared" si="19"/>
        <v>0</v>
      </c>
      <c r="I137" s="656"/>
    </row>
    <row r="138" spans="1:9" x14ac:dyDescent="0.25">
      <c r="A138" s="1160"/>
      <c r="B138" s="112">
        <v>53209050000000</v>
      </c>
      <c r="C138" s="160" t="s">
        <v>126</v>
      </c>
      <c r="D138" s="171"/>
      <c r="E138" s="171"/>
      <c r="F138" s="173"/>
      <c r="G138" s="167">
        <f t="shared" si="18"/>
        <v>0</v>
      </c>
      <c r="H138" s="168">
        <f t="shared" si="19"/>
        <v>0</v>
      </c>
      <c r="I138" s="656"/>
    </row>
    <row r="139" spans="1:9" x14ac:dyDescent="0.25">
      <c r="A139" s="1160"/>
      <c r="B139" s="112">
        <v>53209990000000</v>
      </c>
      <c r="C139" s="160" t="s">
        <v>127</v>
      </c>
      <c r="D139" s="171"/>
      <c r="E139" s="171"/>
      <c r="F139" s="173"/>
      <c r="G139" s="167">
        <f t="shared" si="18"/>
        <v>0</v>
      </c>
      <c r="H139" s="168">
        <f t="shared" si="19"/>
        <v>0</v>
      </c>
      <c r="I139" s="656"/>
    </row>
    <row r="140" spans="1:9" x14ac:dyDescent="0.25">
      <c r="A140" s="1160"/>
      <c r="B140" s="112">
        <v>53210020100000</v>
      </c>
      <c r="C140" s="160" t="s">
        <v>128</v>
      </c>
      <c r="D140" s="171"/>
      <c r="E140" s="171"/>
      <c r="F140" s="173"/>
      <c r="G140" s="167">
        <f t="shared" si="18"/>
        <v>0</v>
      </c>
      <c r="H140" s="168">
        <f t="shared" si="19"/>
        <v>0</v>
      </c>
      <c r="I140" s="656"/>
    </row>
    <row r="141" spans="1:9" x14ac:dyDescent="0.25">
      <c r="A141" s="1160"/>
      <c r="B141" s="107"/>
      <c r="C141" s="156" t="s">
        <v>129</v>
      </c>
      <c r="D141" s="157">
        <f>SUM(D142:D148)</f>
        <v>0</v>
      </c>
      <c r="E141" s="169"/>
      <c r="F141" s="169"/>
      <c r="G141" s="130">
        <f>SUM(G142:G148)</f>
        <v>0</v>
      </c>
      <c r="H141" s="129">
        <f>SUM(H142:H148)</f>
        <v>0</v>
      </c>
      <c r="I141" s="656"/>
    </row>
    <row r="142" spans="1:9" x14ac:dyDescent="0.25">
      <c r="A142" s="1160"/>
      <c r="B142" s="112">
        <v>53206030000000</v>
      </c>
      <c r="C142" s="160" t="s">
        <v>130</v>
      </c>
      <c r="D142" s="171"/>
      <c r="E142" s="171"/>
      <c r="F142" s="173"/>
      <c r="G142" s="167">
        <f t="shared" ref="G142:G148" si="20">E142*F142</f>
        <v>0</v>
      </c>
      <c r="H142" s="168">
        <f t="shared" ref="H142:H148" si="21">D142+G142</f>
        <v>0</v>
      </c>
      <c r="I142" s="656"/>
    </row>
    <row r="143" spans="1:9" x14ac:dyDescent="0.25">
      <c r="A143" s="1160"/>
      <c r="B143" s="112">
        <v>53206040000000</v>
      </c>
      <c r="C143" s="160" t="s">
        <v>131</v>
      </c>
      <c r="D143" s="171"/>
      <c r="E143" s="171"/>
      <c r="F143" s="173"/>
      <c r="G143" s="167">
        <f t="shared" si="20"/>
        <v>0</v>
      </c>
      <c r="H143" s="168">
        <f t="shared" si="21"/>
        <v>0</v>
      </c>
      <c r="I143" s="656"/>
    </row>
    <row r="144" spans="1:9" x14ac:dyDescent="0.25">
      <c r="A144" s="1160"/>
      <c r="B144" s="112">
        <v>53206060000000</v>
      </c>
      <c r="C144" s="160" t="s">
        <v>132</v>
      </c>
      <c r="D144" s="171"/>
      <c r="E144" s="171"/>
      <c r="F144" s="173"/>
      <c r="G144" s="167">
        <f t="shared" si="20"/>
        <v>0</v>
      </c>
      <c r="H144" s="168">
        <f t="shared" si="21"/>
        <v>0</v>
      </c>
      <c r="I144" s="656"/>
    </row>
    <row r="145" spans="1:9" x14ac:dyDescent="0.25">
      <c r="A145" s="1160"/>
      <c r="B145" s="112">
        <v>53206070000000</v>
      </c>
      <c r="C145" s="160" t="s">
        <v>133</v>
      </c>
      <c r="D145" s="171"/>
      <c r="E145" s="171"/>
      <c r="F145" s="173"/>
      <c r="G145" s="167">
        <f t="shared" si="20"/>
        <v>0</v>
      </c>
      <c r="H145" s="168">
        <f t="shared" si="21"/>
        <v>0</v>
      </c>
      <c r="I145" s="656"/>
    </row>
    <row r="146" spans="1:9" x14ac:dyDescent="0.25">
      <c r="A146" s="1160"/>
      <c r="B146" s="112">
        <v>53206990000000</v>
      </c>
      <c r="C146" s="160" t="s">
        <v>134</v>
      </c>
      <c r="D146" s="171"/>
      <c r="E146" s="171"/>
      <c r="F146" s="173"/>
      <c r="G146" s="167">
        <f t="shared" si="20"/>
        <v>0</v>
      </c>
      <c r="H146" s="168">
        <f t="shared" si="21"/>
        <v>0</v>
      </c>
      <c r="I146" s="656"/>
    </row>
    <row r="147" spans="1:9" x14ac:dyDescent="0.25">
      <c r="A147" s="1160"/>
      <c r="B147" s="112">
        <v>53208030000000</v>
      </c>
      <c r="C147" s="160" t="s">
        <v>135</v>
      </c>
      <c r="D147" s="171"/>
      <c r="E147" s="171"/>
      <c r="F147" s="173"/>
      <c r="G147" s="167">
        <f t="shared" si="20"/>
        <v>0</v>
      </c>
      <c r="H147" s="168">
        <f t="shared" si="21"/>
        <v>0</v>
      </c>
      <c r="I147" s="656"/>
    </row>
    <row r="148" spans="1:9" x14ac:dyDescent="0.25">
      <c r="A148" s="1160"/>
      <c r="B148" s="112">
        <v>53212060000000</v>
      </c>
      <c r="C148" s="160" t="s">
        <v>136</v>
      </c>
      <c r="D148" s="164"/>
      <c r="E148" s="164"/>
      <c r="F148" s="166"/>
      <c r="G148" s="167">
        <f t="shared" si="20"/>
        <v>0</v>
      </c>
      <c r="H148" s="168">
        <f t="shared" si="21"/>
        <v>0</v>
      </c>
      <c r="I148" s="656"/>
    </row>
    <row r="149" spans="1:9" x14ac:dyDescent="0.25">
      <c r="A149" s="1160"/>
      <c r="B149" s="107"/>
      <c r="C149" s="156" t="s">
        <v>137</v>
      </c>
      <c r="D149" s="157">
        <f>SUM(D150:D151)</f>
        <v>0</v>
      </c>
      <c r="E149" s="169"/>
      <c r="F149" s="169"/>
      <c r="G149" s="130">
        <f>SUM(G150:G151)</f>
        <v>0</v>
      </c>
      <c r="H149" s="129">
        <f>SUM(H150:H151)</f>
        <v>0</v>
      </c>
      <c r="I149" s="656"/>
    </row>
    <row r="150" spans="1:9" x14ac:dyDescent="0.25">
      <c r="A150" s="1160"/>
      <c r="B150" s="112">
        <v>53210020500000</v>
      </c>
      <c r="C150" s="160" t="s">
        <v>138</v>
      </c>
      <c r="D150" s="164"/>
      <c r="E150" s="164"/>
      <c r="F150" s="166"/>
      <c r="G150" s="167">
        <f t="shared" ref="G150:G151" si="22">E150*F150</f>
        <v>0</v>
      </c>
      <c r="H150" s="178">
        <f t="shared" ref="H150:H151" si="23">D150+G150</f>
        <v>0</v>
      </c>
      <c r="I150" s="656"/>
    </row>
    <row r="151" spans="1:9" x14ac:dyDescent="0.25">
      <c r="A151" s="1160"/>
      <c r="B151" s="140">
        <v>53204999000000</v>
      </c>
      <c r="C151" s="179" t="s">
        <v>139</v>
      </c>
      <c r="D151" s="171"/>
      <c r="E151" s="171"/>
      <c r="F151" s="173"/>
      <c r="G151" s="180">
        <f t="shared" si="22"/>
        <v>0</v>
      </c>
      <c r="H151" s="178">
        <f t="shared" si="23"/>
        <v>0</v>
      </c>
      <c r="I151" s="656"/>
    </row>
    <row r="152" spans="1:9" x14ac:dyDescent="0.25">
      <c r="A152" s="1161"/>
      <c r="B152" s="143"/>
      <c r="C152" s="144" t="s">
        <v>12</v>
      </c>
      <c r="D152" s="145">
        <f>SUM(D83,D111)</f>
        <v>714208</v>
      </c>
      <c r="E152" s="146"/>
      <c r="F152" s="146"/>
      <c r="G152" s="145">
        <f>SUM(G83,G111)</f>
        <v>0</v>
      </c>
      <c r="H152" s="147">
        <f>SUM(H83,H111)</f>
        <v>714208</v>
      </c>
      <c r="I152" s="656"/>
    </row>
    <row r="153" spans="1:9" x14ac:dyDescent="0.25">
      <c r="A153" s="1165" t="s">
        <v>22</v>
      </c>
      <c r="B153" s="1167" t="s">
        <v>63</v>
      </c>
      <c r="C153" s="1169" t="s">
        <v>64</v>
      </c>
      <c r="D153" s="1171" t="s">
        <v>65</v>
      </c>
      <c r="E153" s="1162" t="s">
        <v>66</v>
      </c>
      <c r="F153" s="1163"/>
      <c r="G153" s="1164"/>
      <c r="H153" s="1156" t="str">
        <f>+H81</f>
        <v>COSTO DIRECTO ESTIMADO 2026</v>
      </c>
      <c r="I153" s="1158" t="s">
        <v>67</v>
      </c>
    </row>
    <row r="154" spans="1:9" ht="42.75" customHeight="1" x14ac:dyDescent="0.25">
      <c r="A154" s="1166"/>
      <c r="B154" s="1168"/>
      <c r="C154" s="1170"/>
      <c r="D154" s="1172"/>
      <c r="E154" s="148" t="s">
        <v>68</v>
      </c>
      <c r="F154" s="149" t="s">
        <v>69</v>
      </c>
      <c r="G154" s="150" t="s">
        <v>70</v>
      </c>
      <c r="H154" s="1157"/>
      <c r="I154" s="1158"/>
    </row>
    <row r="155" spans="1:9" x14ac:dyDescent="0.25">
      <c r="A155" s="1159" t="str">
        <f>+'B) Reajuste Tarifas y Ocupación'!A23</f>
        <v>C.H. Archipielago Juan Fernandez</v>
      </c>
      <c r="B155" s="151"/>
      <c r="C155" s="152" t="s">
        <v>71</v>
      </c>
      <c r="D155" s="153">
        <f>SUM(D156,D161,D163)</f>
        <v>14085023</v>
      </c>
      <c r="E155" s="154"/>
      <c r="F155" s="154"/>
      <c r="G155" s="153">
        <f>SUM(G156,G161,G163)</f>
        <v>0</v>
      </c>
      <c r="H155" s="155">
        <f>SUM(H156,H161,H163)</f>
        <v>14085023</v>
      </c>
      <c r="I155" s="656"/>
    </row>
    <row r="156" spans="1:9" x14ac:dyDescent="0.25">
      <c r="A156" s="1160"/>
      <c r="B156" s="107"/>
      <c r="C156" s="156" t="s">
        <v>72</v>
      </c>
      <c r="D156" s="157">
        <f>SUM(D157:D160)</f>
        <v>9651967</v>
      </c>
      <c r="E156" s="158"/>
      <c r="F156" s="158"/>
      <c r="G156" s="157">
        <f>SUM(G157:G160)</f>
        <v>0</v>
      </c>
      <c r="H156" s="159">
        <f>SUM(H157:H160)</f>
        <v>9651967</v>
      </c>
      <c r="I156" s="656"/>
    </row>
    <row r="157" spans="1:9" x14ac:dyDescent="0.25">
      <c r="A157" s="1160"/>
      <c r="B157" s="112">
        <v>53103040100000</v>
      </c>
      <c r="C157" s="160" t="s">
        <v>73</v>
      </c>
      <c r="D157" s="161">
        <f>+'F) Remuneraciones'!M71</f>
        <v>9651967</v>
      </c>
      <c r="E157" s="162"/>
      <c r="F157" s="162"/>
      <c r="G157" s="162"/>
      <c r="H157" s="163">
        <f>D157+G157</f>
        <v>9651967</v>
      </c>
      <c r="I157" s="656"/>
    </row>
    <row r="158" spans="1:9" x14ac:dyDescent="0.25">
      <c r="A158" s="1160"/>
      <c r="B158" s="112">
        <v>53103050000000</v>
      </c>
      <c r="C158" s="160" t="s">
        <v>74</v>
      </c>
      <c r="D158" s="117"/>
      <c r="E158" s="118"/>
      <c r="F158" s="119"/>
      <c r="G158" s="120">
        <f>E158*F158</f>
        <v>0</v>
      </c>
      <c r="H158" s="121">
        <f t="shared" ref="H158:H160" si="24">D158+G158</f>
        <v>0</v>
      </c>
      <c r="I158" s="656"/>
    </row>
    <row r="159" spans="1:9" x14ac:dyDescent="0.25">
      <c r="A159" s="1160"/>
      <c r="B159" s="112">
        <v>53103060000000</v>
      </c>
      <c r="C159" s="160" t="s">
        <v>75</v>
      </c>
      <c r="D159" s="164"/>
      <c r="E159" s="165"/>
      <c r="F159" s="166"/>
      <c r="G159" s="167">
        <f t="shared" ref="G159:G160" si="25">E159*F159</f>
        <v>0</v>
      </c>
      <c r="H159" s="168">
        <f t="shared" si="24"/>
        <v>0</v>
      </c>
      <c r="I159" s="656"/>
    </row>
    <row r="160" spans="1:9" x14ac:dyDescent="0.25">
      <c r="A160" s="1160"/>
      <c r="B160" s="112">
        <v>53103080010000</v>
      </c>
      <c r="C160" s="160" t="s">
        <v>76</v>
      </c>
      <c r="D160" s="164"/>
      <c r="E160" s="165"/>
      <c r="F160" s="166"/>
      <c r="G160" s="167">
        <f t="shared" si="25"/>
        <v>0</v>
      </c>
      <c r="H160" s="168">
        <f t="shared" si="24"/>
        <v>0</v>
      </c>
      <c r="I160" s="656"/>
    </row>
    <row r="161" spans="1:9" x14ac:dyDescent="0.25">
      <c r="A161" s="1160"/>
      <c r="B161" s="107"/>
      <c r="C161" s="156" t="s">
        <v>77</v>
      </c>
      <c r="D161" s="157">
        <f>SUM(D162)</f>
        <v>0</v>
      </c>
      <c r="E161" s="169"/>
      <c r="F161" s="169"/>
      <c r="G161" s="170">
        <f>SUM(G162:G162)</f>
        <v>0</v>
      </c>
      <c r="H161" s="129">
        <f>SUM(H162:H162)</f>
        <v>0</v>
      </c>
      <c r="I161" s="656"/>
    </row>
    <row r="162" spans="1:9" x14ac:dyDescent="0.25">
      <c r="A162" s="1160"/>
      <c r="B162" s="112">
        <v>55201010100001</v>
      </c>
      <c r="C162" s="160" t="s">
        <v>78</v>
      </c>
      <c r="D162" s="164"/>
      <c r="E162" s="165"/>
      <c r="F162" s="166"/>
      <c r="G162" s="167">
        <f t="shared" ref="G162" si="26">E162*F162</f>
        <v>0</v>
      </c>
      <c r="H162" s="168">
        <f>D162+G162</f>
        <v>0</v>
      </c>
      <c r="I162" s="656"/>
    </row>
    <row r="163" spans="1:9" x14ac:dyDescent="0.25">
      <c r="A163" s="1160"/>
      <c r="B163" s="107"/>
      <c r="C163" s="156" t="s">
        <v>79</v>
      </c>
      <c r="D163" s="157">
        <f>SUM(D164:D182)</f>
        <v>4433056</v>
      </c>
      <c r="E163" s="169"/>
      <c r="F163" s="169"/>
      <c r="G163" s="130">
        <f>SUM(G164:G182)</f>
        <v>0</v>
      </c>
      <c r="H163" s="129">
        <f>SUM(H164:H182)</f>
        <v>4433056</v>
      </c>
      <c r="I163" s="656"/>
    </row>
    <row r="164" spans="1:9" x14ac:dyDescent="0.25">
      <c r="A164" s="1160"/>
      <c r="B164" s="112">
        <v>53201010100000</v>
      </c>
      <c r="C164" s="160" t="s">
        <v>80</v>
      </c>
      <c r="D164" s="164">
        <v>0</v>
      </c>
      <c r="E164" s="165"/>
      <c r="F164" s="166"/>
      <c r="G164" s="167">
        <f t="shared" ref="G164:G182" si="27">E164*F164</f>
        <v>0</v>
      </c>
      <c r="H164" s="168">
        <f t="shared" ref="H164:H182" si="28">D164+G164</f>
        <v>0</v>
      </c>
      <c r="I164" s="656"/>
    </row>
    <row r="165" spans="1:9" x14ac:dyDescent="0.25">
      <c r="A165" s="1160"/>
      <c r="B165" s="112">
        <v>53202010100000</v>
      </c>
      <c r="C165" s="160" t="s">
        <v>81</v>
      </c>
      <c r="D165" s="164"/>
      <c r="E165" s="165"/>
      <c r="F165" s="166"/>
      <c r="G165" s="167">
        <f t="shared" si="27"/>
        <v>0</v>
      </c>
      <c r="H165" s="168">
        <f t="shared" si="28"/>
        <v>0</v>
      </c>
      <c r="I165" s="656"/>
    </row>
    <row r="166" spans="1:9" x14ac:dyDescent="0.25">
      <c r="A166" s="1160"/>
      <c r="B166" s="112">
        <v>53203010100000</v>
      </c>
      <c r="C166" s="160" t="s">
        <v>82</v>
      </c>
      <c r="D166" s="171"/>
      <c r="E166" s="172"/>
      <c r="F166" s="173"/>
      <c r="G166" s="167">
        <f t="shared" si="27"/>
        <v>0</v>
      </c>
      <c r="H166" s="168">
        <f t="shared" si="28"/>
        <v>0</v>
      </c>
      <c r="I166" s="656"/>
    </row>
    <row r="167" spans="1:9" x14ac:dyDescent="0.25">
      <c r="A167" s="1160"/>
      <c r="B167" s="112">
        <v>53203030000000</v>
      </c>
      <c r="C167" s="160" t="s">
        <v>83</v>
      </c>
      <c r="D167" s="171"/>
      <c r="E167" s="172"/>
      <c r="F167" s="173"/>
      <c r="G167" s="167">
        <f t="shared" si="27"/>
        <v>0</v>
      </c>
      <c r="H167" s="168">
        <f t="shared" si="28"/>
        <v>0</v>
      </c>
      <c r="I167" s="656"/>
    </row>
    <row r="168" spans="1:9" x14ac:dyDescent="0.25">
      <c r="A168" s="1160"/>
      <c r="B168" s="112">
        <v>53204030000000</v>
      </c>
      <c r="C168" s="160" t="s">
        <v>84</v>
      </c>
      <c r="D168" s="171"/>
      <c r="E168" s="172"/>
      <c r="F168" s="173"/>
      <c r="G168" s="167">
        <f t="shared" si="27"/>
        <v>0</v>
      </c>
      <c r="H168" s="168">
        <f t="shared" si="28"/>
        <v>0</v>
      </c>
      <c r="I168" s="656"/>
    </row>
    <row r="169" spans="1:9" x14ac:dyDescent="0.25">
      <c r="A169" s="1160"/>
      <c r="B169" s="112">
        <v>53204100100001</v>
      </c>
      <c r="C169" s="160" t="s">
        <v>85</v>
      </c>
      <c r="D169" s="171">
        <v>190678</v>
      </c>
      <c r="E169" s="172"/>
      <c r="F169" s="173"/>
      <c r="G169" s="167">
        <f t="shared" si="27"/>
        <v>0</v>
      </c>
      <c r="H169" s="168">
        <f t="shared" si="28"/>
        <v>190678</v>
      </c>
      <c r="I169" s="656"/>
    </row>
    <row r="170" spans="1:9" x14ac:dyDescent="0.25">
      <c r="A170" s="1160"/>
      <c r="B170" s="112">
        <v>53204130100000</v>
      </c>
      <c r="C170" s="160" t="s">
        <v>86</v>
      </c>
      <c r="D170" s="171">
        <v>190678</v>
      </c>
      <c r="E170" s="172"/>
      <c r="F170" s="173"/>
      <c r="G170" s="167">
        <f t="shared" si="27"/>
        <v>0</v>
      </c>
      <c r="H170" s="168">
        <f t="shared" si="28"/>
        <v>190678</v>
      </c>
      <c r="I170" s="656"/>
    </row>
    <row r="171" spans="1:9" x14ac:dyDescent="0.25">
      <c r="A171" s="1160"/>
      <c r="B171" s="112">
        <v>53205010100000</v>
      </c>
      <c r="C171" s="160" t="s">
        <v>87</v>
      </c>
      <c r="D171" s="171">
        <v>850000</v>
      </c>
      <c r="E171" s="172"/>
      <c r="F171" s="173"/>
      <c r="G171" s="167">
        <f t="shared" si="27"/>
        <v>0</v>
      </c>
      <c r="H171" s="168">
        <f t="shared" si="28"/>
        <v>850000</v>
      </c>
      <c r="I171" s="656"/>
    </row>
    <row r="172" spans="1:9" x14ac:dyDescent="0.25">
      <c r="A172" s="1160"/>
      <c r="B172" s="112">
        <v>53205020100000</v>
      </c>
      <c r="C172" s="160" t="s">
        <v>88</v>
      </c>
      <c r="D172" s="171">
        <v>1938029</v>
      </c>
      <c r="E172" s="172"/>
      <c r="F172" s="173"/>
      <c r="G172" s="167">
        <f t="shared" si="27"/>
        <v>0</v>
      </c>
      <c r="H172" s="168">
        <f t="shared" si="28"/>
        <v>1938029</v>
      </c>
      <c r="I172" s="656"/>
    </row>
    <row r="173" spans="1:9" x14ac:dyDescent="0.25">
      <c r="A173" s="1160"/>
      <c r="B173" s="112">
        <v>53205030100000</v>
      </c>
      <c r="C173" s="160" t="s">
        <v>89</v>
      </c>
      <c r="D173" s="171">
        <v>321414</v>
      </c>
      <c r="E173" s="172"/>
      <c r="F173" s="173"/>
      <c r="G173" s="167">
        <f t="shared" si="27"/>
        <v>0</v>
      </c>
      <c r="H173" s="168">
        <f t="shared" si="28"/>
        <v>321414</v>
      </c>
      <c r="I173" s="656"/>
    </row>
    <row r="174" spans="1:9" x14ac:dyDescent="0.25">
      <c r="A174" s="1160"/>
      <c r="B174" s="112">
        <v>53205050100000</v>
      </c>
      <c r="C174" s="160" t="s">
        <v>90</v>
      </c>
      <c r="D174" s="171"/>
      <c r="E174" s="172"/>
      <c r="F174" s="173"/>
      <c r="G174" s="167">
        <f t="shared" si="27"/>
        <v>0</v>
      </c>
      <c r="H174" s="168">
        <f t="shared" si="28"/>
        <v>0</v>
      </c>
      <c r="I174" s="656"/>
    </row>
    <row r="175" spans="1:9" x14ac:dyDescent="0.25">
      <c r="A175" s="1160"/>
      <c r="B175" s="112">
        <v>53205060100000</v>
      </c>
      <c r="C175" s="160" t="s">
        <v>91</v>
      </c>
      <c r="D175" s="171"/>
      <c r="E175" s="172"/>
      <c r="F175" s="173"/>
      <c r="G175" s="167">
        <f t="shared" si="27"/>
        <v>0</v>
      </c>
      <c r="H175" s="168">
        <f t="shared" si="28"/>
        <v>0</v>
      </c>
      <c r="I175" s="656"/>
    </row>
    <row r="176" spans="1:9" x14ac:dyDescent="0.25">
      <c r="A176" s="1160"/>
      <c r="B176" s="112">
        <v>53205070100000</v>
      </c>
      <c r="C176" s="160" t="s">
        <v>92</v>
      </c>
      <c r="D176" s="171"/>
      <c r="E176" s="172"/>
      <c r="F176" s="173"/>
      <c r="G176" s="167">
        <f t="shared" si="27"/>
        <v>0</v>
      </c>
      <c r="H176" s="168">
        <f t="shared" si="28"/>
        <v>0</v>
      </c>
      <c r="I176" s="656"/>
    </row>
    <row r="177" spans="1:9" x14ac:dyDescent="0.25">
      <c r="A177" s="1160"/>
      <c r="B177" s="112">
        <v>53208010100000</v>
      </c>
      <c r="C177" s="160" t="s">
        <v>93</v>
      </c>
      <c r="D177" s="171"/>
      <c r="E177" s="172"/>
      <c r="F177" s="173"/>
      <c r="G177" s="167">
        <f t="shared" si="27"/>
        <v>0</v>
      </c>
      <c r="H177" s="168">
        <f t="shared" si="28"/>
        <v>0</v>
      </c>
      <c r="I177" s="656"/>
    </row>
    <row r="178" spans="1:9" x14ac:dyDescent="0.25">
      <c r="A178" s="1160"/>
      <c r="B178" s="112">
        <v>53208070100001</v>
      </c>
      <c r="C178" s="160" t="s">
        <v>94</v>
      </c>
      <c r="D178" s="171"/>
      <c r="E178" s="172"/>
      <c r="F178" s="173"/>
      <c r="G178" s="167">
        <f t="shared" si="27"/>
        <v>0</v>
      </c>
      <c r="H178" s="168">
        <f t="shared" si="28"/>
        <v>0</v>
      </c>
      <c r="I178" s="656"/>
    </row>
    <row r="179" spans="1:9" x14ac:dyDescent="0.25">
      <c r="A179" s="1160"/>
      <c r="B179" s="112">
        <v>53208100100001</v>
      </c>
      <c r="C179" s="160" t="s">
        <v>95</v>
      </c>
      <c r="D179" s="171"/>
      <c r="E179" s="172"/>
      <c r="F179" s="173"/>
      <c r="G179" s="167">
        <f t="shared" si="27"/>
        <v>0</v>
      </c>
      <c r="H179" s="168">
        <f t="shared" si="28"/>
        <v>0</v>
      </c>
      <c r="I179" s="656"/>
    </row>
    <row r="180" spans="1:9" x14ac:dyDescent="0.25">
      <c r="A180" s="1160"/>
      <c r="B180" s="112">
        <v>53211030000000</v>
      </c>
      <c r="C180" s="160" t="s">
        <v>96</v>
      </c>
      <c r="D180" s="171"/>
      <c r="E180" s="172"/>
      <c r="F180" s="173"/>
      <c r="G180" s="167">
        <f t="shared" si="27"/>
        <v>0</v>
      </c>
      <c r="H180" s="168">
        <f t="shared" si="28"/>
        <v>0</v>
      </c>
      <c r="I180" s="656"/>
    </row>
    <row r="181" spans="1:9" x14ac:dyDescent="0.25">
      <c r="A181" s="1160"/>
      <c r="B181" s="112">
        <v>53212020100000</v>
      </c>
      <c r="C181" s="160" t="s">
        <v>97</v>
      </c>
      <c r="D181" s="171">
        <v>942257</v>
      </c>
      <c r="E181" s="172"/>
      <c r="F181" s="173"/>
      <c r="G181" s="167">
        <f t="shared" si="27"/>
        <v>0</v>
      </c>
      <c r="H181" s="168">
        <f t="shared" si="28"/>
        <v>942257</v>
      </c>
      <c r="I181" s="657"/>
    </row>
    <row r="182" spans="1:9" x14ac:dyDescent="0.25">
      <c r="A182" s="1160"/>
      <c r="B182" s="112">
        <v>53214020000000</v>
      </c>
      <c r="C182" s="160" t="s">
        <v>98</v>
      </c>
      <c r="D182" s="164"/>
      <c r="E182" s="165"/>
      <c r="F182" s="166"/>
      <c r="G182" s="167">
        <f t="shared" si="27"/>
        <v>0</v>
      </c>
      <c r="H182" s="168">
        <f t="shared" si="28"/>
        <v>0</v>
      </c>
      <c r="I182" s="656"/>
    </row>
    <row r="183" spans="1:9" x14ac:dyDescent="0.25">
      <c r="A183" s="1160"/>
      <c r="B183" s="151"/>
      <c r="C183" s="152" t="s">
        <v>99</v>
      </c>
      <c r="D183" s="174">
        <f>SUM(D184,D189,D192,D203,D213,D221)</f>
        <v>4493263</v>
      </c>
      <c r="E183" s="154"/>
      <c r="F183" s="154"/>
      <c r="G183" s="135">
        <f>SUM(G184,G189,G192,G203,G213,G221)</f>
        <v>9625044</v>
      </c>
      <c r="H183" s="136">
        <f>SUM(H184,H189,H192,H203,H213,H221)</f>
        <v>14118307</v>
      </c>
      <c r="I183" s="656"/>
    </row>
    <row r="184" spans="1:9" x14ac:dyDescent="0.25">
      <c r="A184" s="1160"/>
      <c r="B184" s="107"/>
      <c r="C184" s="156" t="s">
        <v>100</v>
      </c>
      <c r="D184" s="157">
        <f>SUM(D185:D188)</f>
        <v>0</v>
      </c>
      <c r="E184" s="169"/>
      <c r="F184" s="169"/>
      <c r="G184" s="170">
        <f>SUM(G185:G188)</f>
        <v>0</v>
      </c>
      <c r="H184" s="175">
        <f>SUM(H185:H188)</f>
        <v>0</v>
      </c>
      <c r="I184" s="656"/>
    </row>
    <row r="185" spans="1:9" x14ac:dyDescent="0.25">
      <c r="A185" s="1160"/>
      <c r="B185" s="112">
        <v>53202020100000</v>
      </c>
      <c r="C185" s="160" t="s">
        <v>101</v>
      </c>
      <c r="D185" s="171"/>
      <c r="E185" s="172"/>
      <c r="F185" s="173"/>
      <c r="G185" s="167">
        <f>E185*F185</f>
        <v>0</v>
      </c>
      <c r="H185" s="168">
        <f t="shared" ref="H185:H188" si="29">D185+G185</f>
        <v>0</v>
      </c>
      <c r="I185" s="656"/>
    </row>
    <row r="186" spans="1:9" x14ac:dyDescent="0.25">
      <c r="A186" s="1160"/>
      <c r="B186" s="112">
        <v>53202030000000</v>
      </c>
      <c r="C186" s="160" t="s">
        <v>102</v>
      </c>
      <c r="D186" s="164"/>
      <c r="E186" s="165"/>
      <c r="F186" s="166"/>
      <c r="G186" s="167">
        <f t="shared" ref="G186:G188" si="30">E186*F186</f>
        <v>0</v>
      </c>
      <c r="H186" s="168">
        <f t="shared" si="29"/>
        <v>0</v>
      </c>
      <c r="I186" s="656"/>
    </row>
    <row r="187" spans="1:9" x14ac:dyDescent="0.25">
      <c r="A187" s="1160"/>
      <c r="B187" s="112">
        <v>53211020000000</v>
      </c>
      <c r="C187" s="160" t="s">
        <v>103</v>
      </c>
      <c r="D187" s="171"/>
      <c r="E187" s="172"/>
      <c r="F187" s="173"/>
      <c r="G187" s="167">
        <f t="shared" si="30"/>
        <v>0</v>
      </c>
      <c r="H187" s="168">
        <f t="shared" si="29"/>
        <v>0</v>
      </c>
      <c r="I187" s="656"/>
    </row>
    <row r="188" spans="1:9" x14ac:dyDescent="0.25">
      <c r="A188" s="1160"/>
      <c r="B188" s="112">
        <v>53101004030000</v>
      </c>
      <c r="C188" s="160" t="s">
        <v>104</v>
      </c>
      <c r="D188" s="164"/>
      <c r="E188" s="165"/>
      <c r="F188" s="166"/>
      <c r="G188" s="167">
        <f t="shared" si="30"/>
        <v>0</v>
      </c>
      <c r="H188" s="168">
        <f t="shared" si="29"/>
        <v>0</v>
      </c>
      <c r="I188" s="656"/>
    </row>
    <row r="189" spans="1:9" x14ac:dyDescent="0.25">
      <c r="A189" s="1160"/>
      <c r="B189" s="107"/>
      <c r="C189" s="156" t="s">
        <v>105</v>
      </c>
      <c r="D189" s="157">
        <f>SUM(D190:D191)</f>
        <v>0</v>
      </c>
      <c r="E189" s="169"/>
      <c r="F189" s="169"/>
      <c r="G189" s="170">
        <f>SUM(G190:G191)</f>
        <v>0</v>
      </c>
      <c r="H189" s="175">
        <f>SUM(H190:H191)</f>
        <v>0</v>
      </c>
      <c r="I189" s="656"/>
    </row>
    <row r="190" spans="1:9" x14ac:dyDescent="0.25">
      <c r="A190" s="1160"/>
      <c r="B190" s="112">
        <v>53205080000000</v>
      </c>
      <c r="C190" s="176" t="s">
        <v>106</v>
      </c>
      <c r="D190" s="164"/>
      <c r="E190" s="165"/>
      <c r="F190" s="166"/>
      <c r="G190" s="167">
        <f t="shared" ref="G190:G191" si="31">E190*F190</f>
        <v>0</v>
      </c>
      <c r="H190" s="168">
        <f t="shared" ref="H190:H191" si="32">D190+G190</f>
        <v>0</v>
      </c>
      <c r="I190" s="656"/>
    </row>
    <row r="191" spans="1:9" x14ac:dyDescent="0.25">
      <c r="A191" s="1160"/>
      <c r="B191" s="112">
        <v>53205990000000</v>
      </c>
      <c r="C191" s="160" t="s">
        <v>107</v>
      </c>
      <c r="D191" s="171"/>
      <c r="E191" s="172"/>
      <c r="F191" s="173"/>
      <c r="G191" s="167">
        <f t="shared" si="31"/>
        <v>0</v>
      </c>
      <c r="H191" s="168">
        <f t="shared" si="32"/>
        <v>0</v>
      </c>
      <c r="I191" s="656"/>
    </row>
    <row r="192" spans="1:9" x14ac:dyDescent="0.25">
      <c r="A192" s="1160"/>
      <c r="B192" s="107"/>
      <c r="C192" s="156" t="s">
        <v>108</v>
      </c>
      <c r="D192" s="157">
        <f>SUM(D193:D202)</f>
        <v>3592349</v>
      </c>
      <c r="E192" s="169"/>
      <c r="F192" s="169"/>
      <c r="G192" s="130">
        <f>SUM(G193:G202)</f>
        <v>9625044</v>
      </c>
      <c r="H192" s="129">
        <f>SUM(H193:H202)</f>
        <v>13217393</v>
      </c>
      <c r="I192" s="656"/>
    </row>
    <row r="193" spans="1:9" x14ac:dyDescent="0.25">
      <c r="A193" s="1160"/>
      <c r="B193" s="112">
        <v>53203010200000</v>
      </c>
      <c r="C193" s="160" t="s">
        <v>109</v>
      </c>
      <c r="D193" s="164"/>
      <c r="E193" s="164"/>
      <c r="F193" s="166"/>
      <c r="G193" s="167">
        <f t="shared" ref="G193:G202" si="33">E193*F193</f>
        <v>0</v>
      </c>
      <c r="H193" s="168">
        <f t="shared" ref="H193:H202" si="34">D193+G193</f>
        <v>0</v>
      </c>
      <c r="I193" s="656"/>
    </row>
    <row r="194" spans="1:9" x14ac:dyDescent="0.25">
      <c r="A194" s="1160"/>
      <c r="B194" s="112">
        <v>53204010000000</v>
      </c>
      <c r="C194" s="160" t="s">
        <v>110</v>
      </c>
      <c r="D194" s="171"/>
      <c r="E194" s="171"/>
      <c r="F194" s="173"/>
      <c r="G194" s="167">
        <f t="shared" si="33"/>
        <v>0</v>
      </c>
      <c r="H194" s="168">
        <f t="shared" si="34"/>
        <v>0</v>
      </c>
      <c r="I194" s="656"/>
    </row>
    <row r="195" spans="1:9" x14ac:dyDescent="0.25">
      <c r="A195" s="1160"/>
      <c r="B195" s="112">
        <v>53204040200000</v>
      </c>
      <c r="C195" s="176" t="s">
        <v>111</v>
      </c>
      <c r="D195" s="171"/>
      <c r="E195" s="171"/>
      <c r="F195" s="173"/>
      <c r="G195" s="167">
        <f t="shared" si="33"/>
        <v>0</v>
      </c>
      <c r="H195" s="168">
        <f t="shared" si="34"/>
        <v>0</v>
      </c>
      <c r="I195" s="656"/>
    </row>
    <row r="196" spans="1:9" x14ac:dyDescent="0.25">
      <c r="A196" s="1160"/>
      <c r="B196" s="112">
        <v>53204060000000</v>
      </c>
      <c r="C196" s="176" t="s">
        <v>112</v>
      </c>
      <c r="D196" s="171"/>
      <c r="E196" s="171"/>
      <c r="F196" s="173"/>
      <c r="G196" s="167">
        <f t="shared" si="33"/>
        <v>0</v>
      </c>
      <c r="H196" s="168">
        <f t="shared" si="34"/>
        <v>0</v>
      </c>
      <c r="I196" s="656"/>
    </row>
    <row r="197" spans="1:9" x14ac:dyDescent="0.25">
      <c r="A197" s="1160"/>
      <c r="B197" s="112">
        <v>53204070000000</v>
      </c>
      <c r="C197" s="160" t="s">
        <v>113</v>
      </c>
      <c r="D197" s="171">
        <v>2671625</v>
      </c>
      <c r="E197" s="171"/>
      <c r="F197" s="173"/>
      <c r="G197" s="167">
        <f t="shared" si="33"/>
        <v>0</v>
      </c>
      <c r="H197" s="168">
        <f t="shared" si="34"/>
        <v>2671625</v>
      </c>
      <c r="I197" s="656"/>
    </row>
    <row r="198" spans="1:9" x14ac:dyDescent="0.25">
      <c r="A198" s="1160"/>
      <c r="B198" s="112">
        <v>53204080000000</v>
      </c>
      <c r="C198" s="176" t="s">
        <v>114</v>
      </c>
      <c r="D198" s="171">
        <v>339240</v>
      </c>
      <c r="E198" s="171"/>
      <c r="F198" s="173"/>
      <c r="G198" s="167">
        <f t="shared" si="33"/>
        <v>0</v>
      </c>
      <c r="H198" s="168">
        <f t="shared" si="34"/>
        <v>339240</v>
      </c>
      <c r="I198" s="656"/>
    </row>
    <row r="199" spans="1:9" x14ac:dyDescent="0.25">
      <c r="A199" s="1160"/>
      <c r="B199" s="112">
        <v>53214010000000</v>
      </c>
      <c r="C199" s="176" t="s">
        <v>115</v>
      </c>
      <c r="D199" s="164">
        <v>581484</v>
      </c>
      <c r="E199" s="164"/>
      <c r="F199" s="166"/>
      <c r="G199" s="167">
        <f t="shared" si="33"/>
        <v>0</v>
      </c>
      <c r="H199" s="168">
        <f t="shared" si="34"/>
        <v>581484</v>
      </c>
      <c r="I199" s="656"/>
    </row>
    <row r="200" spans="1:9" x14ac:dyDescent="0.25">
      <c r="A200" s="1160"/>
      <c r="B200" s="112">
        <v>53214040000000</v>
      </c>
      <c r="C200" s="160" t="s">
        <v>116</v>
      </c>
      <c r="D200" s="164"/>
      <c r="E200" s="164"/>
      <c r="F200" s="166"/>
      <c r="G200" s="167">
        <f t="shared" si="33"/>
        <v>0</v>
      </c>
      <c r="H200" s="168">
        <f t="shared" si="34"/>
        <v>0</v>
      </c>
      <c r="I200" s="656"/>
    </row>
    <row r="201" spans="1:9" x14ac:dyDescent="0.25">
      <c r="A201" s="1160"/>
      <c r="B201" s="112">
        <v>55201010100004</v>
      </c>
      <c r="C201" s="160" t="s">
        <v>117</v>
      </c>
      <c r="D201" s="164"/>
      <c r="E201" s="161">
        <f>+'I) Costo Desayuno'!C29</f>
        <v>3476</v>
      </c>
      <c r="F201" s="166">
        <f>+'B) Reajuste Tarifas y Ocupación'!Z27</f>
        <v>2769</v>
      </c>
      <c r="G201" s="167">
        <f>E201*F201</f>
        <v>9625044</v>
      </c>
      <c r="H201" s="168">
        <f t="shared" si="34"/>
        <v>9625044</v>
      </c>
      <c r="I201" s="656"/>
    </row>
    <row r="202" spans="1:9" x14ac:dyDescent="0.25">
      <c r="A202" s="1160"/>
      <c r="B202" s="112">
        <v>55201010100005</v>
      </c>
      <c r="C202" s="160" t="s">
        <v>118</v>
      </c>
      <c r="D202" s="164"/>
      <c r="E202" s="164"/>
      <c r="F202" s="166"/>
      <c r="G202" s="167">
        <f t="shared" si="33"/>
        <v>0</v>
      </c>
      <c r="H202" s="168">
        <f t="shared" si="34"/>
        <v>0</v>
      </c>
      <c r="I202" s="656"/>
    </row>
    <row r="203" spans="1:9" x14ac:dyDescent="0.25">
      <c r="A203" s="1160"/>
      <c r="B203" s="107"/>
      <c r="C203" s="156" t="s">
        <v>119</v>
      </c>
      <c r="D203" s="157">
        <f>SUM(D204:D212)</f>
        <v>900914</v>
      </c>
      <c r="E203" s="169"/>
      <c r="F203" s="169"/>
      <c r="G203" s="130">
        <f>SUM(G204:G212)</f>
        <v>0</v>
      </c>
      <c r="H203" s="129">
        <f>SUM(H204:H212)</f>
        <v>900914</v>
      </c>
      <c r="I203" s="656"/>
    </row>
    <row r="204" spans="1:9" x14ac:dyDescent="0.25">
      <c r="A204" s="1160"/>
      <c r="B204" s="112">
        <v>53207010000000</v>
      </c>
      <c r="C204" s="160" t="s">
        <v>120</v>
      </c>
      <c r="D204" s="171"/>
      <c r="E204" s="171"/>
      <c r="F204" s="173"/>
      <c r="G204" s="167">
        <f t="shared" ref="G204:G212" si="35">E204*F204</f>
        <v>0</v>
      </c>
      <c r="H204" s="168">
        <f t="shared" ref="H204:H212" si="36">D204+G204</f>
        <v>0</v>
      </c>
      <c r="I204" s="656"/>
    </row>
    <row r="205" spans="1:9" x14ac:dyDescent="0.25">
      <c r="A205" s="1160"/>
      <c r="B205" s="112">
        <v>53207020000000</v>
      </c>
      <c r="C205" s="160" t="s">
        <v>121</v>
      </c>
      <c r="D205" s="171"/>
      <c r="E205" s="171"/>
      <c r="F205" s="173"/>
      <c r="G205" s="167">
        <f t="shared" si="35"/>
        <v>0</v>
      </c>
      <c r="H205" s="168">
        <f t="shared" si="36"/>
        <v>0</v>
      </c>
      <c r="I205" s="656"/>
    </row>
    <row r="206" spans="1:9" x14ac:dyDescent="0.25">
      <c r="A206" s="1160"/>
      <c r="B206" s="112">
        <v>53208020000000</v>
      </c>
      <c r="C206" s="160" t="s">
        <v>122</v>
      </c>
      <c r="D206" s="171"/>
      <c r="E206" s="171"/>
      <c r="F206" s="173"/>
      <c r="G206" s="167">
        <f t="shared" si="35"/>
        <v>0</v>
      </c>
      <c r="H206" s="168">
        <f t="shared" si="36"/>
        <v>0</v>
      </c>
      <c r="I206" s="656"/>
    </row>
    <row r="207" spans="1:9" x14ac:dyDescent="0.25">
      <c r="A207" s="1160"/>
      <c r="B207" s="112">
        <v>53208990000000</v>
      </c>
      <c r="C207" s="160" t="s">
        <v>123</v>
      </c>
      <c r="D207" s="171">
        <v>900914</v>
      </c>
      <c r="E207" s="171"/>
      <c r="F207" s="173"/>
      <c r="G207" s="167">
        <f t="shared" si="35"/>
        <v>0</v>
      </c>
      <c r="H207" s="168">
        <f t="shared" si="36"/>
        <v>900914</v>
      </c>
      <c r="I207" s="656"/>
    </row>
    <row r="208" spans="1:9" x14ac:dyDescent="0.25">
      <c r="A208" s="1160"/>
      <c r="B208" s="112">
        <v>53209010000000</v>
      </c>
      <c r="C208" s="160" t="s">
        <v>124</v>
      </c>
      <c r="D208" s="171"/>
      <c r="E208" s="171"/>
      <c r="F208" s="173"/>
      <c r="G208" s="167">
        <f t="shared" si="35"/>
        <v>0</v>
      </c>
      <c r="H208" s="168">
        <f t="shared" si="36"/>
        <v>0</v>
      </c>
      <c r="I208" s="656"/>
    </row>
    <row r="209" spans="1:9" x14ac:dyDescent="0.25">
      <c r="A209" s="1160"/>
      <c r="B209" s="112">
        <v>53209040000000</v>
      </c>
      <c r="C209" s="160" t="s">
        <v>125</v>
      </c>
      <c r="D209" s="171"/>
      <c r="E209" s="171"/>
      <c r="F209" s="173"/>
      <c r="G209" s="167">
        <f t="shared" si="35"/>
        <v>0</v>
      </c>
      <c r="H209" s="168">
        <f t="shared" si="36"/>
        <v>0</v>
      </c>
      <c r="I209" s="656"/>
    </row>
    <row r="210" spans="1:9" x14ac:dyDescent="0.25">
      <c r="A210" s="1160"/>
      <c r="B210" s="112">
        <v>53209050000000</v>
      </c>
      <c r="C210" s="160" t="s">
        <v>126</v>
      </c>
      <c r="D210" s="171"/>
      <c r="E210" s="171"/>
      <c r="F210" s="173"/>
      <c r="G210" s="167">
        <f t="shared" si="35"/>
        <v>0</v>
      </c>
      <c r="H210" s="168">
        <f t="shared" si="36"/>
        <v>0</v>
      </c>
      <c r="I210" s="656"/>
    </row>
    <row r="211" spans="1:9" x14ac:dyDescent="0.25">
      <c r="A211" s="1160"/>
      <c r="B211" s="112">
        <v>53209990000000</v>
      </c>
      <c r="C211" s="160" t="s">
        <v>127</v>
      </c>
      <c r="D211" s="171"/>
      <c r="E211" s="171"/>
      <c r="F211" s="173"/>
      <c r="G211" s="167">
        <f t="shared" si="35"/>
        <v>0</v>
      </c>
      <c r="H211" s="168">
        <f t="shared" si="36"/>
        <v>0</v>
      </c>
      <c r="I211" s="656"/>
    </row>
    <row r="212" spans="1:9" x14ac:dyDescent="0.25">
      <c r="A212" s="1160"/>
      <c r="B212" s="112">
        <v>53210020100000</v>
      </c>
      <c r="C212" s="160" t="s">
        <v>128</v>
      </c>
      <c r="D212" s="171"/>
      <c r="E212" s="171"/>
      <c r="F212" s="173"/>
      <c r="G212" s="167">
        <f t="shared" si="35"/>
        <v>0</v>
      </c>
      <c r="H212" s="168">
        <f t="shared" si="36"/>
        <v>0</v>
      </c>
      <c r="I212" s="656"/>
    </row>
    <row r="213" spans="1:9" x14ac:dyDescent="0.25">
      <c r="A213" s="1160"/>
      <c r="B213" s="107"/>
      <c r="C213" s="156" t="s">
        <v>129</v>
      </c>
      <c r="D213" s="157">
        <f>SUM(D214:D220)</f>
        <v>0</v>
      </c>
      <c r="E213" s="169"/>
      <c r="F213" s="169"/>
      <c r="G213" s="130">
        <f>SUM(G214:G220)</f>
        <v>0</v>
      </c>
      <c r="H213" s="129">
        <f>SUM(H214:H220)</f>
        <v>0</v>
      </c>
      <c r="I213" s="656"/>
    </row>
    <row r="214" spans="1:9" x14ac:dyDescent="0.25">
      <c r="A214" s="1160"/>
      <c r="B214" s="112">
        <v>53206030000000</v>
      </c>
      <c r="C214" s="160" t="s">
        <v>130</v>
      </c>
      <c r="D214" s="171"/>
      <c r="E214" s="171"/>
      <c r="F214" s="173"/>
      <c r="G214" s="167">
        <f t="shared" ref="G214:G220" si="37">E214*F214</f>
        <v>0</v>
      </c>
      <c r="H214" s="168">
        <f t="shared" ref="H214:H220" si="38">D214+G214</f>
        <v>0</v>
      </c>
      <c r="I214" s="656"/>
    </row>
    <row r="215" spans="1:9" x14ac:dyDescent="0.25">
      <c r="A215" s="1160"/>
      <c r="B215" s="112">
        <v>53206040000000</v>
      </c>
      <c r="C215" s="160" t="s">
        <v>131</v>
      </c>
      <c r="D215" s="171"/>
      <c r="E215" s="171"/>
      <c r="F215" s="173"/>
      <c r="G215" s="167">
        <f t="shared" si="37"/>
        <v>0</v>
      </c>
      <c r="H215" s="168">
        <f t="shared" si="38"/>
        <v>0</v>
      </c>
      <c r="I215" s="656"/>
    </row>
    <row r="216" spans="1:9" x14ac:dyDescent="0.25">
      <c r="A216" s="1160"/>
      <c r="B216" s="112">
        <v>53206060000000</v>
      </c>
      <c r="C216" s="160" t="s">
        <v>132</v>
      </c>
      <c r="D216" s="171"/>
      <c r="E216" s="171"/>
      <c r="F216" s="173"/>
      <c r="G216" s="167">
        <f t="shared" si="37"/>
        <v>0</v>
      </c>
      <c r="H216" s="168">
        <f t="shared" si="38"/>
        <v>0</v>
      </c>
      <c r="I216" s="657"/>
    </row>
    <row r="217" spans="1:9" x14ac:dyDescent="0.25">
      <c r="A217" s="1160"/>
      <c r="B217" s="112">
        <v>53206070000000</v>
      </c>
      <c r="C217" s="160" t="s">
        <v>133</v>
      </c>
      <c r="D217" s="171"/>
      <c r="E217" s="171"/>
      <c r="F217" s="173"/>
      <c r="G217" s="167">
        <f t="shared" si="37"/>
        <v>0</v>
      </c>
      <c r="H217" s="168">
        <f t="shared" si="38"/>
        <v>0</v>
      </c>
      <c r="I217" s="656"/>
    </row>
    <row r="218" spans="1:9" x14ac:dyDescent="0.25">
      <c r="A218" s="1160"/>
      <c r="B218" s="112">
        <v>53206990000000</v>
      </c>
      <c r="C218" s="160" t="s">
        <v>134</v>
      </c>
      <c r="D218" s="171"/>
      <c r="E218" s="171"/>
      <c r="F218" s="173"/>
      <c r="G218" s="167">
        <f t="shared" si="37"/>
        <v>0</v>
      </c>
      <c r="H218" s="168">
        <f t="shared" si="38"/>
        <v>0</v>
      </c>
      <c r="I218" s="657"/>
    </row>
    <row r="219" spans="1:9" x14ac:dyDescent="0.25">
      <c r="A219" s="1160"/>
      <c r="B219" s="112">
        <v>53208030000000</v>
      </c>
      <c r="C219" s="160" t="s">
        <v>135</v>
      </c>
      <c r="D219" s="171"/>
      <c r="E219" s="171"/>
      <c r="F219" s="173"/>
      <c r="G219" s="167">
        <f t="shared" si="37"/>
        <v>0</v>
      </c>
      <c r="H219" s="168">
        <f t="shared" si="38"/>
        <v>0</v>
      </c>
      <c r="I219" s="656"/>
    </row>
    <row r="220" spans="1:9" x14ac:dyDescent="0.25">
      <c r="A220" s="1160"/>
      <c r="B220" s="112">
        <v>53212060000000</v>
      </c>
      <c r="C220" s="160" t="s">
        <v>136</v>
      </c>
      <c r="D220" s="164"/>
      <c r="E220" s="164"/>
      <c r="F220" s="166"/>
      <c r="G220" s="167">
        <f t="shared" si="37"/>
        <v>0</v>
      </c>
      <c r="H220" s="168">
        <f t="shared" si="38"/>
        <v>0</v>
      </c>
      <c r="I220" s="656"/>
    </row>
    <row r="221" spans="1:9" x14ac:dyDescent="0.25">
      <c r="A221" s="1160"/>
      <c r="B221" s="107"/>
      <c r="C221" s="156" t="s">
        <v>137</v>
      </c>
      <c r="D221" s="157">
        <f>SUM(D222:D223)</f>
        <v>0</v>
      </c>
      <c r="E221" s="169"/>
      <c r="F221" s="169"/>
      <c r="G221" s="130">
        <f>SUM(G222:G223)</f>
        <v>0</v>
      </c>
      <c r="H221" s="129">
        <f>SUM(H222:H223)</f>
        <v>0</v>
      </c>
      <c r="I221" s="656"/>
    </row>
    <row r="222" spans="1:9" x14ac:dyDescent="0.25">
      <c r="A222" s="1160"/>
      <c r="B222" s="112">
        <v>53210020500000</v>
      </c>
      <c r="C222" s="160" t="s">
        <v>138</v>
      </c>
      <c r="D222" s="164"/>
      <c r="E222" s="164"/>
      <c r="F222" s="166"/>
      <c r="G222" s="167">
        <f t="shared" ref="G222:G223" si="39">E222*F222</f>
        <v>0</v>
      </c>
      <c r="H222" s="178">
        <f t="shared" ref="H222:H223" si="40">D222+G222</f>
        <v>0</v>
      </c>
      <c r="I222" s="656"/>
    </row>
    <row r="223" spans="1:9" x14ac:dyDescent="0.25">
      <c r="A223" s="1160"/>
      <c r="B223" s="140">
        <v>53204999000000</v>
      </c>
      <c r="C223" s="179" t="s">
        <v>139</v>
      </c>
      <c r="D223" s="171"/>
      <c r="E223" s="171"/>
      <c r="F223" s="173"/>
      <c r="G223" s="180">
        <f t="shared" si="39"/>
        <v>0</v>
      </c>
      <c r="H223" s="178">
        <f t="shared" si="40"/>
        <v>0</v>
      </c>
      <c r="I223" s="656"/>
    </row>
    <row r="224" spans="1:9" x14ac:dyDescent="0.25">
      <c r="A224" s="1161"/>
      <c r="B224" s="143"/>
      <c r="C224" s="144" t="s">
        <v>12</v>
      </c>
      <c r="D224" s="145">
        <f>SUM(D155,D183)</f>
        <v>18578286</v>
      </c>
      <c r="E224" s="146"/>
      <c r="F224" s="146"/>
      <c r="G224" s="145">
        <f>SUM(G155,G183)</f>
        <v>9625044</v>
      </c>
      <c r="H224" s="147">
        <f>SUM(H155,H183)</f>
        <v>28203330</v>
      </c>
      <c r="I224" s="656"/>
    </row>
    <row r="225" spans="1:9" x14ac:dyDescent="0.25">
      <c r="A225" s="1165" t="s">
        <v>22</v>
      </c>
      <c r="B225" s="1167" t="s">
        <v>63</v>
      </c>
      <c r="C225" s="1169" t="s">
        <v>64</v>
      </c>
      <c r="D225" s="1171" t="s">
        <v>65</v>
      </c>
      <c r="E225" s="1162" t="s">
        <v>66</v>
      </c>
      <c r="F225" s="1163"/>
      <c r="G225" s="1164"/>
      <c r="H225" s="1156" t="str">
        <f>+H153</f>
        <v>COSTO DIRECTO ESTIMADO 2026</v>
      </c>
      <c r="I225" s="1158" t="s">
        <v>67</v>
      </c>
    </row>
    <row r="226" spans="1:9" ht="46.5" customHeight="1" x14ac:dyDescent="0.25">
      <c r="A226" s="1166"/>
      <c r="B226" s="1168"/>
      <c r="C226" s="1170"/>
      <c r="D226" s="1172"/>
      <c r="E226" s="148" t="s">
        <v>68</v>
      </c>
      <c r="F226" s="149" t="s">
        <v>69</v>
      </c>
      <c r="G226" s="150" t="s">
        <v>70</v>
      </c>
      <c r="H226" s="1157"/>
      <c r="I226" s="1158"/>
    </row>
    <row r="227" spans="1:9" x14ac:dyDescent="0.25">
      <c r="A227" s="1159" t="str">
        <f>+'B) Reajuste Tarifas y Ocupación'!A32</f>
        <v>Piscina</v>
      </c>
      <c r="B227" s="151"/>
      <c r="C227" s="152" t="s">
        <v>71</v>
      </c>
      <c r="D227" s="153">
        <f>SUM(D228,D233,D235)</f>
        <v>18520054.475000001</v>
      </c>
      <c r="E227" s="154"/>
      <c r="F227" s="154"/>
      <c r="G227" s="153">
        <f>SUM(G228,G233,G235)</f>
        <v>1048320</v>
      </c>
      <c r="H227" s="155">
        <f>SUM(H228,H233,H235)</f>
        <v>19568374.475000001</v>
      </c>
      <c r="I227" s="656"/>
    </row>
    <row r="228" spans="1:9" x14ac:dyDescent="0.25">
      <c r="A228" s="1160"/>
      <c r="B228" s="107"/>
      <c r="C228" s="156" t="s">
        <v>72</v>
      </c>
      <c r="D228" s="157">
        <f>SUM(D229:D232)</f>
        <v>11438836.475</v>
      </c>
      <c r="E228" s="158"/>
      <c r="F228" s="158"/>
      <c r="G228" s="157">
        <f>SUM(G229:G232)</f>
        <v>0</v>
      </c>
      <c r="H228" s="159">
        <f>SUM(H229:H232)</f>
        <v>11438836.475</v>
      </c>
      <c r="I228" s="656"/>
    </row>
    <row r="229" spans="1:9" x14ac:dyDescent="0.25">
      <c r="A229" s="1160"/>
      <c r="B229" s="112">
        <v>53103040100000</v>
      </c>
      <c r="C229" s="160" t="s">
        <v>73</v>
      </c>
      <c r="D229" s="161">
        <f>+'F) Remuneraciones'!M91</f>
        <v>11438836.475</v>
      </c>
      <c r="E229" s="162"/>
      <c r="F229" s="162"/>
      <c r="G229" s="162"/>
      <c r="H229" s="163">
        <f>D229+G229</f>
        <v>11438836.475</v>
      </c>
      <c r="I229" s="656"/>
    </row>
    <row r="230" spans="1:9" x14ac:dyDescent="0.25">
      <c r="A230" s="1160"/>
      <c r="B230" s="112">
        <v>53103050000000</v>
      </c>
      <c r="C230" s="160" t="s">
        <v>74</v>
      </c>
      <c r="D230" s="117"/>
      <c r="E230" s="118"/>
      <c r="F230" s="119"/>
      <c r="G230" s="120">
        <f>E230*F230</f>
        <v>0</v>
      </c>
      <c r="H230" s="121">
        <f t="shared" ref="H230:H232" si="41">D230+G230</f>
        <v>0</v>
      </c>
      <c r="I230" s="656"/>
    </row>
    <row r="231" spans="1:9" x14ac:dyDescent="0.25">
      <c r="A231" s="1160"/>
      <c r="B231" s="112">
        <v>53103060000000</v>
      </c>
      <c r="C231" s="160" t="s">
        <v>75</v>
      </c>
      <c r="D231" s="164"/>
      <c r="E231" s="165"/>
      <c r="F231" s="166"/>
      <c r="G231" s="167">
        <f t="shared" ref="G231:G232" si="42">E231*F231</f>
        <v>0</v>
      </c>
      <c r="H231" s="168">
        <f t="shared" si="41"/>
        <v>0</v>
      </c>
      <c r="I231" s="656"/>
    </row>
    <row r="232" spans="1:9" x14ac:dyDescent="0.25">
      <c r="A232" s="1160"/>
      <c r="B232" s="112">
        <v>53103080010000</v>
      </c>
      <c r="C232" s="160" t="s">
        <v>76</v>
      </c>
      <c r="D232" s="164"/>
      <c r="E232" s="165"/>
      <c r="F232" s="166"/>
      <c r="G232" s="167">
        <f t="shared" si="42"/>
        <v>0</v>
      </c>
      <c r="H232" s="168">
        <f t="shared" si="41"/>
        <v>0</v>
      </c>
      <c r="I232" s="656"/>
    </row>
    <row r="233" spans="1:9" x14ac:dyDescent="0.25">
      <c r="A233" s="1160"/>
      <c r="B233" s="107"/>
      <c r="C233" s="156" t="s">
        <v>77</v>
      </c>
      <c r="D233" s="157">
        <f>SUM(D234)</f>
        <v>0</v>
      </c>
      <c r="E233" s="169"/>
      <c r="F233" s="169"/>
      <c r="G233" s="170">
        <f>SUM(G234:G234)</f>
        <v>0</v>
      </c>
      <c r="H233" s="129">
        <f>SUM(H234:H234)</f>
        <v>0</v>
      </c>
      <c r="I233" s="656"/>
    </row>
    <row r="234" spans="1:9" x14ac:dyDescent="0.25">
      <c r="A234" s="1160"/>
      <c r="B234" s="112">
        <v>55201010100001</v>
      </c>
      <c r="C234" s="160" t="s">
        <v>78</v>
      </c>
      <c r="D234" s="164"/>
      <c r="E234" s="165"/>
      <c r="F234" s="166"/>
      <c r="G234" s="167">
        <f t="shared" ref="G234" si="43">E234*F234</f>
        <v>0</v>
      </c>
      <c r="H234" s="168">
        <f>D234+G234</f>
        <v>0</v>
      </c>
      <c r="I234" s="656"/>
    </row>
    <row r="235" spans="1:9" x14ac:dyDescent="0.25">
      <c r="A235" s="1160"/>
      <c r="B235" s="107"/>
      <c r="C235" s="156" t="s">
        <v>79</v>
      </c>
      <c r="D235" s="157">
        <f>SUM(D236:D254)</f>
        <v>7081218</v>
      </c>
      <c r="E235" s="169"/>
      <c r="F235" s="169"/>
      <c r="G235" s="130">
        <f>SUM(G236:G254)</f>
        <v>1048320</v>
      </c>
      <c r="H235" s="129">
        <f>SUM(H236:H254)</f>
        <v>8129538</v>
      </c>
      <c r="I235" s="656"/>
    </row>
    <row r="236" spans="1:9" x14ac:dyDescent="0.25">
      <c r="A236" s="1160"/>
      <c r="B236" s="112">
        <v>53201010100000</v>
      </c>
      <c r="C236" s="160" t="s">
        <v>80</v>
      </c>
      <c r="D236" s="164"/>
      <c r="E236" s="165">
        <v>2730</v>
      </c>
      <c r="F236" s="166">
        <v>384</v>
      </c>
      <c r="G236" s="167">
        <f t="shared" ref="G236:G254" si="44">E236*F236</f>
        <v>1048320</v>
      </c>
      <c r="H236" s="168">
        <f t="shared" ref="H236:H254" si="45">D236+G236</f>
        <v>1048320</v>
      </c>
      <c r="I236" s="656"/>
    </row>
    <row r="237" spans="1:9" x14ac:dyDescent="0.25">
      <c r="A237" s="1160"/>
      <c r="B237" s="112">
        <v>53202010100000</v>
      </c>
      <c r="C237" s="160" t="s">
        <v>81</v>
      </c>
      <c r="D237" s="164"/>
      <c r="E237" s="165"/>
      <c r="F237" s="166"/>
      <c r="G237" s="167">
        <f t="shared" si="44"/>
        <v>0</v>
      </c>
      <c r="H237" s="168">
        <f t="shared" si="45"/>
        <v>0</v>
      </c>
      <c r="I237" s="656"/>
    </row>
    <row r="238" spans="1:9" x14ac:dyDescent="0.25">
      <c r="A238" s="1160"/>
      <c r="B238" s="112">
        <v>53203010100000</v>
      </c>
      <c r="C238" s="160" t="s">
        <v>82</v>
      </c>
      <c r="D238" s="171"/>
      <c r="E238" s="172"/>
      <c r="F238" s="173"/>
      <c r="G238" s="167">
        <f t="shared" si="44"/>
        <v>0</v>
      </c>
      <c r="H238" s="168">
        <f t="shared" si="45"/>
        <v>0</v>
      </c>
      <c r="I238" s="656"/>
    </row>
    <row r="239" spans="1:9" x14ac:dyDescent="0.25">
      <c r="A239" s="1160"/>
      <c r="B239" s="112">
        <v>53203030000000</v>
      </c>
      <c r="C239" s="160" t="s">
        <v>83</v>
      </c>
      <c r="D239" s="171"/>
      <c r="E239" s="172"/>
      <c r="F239" s="173"/>
      <c r="G239" s="167">
        <f t="shared" si="44"/>
        <v>0</v>
      </c>
      <c r="H239" s="168">
        <f t="shared" si="45"/>
        <v>0</v>
      </c>
      <c r="I239" s="656"/>
    </row>
    <row r="240" spans="1:9" x14ac:dyDescent="0.25">
      <c r="A240" s="1160"/>
      <c r="B240" s="112">
        <v>53204030000000</v>
      </c>
      <c r="C240" s="160" t="s">
        <v>84</v>
      </c>
      <c r="D240" s="171">
        <v>1076242</v>
      </c>
      <c r="E240" s="172"/>
      <c r="F240" s="173"/>
      <c r="G240" s="167">
        <f t="shared" si="44"/>
        <v>0</v>
      </c>
      <c r="H240" s="168">
        <f t="shared" si="45"/>
        <v>1076242</v>
      </c>
      <c r="I240" s="656"/>
    </row>
    <row r="241" spans="1:9" x14ac:dyDescent="0.25">
      <c r="A241" s="1160"/>
      <c r="B241" s="112">
        <v>53204100100001</v>
      </c>
      <c r="C241" s="160" t="s">
        <v>85</v>
      </c>
      <c r="D241" s="171">
        <v>329175</v>
      </c>
      <c r="E241" s="172"/>
      <c r="F241" s="173"/>
      <c r="G241" s="167">
        <f t="shared" si="44"/>
        <v>0</v>
      </c>
      <c r="H241" s="168">
        <f t="shared" si="45"/>
        <v>329175</v>
      </c>
      <c r="I241" s="656"/>
    </row>
    <row r="242" spans="1:9" x14ac:dyDescent="0.25">
      <c r="A242" s="1160"/>
      <c r="B242" s="112">
        <v>53204130100000</v>
      </c>
      <c r="C242" s="160" t="s">
        <v>86</v>
      </c>
      <c r="D242" s="171">
        <v>164787</v>
      </c>
      <c r="E242" s="172"/>
      <c r="F242" s="173"/>
      <c r="G242" s="167">
        <f t="shared" si="44"/>
        <v>0</v>
      </c>
      <c r="H242" s="168">
        <f t="shared" si="45"/>
        <v>164787</v>
      </c>
      <c r="I242" s="656"/>
    </row>
    <row r="243" spans="1:9" x14ac:dyDescent="0.25">
      <c r="A243" s="1160"/>
      <c r="B243" s="112">
        <v>53205010100000</v>
      </c>
      <c r="C243" s="160" t="s">
        <v>87</v>
      </c>
      <c r="D243" s="171"/>
      <c r="E243" s="172"/>
      <c r="F243" s="173"/>
      <c r="G243" s="167">
        <f t="shared" si="44"/>
        <v>0</v>
      </c>
      <c r="H243" s="168">
        <f t="shared" si="45"/>
        <v>0</v>
      </c>
      <c r="I243" s="656"/>
    </row>
    <row r="244" spans="1:9" x14ac:dyDescent="0.25">
      <c r="A244" s="1160"/>
      <c r="B244" s="112">
        <v>53205020100000</v>
      </c>
      <c r="C244" s="160" t="s">
        <v>88</v>
      </c>
      <c r="D244" s="171">
        <v>4671052</v>
      </c>
      <c r="E244" s="172"/>
      <c r="F244" s="173"/>
      <c r="G244" s="167">
        <f t="shared" si="44"/>
        <v>0</v>
      </c>
      <c r="H244" s="168">
        <f t="shared" si="45"/>
        <v>4671052</v>
      </c>
      <c r="I244" s="656"/>
    </row>
    <row r="245" spans="1:9" x14ac:dyDescent="0.25">
      <c r="A245" s="1160"/>
      <c r="B245" s="112">
        <v>53205030100000</v>
      </c>
      <c r="C245" s="160" t="s">
        <v>89</v>
      </c>
      <c r="D245" s="171"/>
      <c r="E245" s="172"/>
      <c r="F245" s="173"/>
      <c r="G245" s="167">
        <f t="shared" si="44"/>
        <v>0</v>
      </c>
      <c r="H245" s="168">
        <f t="shared" si="45"/>
        <v>0</v>
      </c>
      <c r="I245" s="656"/>
    </row>
    <row r="246" spans="1:9" x14ac:dyDescent="0.25">
      <c r="A246" s="1160"/>
      <c r="B246" s="112">
        <v>53205050100000</v>
      </c>
      <c r="C246" s="160" t="s">
        <v>90</v>
      </c>
      <c r="D246" s="171"/>
      <c r="E246" s="172"/>
      <c r="F246" s="173"/>
      <c r="G246" s="167">
        <f t="shared" si="44"/>
        <v>0</v>
      </c>
      <c r="H246" s="168">
        <f t="shared" si="45"/>
        <v>0</v>
      </c>
      <c r="I246" s="656"/>
    </row>
    <row r="247" spans="1:9" x14ac:dyDescent="0.25">
      <c r="A247" s="1160"/>
      <c r="B247" s="112">
        <v>53205060100000</v>
      </c>
      <c r="C247" s="160" t="s">
        <v>91</v>
      </c>
      <c r="D247" s="171"/>
      <c r="E247" s="172"/>
      <c r="F247" s="173"/>
      <c r="G247" s="167">
        <f t="shared" si="44"/>
        <v>0</v>
      </c>
      <c r="H247" s="168">
        <f t="shared" si="45"/>
        <v>0</v>
      </c>
      <c r="I247" s="656"/>
    </row>
    <row r="248" spans="1:9" x14ac:dyDescent="0.25">
      <c r="A248" s="1160"/>
      <c r="B248" s="112">
        <v>53205070100000</v>
      </c>
      <c r="C248" s="160" t="s">
        <v>92</v>
      </c>
      <c r="D248" s="171"/>
      <c r="E248" s="172"/>
      <c r="F248" s="173"/>
      <c r="G248" s="167">
        <f t="shared" si="44"/>
        <v>0</v>
      </c>
      <c r="H248" s="168">
        <f t="shared" si="45"/>
        <v>0</v>
      </c>
      <c r="I248" s="656"/>
    </row>
    <row r="249" spans="1:9" x14ac:dyDescent="0.25">
      <c r="A249" s="1160"/>
      <c r="B249" s="112">
        <v>53208010100000</v>
      </c>
      <c r="C249" s="160" t="s">
        <v>93</v>
      </c>
      <c r="D249" s="171"/>
      <c r="E249" s="172"/>
      <c r="F249" s="173"/>
      <c r="G249" s="167">
        <f t="shared" si="44"/>
        <v>0</v>
      </c>
      <c r="H249" s="168">
        <f t="shared" si="45"/>
        <v>0</v>
      </c>
      <c r="I249" s="656"/>
    </row>
    <row r="250" spans="1:9" x14ac:dyDescent="0.25">
      <c r="A250" s="1160"/>
      <c r="B250" s="112">
        <v>53208070100001</v>
      </c>
      <c r="C250" s="160" t="s">
        <v>94</v>
      </c>
      <c r="D250" s="171"/>
      <c r="E250" s="172"/>
      <c r="F250" s="173"/>
      <c r="G250" s="167">
        <f t="shared" si="44"/>
        <v>0</v>
      </c>
      <c r="H250" s="168">
        <f t="shared" si="45"/>
        <v>0</v>
      </c>
      <c r="I250" s="656"/>
    </row>
    <row r="251" spans="1:9" x14ac:dyDescent="0.25">
      <c r="A251" s="1160"/>
      <c r="B251" s="112">
        <v>53208100100001</v>
      </c>
      <c r="C251" s="160" t="s">
        <v>95</v>
      </c>
      <c r="D251" s="171"/>
      <c r="E251" s="172"/>
      <c r="F251" s="173"/>
      <c r="G251" s="167">
        <f t="shared" si="44"/>
        <v>0</v>
      </c>
      <c r="H251" s="168">
        <f t="shared" si="45"/>
        <v>0</v>
      </c>
      <c r="I251" s="656"/>
    </row>
    <row r="252" spans="1:9" x14ac:dyDescent="0.25">
      <c r="A252" s="1160"/>
      <c r="B252" s="112">
        <v>53211030000000</v>
      </c>
      <c r="C252" s="160" t="s">
        <v>96</v>
      </c>
      <c r="D252" s="171"/>
      <c r="E252" s="172"/>
      <c r="F252" s="173"/>
      <c r="G252" s="167">
        <f t="shared" si="44"/>
        <v>0</v>
      </c>
      <c r="H252" s="168">
        <f t="shared" si="45"/>
        <v>0</v>
      </c>
      <c r="I252" s="656"/>
    </row>
    <row r="253" spans="1:9" x14ac:dyDescent="0.25">
      <c r="A253" s="1160"/>
      <c r="B253" s="112">
        <v>53212020100000</v>
      </c>
      <c r="C253" s="160" t="s">
        <v>97</v>
      </c>
      <c r="D253" s="171">
        <v>839962</v>
      </c>
      <c r="E253" s="172"/>
      <c r="F253" s="173"/>
      <c r="G253" s="167">
        <f t="shared" si="44"/>
        <v>0</v>
      </c>
      <c r="H253" s="168">
        <f t="shared" si="45"/>
        <v>839962</v>
      </c>
      <c r="I253" s="656"/>
    </row>
    <row r="254" spans="1:9" x14ac:dyDescent="0.25">
      <c r="A254" s="1160"/>
      <c r="B254" s="112">
        <v>53214020000000</v>
      </c>
      <c r="C254" s="160" t="s">
        <v>98</v>
      </c>
      <c r="D254" s="164"/>
      <c r="E254" s="165"/>
      <c r="F254" s="166"/>
      <c r="G254" s="167">
        <f t="shared" si="44"/>
        <v>0</v>
      </c>
      <c r="H254" s="168">
        <f t="shared" si="45"/>
        <v>0</v>
      </c>
      <c r="I254" s="656"/>
    </row>
    <row r="255" spans="1:9" x14ac:dyDescent="0.25">
      <c r="A255" s="1160"/>
      <c r="B255" s="151"/>
      <c r="C255" s="152" t="s">
        <v>99</v>
      </c>
      <c r="D255" s="174">
        <f>SUM(D256,D261,D264,D275,D285,D293)</f>
        <v>1143730</v>
      </c>
      <c r="E255" s="154"/>
      <c r="F255" s="154"/>
      <c r="G255" s="135">
        <f>SUM(G256,G261,G264,G275,G285,G293)</f>
        <v>340000</v>
      </c>
      <c r="H255" s="136">
        <f>SUM(H256,H261,H264,H275,H285,H293)</f>
        <v>1483730</v>
      </c>
      <c r="I255" s="656"/>
    </row>
    <row r="256" spans="1:9" x14ac:dyDescent="0.25">
      <c r="A256" s="1160"/>
      <c r="B256" s="107"/>
      <c r="C256" s="156" t="s">
        <v>100</v>
      </c>
      <c r="D256" s="157">
        <f>SUM(D257:D260)</f>
        <v>0</v>
      </c>
      <c r="E256" s="169"/>
      <c r="F256" s="169"/>
      <c r="G256" s="170">
        <f>SUM(G257:G260)</f>
        <v>340000</v>
      </c>
      <c r="H256" s="175">
        <f>SUM(H257:H260)</f>
        <v>340000</v>
      </c>
      <c r="I256" s="657"/>
    </row>
    <row r="257" spans="1:9" x14ac:dyDescent="0.25">
      <c r="A257" s="1160"/>
      <c r="B257" s="112">
        <v>53202020100000</v>
      </c>
      <c r="C257" s="160" t="s">
        <v>101</v>
      </c>
      <c r="D257" s="171"/>
      <c r="E257" s="172">
        <v>55000</v>
      </c>
      <c r="F257" s="173">
        <v>4</v>
      </c>
      <c r="G257" s="167">
        <f>E257*F257</f>
        <v>220000</v>
      </c>
      <c r="H257" s="168">
        <f t="shared" ref="H257:H260" si="46">D257+G257</f>
        <v>220000</v>
      </c>
      <c r="I257" s="657"/>
    </row>
    <row r="258" spans="1:9" x14ac:dyDescent="0.25">
      <c r="A258" s="1160"/>
      <c r="B258" s="112">
        <v>53202030000000</v>
      </c>
      <c r="C258" s="160" t="s">
        <v>102</v>
      </c>
      <c r="D258" s="164"/>
      <c r="E258" s="165">
        <v>30000</v>
      </c>
      <c r="F258" s="166">
        <v>4</v>
      </c>
      <c r="G258" s="167">
        <f t="shared" ref="G258:G260" si="47">E258*F258</f>
        <v>120000</v>
      </c>
      <c r="H258" s="168">
        <f t="shared" si="46"/>
        <v>120000</v>
      </c>
      <c r="I258" s="657"/>
    </row>
    <row r="259" spans="1:9" x14ac:dyDescent="0.25">
      <c r="A259" s="1160"/>
      <c r="B259" s="112">
        <v>53211020000000</v>
      </c>
      <c r="C259" s="160" t="s">
        <v>103</v>
      </c>
      <c r="D259" s="171"/>
      <c r="E259" s="172"/>
      <c r="F259" s="173"/>
      <c r="G259" s="167">
        <f t="shared" si="47"/>
        <v>0</v>
      </c>
      <c r="H259" s="168">
        <f t="shared" si="46"/>
        <v>0</v>
      </c>
      <c r="I259" s="657"/>
    </row>
    <row r="260" spans="1:9" x14ac:dyDescent="0.25">
      <c r="A260" s="1160"/>
      <c r="B260" s="112">
        <v>53101004030000</v>
      </c>
      <c r="C260" s="160" t="s">
        <v>104</v>
      </c>
      <c r="D260" s="164"/>
      <c r="E260" s="165"/>
      <c r="F260" s="166"/>
      <c r="G260" s="167">
        <f t="shared" si="47"/>
        <v>0</v>
      </c>
      <c r="H260" s="168">
        <f t="shared" si="46"/>
        <v>0</v>
      </c>
      <c r="I260" s="657"/>
    </row>
    <row r="261" spans="1:9" x14ac:dyDescent="0.25">
      <c r="A261" s="1160"/>
      <c r="B261" s="107"/>
      <c r="C261" s="156" t="s">
        <v>105</v>
      </c>
      <c r="D261" s="157">
        <f>SUM(D262:D263)</f>
        <v>0</v>
      </c>
      <c r="E261" s="169"/>
      <c r="F261" s="169"/>
      <c r="G261" s="170">
        <f>SUM(G262:G263)</f>
        <v>0</v>
      </c>
      <c r="H261" s="175">
        <f>SUM(H262:H263)</f>
        <v>0</v>
      </c>
      <c r="I261" s="657"/>
    </row>
    <row r="262" spans="1:9" x14ac:dyDescent="0.25">
      <c r="A262" s="1160"/>
      <c r="B262" s="112">
        <v>53205080000000</v>
      </c>
      <c r="C262" s="176" t="s">
        <v>106</v>
      </c>
      <c r="D262" s="164"/>
      <c r="E262" s="165"/>
      <c r="F262" s="166"/>
      <c r="G262" s="167">
        <f t="shared" ref="G262:G263" si="48">E262*F262</f>
        <v>0</v>
      </c>
      <c r="H262" s="168">
        <f t="shared" ref="H262:H263" si="49">D262+G262</f>
        <v>0</v>
      </c>
      <c r="I262" s="657"/>
    </row>
    <row r="263" spans="1:9" x14ac:dyDescent="0.25">
      <c r="A263" s="1160"/>
      <c r="B263" s="112">
        <v>53205990000000</v>
      </c>
      <c r="C263" s="160" t="s">
        <v>107</v>
      </c>
      <c r="D263" s="171"/>
      <c r="E263" s="172"/>
      <c r="F263" s="173"/>
      <c r="G263" s="167">
        <f t="shared" si="48"/>
        <v>0</v>
      </c>
      <c r="H263" s="168">
        <f t="shared" si="49"/>
        <v>0</v>
      </c>
      <c r="I263" s="657"/>
    </row>
    <row r="264" spans="1:9" x14ac:dyDescent="0.25">
      <c r="A264" s="1160"/>
      <c r="B264" s="107"/>
      <c r="C264" s="156" t="s">
        <v>108</v>
      </c>
      <c r="D264" s="157">
        <f>SUM(D265:D274)</f>
        <v>1143730</v>
      </c>
      <c r="E264" s="169"/>
      <c r="F264" s="169"/>
      <c r="G264" s="130">
        <f>SUM(G265:G274)</f>
        <v>0</v>
      </c>
      <c r="H264" s="129">
        <f>SUM(H265:H274)</f>
        <v>1143730</v>
      </c>
      <c r="I264" s="657"/>
    </row>
    <row r="265" spans="1:9" x14ac:dyDescent="0.25">
      <c r="A265" s="1160"/>
      <c r="B265" s="112">
        <v>53203010200000</v>
      </c>
      <c r="C265" s="160" t="s">
        <v>109</v>
      </c>
      <c r="D265" s="164"/>
      <c r="E265" s="164"/>
      <c r="F265" s="166"/>
      <c r="G265" s="167">
        <f t="shared" ref="G265:G274" si="50">E265*F265</f>
        <v>0</v>
      </c>
      <c r="H265" s="168">
        <f t="shared" ref="H265:H274" si="51">D265+G265</f>
        <v>0</v>
      </c>
      <c r="I265" s="657"/>
    </row>
    <row r="266" spans="1:9" x14ac:dyDescent="0.25">
      <c r="A266" s="1160"/>
      <c r="B266" s="112">
        <v>53204010000000</v>
      </c>
      <c r="C266" s="160" t="s">
        <v>110</v>
      </c>
      <c r="D266" s="171"/>
      <c r="E266" s="171"/>
      <c r="F266" s="173"/>
      <c r="G266" s="167">
        <f t="shared" si="50"/>
        <v>0</v>
      </c>
      <c r="H266" s="168">
        <f t="shared" si="51"/>
        <v>0</v>
      </c>
      <c r="I266" s="657"/>
    </row>
    <row r="267" spans="1:9" x14ac:dyDescent="0.25">
      <c r="A267" s="1160"/>
      <c r="B267" s="112">
        <v>53204040200000</v>
      </c>
      <c r="C267" s="176" t="s">
        <v>111</v>
      </c>
      <c r="D267" s="171"/>
      <c r="E267" s="171"/>
      <c r="F267" s="173"/>
      <c r="G267" s="167">
        <f t="shared" si="50"/>
        <v>0</v>
      </c>
      <c r="H267" s="168">
        <f t="shared" si="51"/>
        <v>0</v>
      </c>
      <c r="I267" s="657"/>
    </row>
    <row r="268" spans="1:9" x14ac:dyDescent="0.25">
      <c r="A268" s="1160"/>
      <c r="B268" s="112">
        <v>53204060000000</v>
      </c>
      <c r="C268" s="176" t="s">
        <v>112</v>
      </c>
      <c r="D268" s="171"/>
      <c r="E268" s="171"/>
      <c r="F268" s="173"/>
      <c r="G268" s="167">
        <f t="shared" si="50"/>
        <v>0</v>
      </c>
      <c r="H268" s="168">
        <f t="shared" si="51"/>
        <v>0</v>
      </c>
      <c r="I268" s="657"/>
    </row>
    <row r="269" spans="1:9" x14ac:dyDescent="0.25">
      <c r="A269" s="1160"/>
      <c r="B269" s="112">
        <v>53204070000000</v>
      </c>
      <c r="C269" s="160" t="s">
        <v>113</v>
      </c>
      <c r="D269" s="171">
        <v>438900</v>
      </c>
      <c r="E269" s="171"/>
      <c r="F269" s="173"/>
      <c r="G269" s="167">
        <f t="shared" si="50"/>
        <v>0</v>
      </c>
      <c r="H269" s="168">
        <f t="shared" si="51"/>
        <v>438900</v>
      </c>
      <c r="I269" s="658"/>
    </row>
    <row r="270" spans="1:9" x14ac:dyDescent="0.25">
      <c r="A270" s="1160"/>
      <c r="B270" s="112">
        <v>53204080000000</v>
      </c>
      <c r="C270" s="176" t="s">
        <v>114</v>
      </c>
      <c r="D270" s="171"/>
      <c r="E270" s="171"/>
      <c r="F270" s="173"/>
      <c r="G270" s="167">
        <f t="shared" si="50"/>
        <v>0</v>
      </c>
      <c r="H270" s="168">
        <f t="shared" si="51"/>
        <v>0</v>
      </c>
      <c r="I270" s="657"/>
    </row>
    <row r="271" spans="1:9" x14ac:dyDescent="0.25">
      <c r="A271" s="1160"/>
      <c r="B271" s="112">
        <v>53214010000000</v>
      </c>
      <c r="C271" s="176" t="s">
        <v>115</v>
      </c>
      <c r="D271" s="164">
        <v>704830</v>
      </c>
      <c r="E271" s="164"/>
      <c r="F271" s="166"/>
      <c r="G271" s="167">
        <f t="shared" si="50"/>
        <v>0</v>
      </c>
      <c r="H271" s="168">
        <f t="shared" si="51"/>
        <v>704830</v>
      </c>
      <c r="I271" s="657"/>
    </row>
    <row r="272" spans="1:9" x14ac:dyDescent="0.25">
      <c r="A272" s="1160"/>
      <c r="B272" s="112">
        <v>53214040000000</v>
      </c>
      <c r="C272" s="160" t="s">
        <v>116</v>
      </c>
      <c r="D272" s="164"/>
      <c r="E272" s="164"/>
      <c r="F272" s="166"/>
      <c r="G272" s="167">
        <f t="shared" si="50"/>
        <v>0</v>
      </c>
      <c r="H272" s="168">
        <f t="shared" si="51"/>
        <v>0</v>
      </c>
      <c r="I272" s="657"/>
    </row>
    <row r="273" spans="1:9" x14ac:dyDescent="0.25">
      <c r="A273" s="1160"/>
      <c r="B273" s="112">
        <v>55201010100004</v>
      </c>
      <c r="C273" s="160" t="s">
        <v>117</v>
      </c>
      <c r="D273" s="164"/>
      <c r="E273" s="164"/>
      <c r="F273" s="166"/>
      <c r="G273" s="167">
        <f t="shared" si="50"/>
        <v>0</v>
      </c>
      <c r="H273" s="168">
        <f t="shared" si="51"/>
        <v>0</v>
      </c>
      <c r="I273" s="657"/>
    </row>
    <row r="274" spans="1:9" x14ac:dyDescent="0.25">
      <c r="A274" s="1160"/>
      <c r="B274" s="112">
        <v>55201010100005</v>
      </c>
      <c r="C274" s="160" t="s">
        <v>118</v>
      </c>
      <c r="D274" s="164"/>
      <c r="E274" s="164"/>
      <c r="F274" s="166"/>
      <c r="G274" s="167">
        <f t="shared" si="50"/>
        <v>0</v>
      </c>
      <c r="H274" s="168">
        <f t="shared" si="51"/>
        <v>0</v>
      </c>
      <c r="I274" s="657"/>
    </row>
    <row r="275" spans="1:9" x14ac:dyDescent="0.25">
      <c r="A275" s="1160"/>
      <c r="B275" s="107"/>
      <c r="C275" s="156" t="s">
        <v>119</v>
      </c>
      <c r="D275" s="157">
        <f>SUM(D276:D284)</f>
        <v>0</v>
      </c>
      <c r="E275" s="169"/>
      <c r="F275" s="169"/>
      <c r="G275" s="130">
        <f>SUM(G276:G284)</f>
        <v>0</v>
      </c>
      <c r="H275" s="129">
        <f>SUM(H276:H284)</f>
        <v>0</v>
      </c>
      <c r="I275" s="657"/>
    </row>
    <row r="276" spans="1:9" x14ac:dyDescent="0.25">
      <c r="A276" s="1160"/>
      <c r="B276" s="112">
        <v>53207010000000</v>
      </c>
      <c r="C276" s="160" t="s">
        <v>120</v>
      </c>
      <c r="D276" s="171"/>
      <c r="E276" s="171"/>
      <c r="F276" s="173"/>
      <c r="G276" s="167">
        <f t="shared" ref="G276:G284" si="52">E276*F276</f>
        <v>0</v>
      </c>
      <c r="H276" s="168">
        <f t="shared" ref="H276:H284" si="53">D276+G276</f>
        <v>0</v>
      </c>
      <c r="I276" s="657"/>
    </row>
    <row r="277" spans="1:9" x14ac:dyDescent="0.25">
      <c r="A277" s="1160"/>
      <c r="B277" s="112">
        <v>53207020000000</v>
      </c>
      <c r="C277" s="160" t="s">
        <v>121</v>
      </c>
      <c r="D277" s="171"/>
      <c r="E277" s="171"/>
      <c r="F277" s="173"/>
      <c r="G277" s="167">
        <f t="shared" si="52"/>
        <v>0</v>
      </c>
      <c r="H277" s="168">
        <f t="shared" si="53"/>
        <v>0</v>
      </c>
      <c r="I277" s="657"/>
    </row>
    <row r="278" spans="1:9" x14ac:dyDescent="0.25">
      <c r="A278" s="1160"/>
      <c r="B278" s="112">
        <v>53208020000000</v>
      </c>
      <c r="C278" s="160" t="s">
        <v>122</v>
      </c>
      <c r="D278" s="171"/>
      <c r="E278" s="171"/>
      <c r="F278" s="173"/>
      <c r="G278" s="167">
        <f t="shared" si="52"/>
        <v>0</v>
      </c>
      <c r="H278" s="168">
        <f t="shared" si="53"/>
        <v>0</v>
      </c>
      <c r="I278" s="657"/>
    </row>
    <row r="279" spans="1:9" x14ac:dyDescent="0.25">
      <c r="A279" s="1160"/>
      <c r="B279" s="112">
        <v>53208990000000</v>
      </c>
      <c r="C279" s="160" t="s">
        <v>123</v>
      </c>
      <c r="D279" s="171"/>
      <c r="E279" s="171"/>
      <c r="F279" s="173"/>
      <c r="G279" s="167">
        <f t="shared" si="52"/>
        <v>0</v>
      </c>
      <c r="H279" s="168">
        <f t="shared" si="53"/>
        <v>0</v>
      </c>
      <c r="I279" s="657"/>
    </row>
    <row r="280" spans="1:9" x14ac:dyDescent="0.25">
      <c r="A280" s="1160"/>
      <c r="B280" s="112">
        <v>53209010000000</v>
      </c>
      <c r="C280" s="160" t="s">
        <v>124</v>
      </c>
      <c r="D280" s="171"/>
      <c r="E280" s="171"/>
      <c r="F280" s="173"/>
      <c r="G280" s="167">
        <f t="shared" si="52"/>
        <v>0</v>
      </c>
      <c r="H280" s="168">
        <f t="shared" si="53"/>
        <v>0</v>
      </c>
      <c r="I280" s="657"/>
    </row>
    <row r="281" spans="1:9" x14ac:dyDescent="0.25">
      <c r="A281" s="1160"/>
      <c r="B281" s="112">
        <v>53209040000000</v>
      </c>
      <c r="C281" s="160" t="s">
        <v>125</v>
      </c>
      <c r="D281" s="171"/>
      <c r="E281" s="171"/>
      <c r="F281" s="173"/>
      <c r="G281" s="167">
        <f t="shared" si="52"/>
        <v>0</v>
      </c>
      <c r="H281" s="168">
        <f t="shared" si="53"/>
        <v>0</v>
      </c>
      <c r="I281" s="657"/>
    </row>
    <row r="282" spans="1:9" x14ac:dyDescent="0.25">
      <c r="A282" s="1160"/>
      <c r="B282" s="112">
        <v>53209050000000</v>
      </c>
      <c r="C282" s="160" t="s">
        <v>126</v>
      </c>
      <c r="D282" s="171"/>
      <c r="E282" s="171"/>
      <c r="F282" s="173"/>
      <c r="G282" s="167">
        <f t="shared" si="52"/>
        <v>0</v>
      </c>
      <c r="H282" s="168">
        <f t="shared" si="53"/>
        <v>0</v>
      </c>
      <c r="I282" s="657"/>
    </row>
    <row r="283" spans="1:9" x14ac:dyDescent="0.25">
      <c r="A283" s="1160"/>
      <c r="B283" s="112">
        <v>53209990000000</v>
      </c>
      <c r="C283" s="160" t="s">
        <v>127</v>
      </c>
      <c r="D283" s="171"/>
      <c r="E283" s="171"/>
      <c r="F283" s="173"/>
      <c r="G283" s="167">
        <f t="shared" si="52"/>
        <v>0</v>
      </c>
      <c r="H283" s="168">
        <f t="shared" si="53"/>
        <v>0</v>
      </c>
      <c r="I283" s="657"/>
    </row>
    <row r="284" spans="1:9" x14ac:dyDescent="0.25">
      <c r="A284" s="1160"/>
      <c r="B284" s="112">
        <v>53210020100000</v>
      </c>
      <c r="C284" s="160" t="s">
        <v>128</v>
      </c>
      <c r="D284" s="171"/>
      <c r="E284" s="171"/>
      <c r="F284" s="173"/>
      <c r="G284" s="167">
        <f t="shared" si="52"/>
        <v>0</v>
      </c>
      <c r="H284" s="168">
        <f t="shared" si="53"/>
        <v>0</v>
      </c>
      <c r="I284" s="657"/>
    </row>
    <row r="285" spans="1:9" x14ac:dyDescent="0.25">
      <c r="A285" s="1160"/>
      <c r="B285" s="107"/>
      <c r="C285" s="156" t="s">
        <v>129</v>
      </c>
      <c r="D285" s="157">
        <f>SUM(D286:D292)</f>
        <v>0</v>
      </c>
      <c r="E285" s="169"/>
      <c r="F285" s="169"/>
      <c r="G285" s="130">
        <f>SUM(G286:G292)</f>
        <v>0</v>
      </c>
      <c r="H285" s="129">
        <f>SUM(H286:H292)</f>
        <v>0</v>
      </c>
      <c r="I285" s="657"/>
    </row>
    <row r="286" spans="1:9" x14ac:dyDescent="0.25">
      <c r="A286" s="1160"/>
      <c r="B286" s="112">
        <v>53206030000000</v>
      </c>
      <c r="C286" s="160" t="s">
        <v>130</v>
      </c>
      <c r="D286" s="171"/>
      <c r="E286" s="171"/>
      <c r="F286" s="173"/>
      <c r="G286" s="167">
        <f t="shared" ref="G286:G292" si="54">E286*F286</f>
        <v>0</v>
      </c>
      <c r="H286" s="168">
        <f t="shared" ref="H286:H292" si="55">D286+G286</f>
        <v>0</v>
      </c>
      <c r="I286" s="657"/>
    </row>
    <row r="287" spans="1:9" x14ac:dyDescent="0.25">
      <c r="A287" s="1160"/>
      <c r="B287" s="112">
        <v>53206040000000</v>
      </c>
      <c r="C287" s="160" t="s">
        <v>131</v>
      </c>
      <c r="D287" s="171"/>
      <c r="E287" s="171"/>
      <c r="F287" s="173"/>
      <c r="G287" s="167">
        <f t="shared" si="54"/>
        <v>0</v>
      </c>
      <c r="H287" s="168">
        <f t="shared" si="55"/>
        <v>0</v>
      </c>
      <c r="I287" s="657"/>
    </row>
    <row r="288" spans="1:9" x14ac:dyDescent="0.25">
      <c r="A288" s="1160"/>
      <c r="B288" s="112">
        <v>53206060000000</v>
      </c>
      <c r="C288" s="160" t="s">
        <v>132</v>
      </c>
      <c r="D288" s="171"/>
      <c r="E288" s="171"/>
      <c r="F288" s="173"/>
      <c r="G288" s="167">
        <f t="shared" si="54"/>
        <v>0</v>
      </c>
      <c r="H288" s="168">
        <f t="shared" si="55"/>
        <v>0</v>
      </c>
      <c r="I288" s="658"/>
    </row>
    <row r="289" spans="1:9" x14ac:dyDescent="0.25">
      <c r="A289" s="1160"/>
      <c r="B289" s="112">
        <v>53206070000000</v>
      </c>
      <c r="C289" s="160" t="s">
        <v>133</v>
      </c>
      <c r="D289" s="171"/>
      <c r="E289" s="171"/>
      <c r="F289" s="173"/>
      <c r="G289" s="167">
        <f t="shared" si="54"/>
        <v>0</v>
      </c>
      <c r="H289" s="168">
        <f t="shared" si="55"/>
        <v>0</v>
      </c>
      <c r="I289" s="657"/>
    </row>
    <row r="290" spans="1:9" x14ac:dyDescent="0.25">
      <c r="A290" s="1160"/>
      <c r="B290" s="112">
        <v>53206990000000</v>
      </c>
      <c r="C290" s="160" t="s">
        <v>134</v>
      </c>
      <c r="D290" s="171"/>
      <c r="E290" s="171"/>
      <c r="F290" s="173"/>
      <c r="G290" s="167">
        <f t="shared" si="54"/>
        <v>0</v>
      </c>
      <c r="H290" s="168">
        <f t="shared" si="55"/>
        <v>0</v>
      </c>
      <c r="I290" s="657"/>
    </row>
    <row r="291" spans="1:9" x14ac:dyDescent="0.25">
      <c r="A291" s="1160"/>
      <c r="B291" s="112">
        <v>53208030000000</v>
      </c>
      <c r="C291" s="160" t="s">
        <v>135</v>
      </c>
      <c r="D291" s="171"/>
      <c r="E291" s="171"/>
      <c r="F291" s="173"/>
      <c r="G291" s="167">
        <f t="shared" si="54"/>
        <v>0</v>
      </c>
      <c r="H291" s="168">
        <f t="shared" si="55"/>
        <v>0</v>
      </c>
      <c r="I291" s="657"/>
    </row>
    <row r="292" spans="1:9" x14ac:dyDescent="0.25">
      <c r="A292" s="1160"/>
      <c r="B292" s="112">
        <v>53212060000000</v>
      </c>
      <c r="C292" s="160" t="s">
        <v>136</v>
      </c>
      <c r="D292" s="164"/>
      <c r="E292" s="164"/>
      <c r="F292" s="166"/>
      <c r="G292" s="167">
        <f t="shared" si="54"/>
        <v>0</v>
      </c>
      <c r="H292" s="168">
        <f t="shared" si="55"/>
        <v>0</v>
      </c>
      <c r="I292" s="657"/>
    </row>
    <row r="293" spans="1:9" x14ac:dyDescent="0.25">
      <c r="A293" s="1160"/>
      <c r="B293" s="107"/>
      <c r="C293" s="156" t="s">
        <v>137</v>
      </c>
      <c r="D293" s="157">
        <f>SUM(D294:D295)</f>
        <v>0</v>
      </c>
      <c r="E293" s="169"/>
      <c r="F293" s="169"/>
      <c r="G293" s="130">
        <f>SUM(G294:G295)</f>
        <v>0</v>
      </c>
      <c r="H293" s="129">
        <f>SUM(H294:H295)</f>
        <v>0</v>
      </c>
      <c r="I293" s="657"/>
    </row>
    <row r="294" spans="1:9" x14ac:dyDescent="0.25">
      <c r="A294" s="1160"/>
      <c r="B294" s="112">
        <v>53210020500000</v>
      </c>
      <c r="C294" s="160" t="s">
        <v>138</v>
      </c>
      <c r="D294" s="164"/>
      <c r="E294" s="164"/>
      <c r="F294" s="166"/>
      <c r="G294" s="167">
        <f t="shared" ref="G294:G295" si="56">E294*F294</f>
        <v>0</v>
      </c>
      <c r="H294" s="178">
        <f t="shared" ref="H294:H295" si="57">D294+G294</f>
        <v>0</v>
      </c>
      <c r="I294" s="657"/>
    </row>
    <row r="295" spans="1:9" x14ac:dyDescent="0.25">
      <c r="A295" s="1160"/>
      <c r="B295" s="140">
        <v>53204999000000</v>
      </c>
      <c r="C295" s="179" t="s">
        <v>139</v>
      </c>
      <c r="D295" s="171"/>
      <c r="E295" s="171"/>
      <c r="F295" s="173"/>
      <c r="G295" s="180">
        <f t="shared" si="56"/>
        <v>0</v>
      </c>
      <c r="H295" s="178">
        <f t="shared" si="57"/>
        <v>0</v>
      </c>
      <c r="I295" s="657"/>
    </row>
    <row r="296" spans="1:9" x14ac:dyDescent="0.25">
      <c r="A296" s="1161"/>
      <c r="B296" s="143"/>
      <c r="C296" s="144" t="s">
        <v>12</v>
      </c>
      <c r="D296" s="145">
        <f>SUM(D227,D255)</f>
        <v>19663784.475000001</v>
      </c>
      <c r="E296" s="146"/>
      <c r="F296" s="146"/>
      <c r="G296" s="145">
        <f>SUM(G227,G255)</f>
        <v>1388320</v>
      </c>
      <c r="H296" s="147">
        <f>SUM(H227,H255)</f>
        <v>21052104.475000001</v>
      </c>
      <c r="I296" s="657"/>
    </row>
  </sheetData>
  <mergeCells count="34">
    <mergeCell ref="H9:H10"/>
    <mergeCell ref="I9:I10"/>
    <mergeCell ref="A11:A80"/>
    <mergeCell ref="D4:E4"/>
    <mergeCell ref="A7:C7"/>
    <mergeCell ref="A9:A10"/>
    <mergeCell ref="B9:B10"/>
    <mergeCell ref="C9:C10"/>
    <mergeCell ref="D9:D10"/>
    <mergeCell ref="E9:G9"/>
    <mergeCell ref="H81:H82"/>
    <mergeCell ref="I81:I82"/>
    <mergeCell ref="A83:A152"/>
    <mergeCell ref="A153:A154"/>
    <mergeCell ref="B153:B154"/>
    <mergeCell ref="C153:C154"/>
    <mergeCell ref="D153:D154"/>
    <mergeCell ref="E153:G153"/>
    <mergeCell ref="H153:H154"/>
    <mergeCell ref="I153:I154"/>
    <mergeCell ref="E81:G81"/>
    <mergeCell ref="A81:A82"/>
    <mergeCell ref="B81:B82"/>
    <mergeCell ref="C81:C82"/>
    <mergeCell ref="D81:D82"/>
    <mergeCell ref="H225:H226"/>
    <mergeCell ref="I225:I226"/>
    <mergeCell ref="A227:A296"/>
    <mergeCell ref="E225:G225"/>
    <mergeCell ref="A155:A224"/>
    <mergeCell ref="A225:A226"/>
    <mergeCell ref="B225:B226"/>
    <mergeCell ref="C225:C226"/>
    <mergeCell ref="D225:D226"/>
  </mergeCells>
  <hyperlinks>
    <hyperlink ref="A7:C7" location="'Índice Tablas'!A1" display="TABLA 6: COSTOS DIRECTOS DE CENTROS DE BENEFICIOS" xr:uid="{00000000-0004-0000-0500-000000000000}"/>
  </hyperlinks>
  <pageMargins left="0.7" right="0.7" top="0.75" bottom="0.75" header="0.3" footer="0.3"/>
  <pageSetup orientation="portrait" r:id="rId1"/>
  <ignoredErrors>
    <ignoredError sqref="G17:H17 G19:H19 G45:H45 G48:H48 G59:H59 G69:H69 G77:H77 G89:H89 G91:H91 G117:H117 G120:H120 G131:H131 G141:H141 G149:H149 G161:H161 G163:H163 G189:H189 G192:H192 G203:H203 G213:H213 G221:H221 G233:H233 G235 G261:H261 G264:H264 G275:H275 G285:H285 G293:H293"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249977111117893"/>
  </sheetPr>
  <dimension ref="A1:IH101"/>
  <sheetViews>
    <sheetView showGridLines="0" tabSelected="1" topLeftCell="E8" zoomScale="80" zoomScaleNormal="80" workbookViewId="0">
      <selection activeCell="V12" sqref="V12"/>
    </sheetView>
  </sheetViews>
  <sheetFormatPr baseColWidth="10" defaultColWidth="11.42578125" defaultRowHeight="12.75" x14ac:dyDescent="0.2"/>
  <cols>
    <col min="1" max="1" width="11.5703125" style="738" customWidth="1"/>
    <col min="2" max="2" width="28" style="738" customWidth="1"/>
    <col min="3" max="3" width="28.7109375" style="738" customWidth="1"/>
    <col min="4" max="4" width="24.140625" style="738" customWidth="1"/>
    <col min="5" max="5" width="25.140625" style="738" customWidth="1"/>
    <col min="6" max="6" width="22.140625" style="738" customWidth="1"/>
    <col min="7" max="7" width="14.85546875" style="738" customWidth="1"/>
    <col min="8" max="8" width="15" style="738" customWidth="1"/>
    <col min="9" max="9" width="15.140625" style="738" customWidth="1"/>
    <col min="10" max="10" width="17.42578125" style="738" customWidth="1"/>
    <col min="11" max="11" width="19.140625" style="738" customWidth="1"/>
    <col min="12" max="12" width="4.85546875" style="738" customWidth="1"/>
    <col min="13" max="13" width="19.140625" style="738" customWidth="1"/>
    <col min="14" max="14" width="16.140625" style="738" customWidth="1"/>
    <col min="15" max="15" width="17.140625" style="738" customWidth="1"/>
    <col min="16" max="16" width="14.85546875" style="738" customWidth="1"/>
    <col min="17" max="17" width="17.7109375" style="738" customWidth="1"/>
    <col min="18" max="18" width="17.140625" style="738" customWidth="1"/>
    <col min="19" max="19" width="17.42578125" style="738" customWidth="1"/>
    <col min="20" max="20" width="5" style="738" customWidth="1"/>
    <col min="21" max="21" width="19.85546875" style="738" bestFit="1" customWidth="1"/>
    <col min="22" max="22" width="52.140625" style="738" bestFit="1" customWidth="1"/>
    <col min="23" max="23" width="18.28515625" style="738" customWidth="1"/>
    <col min="24" max="24" width="5.7109375" style="738" customWidth="1"/>
    <col min="25" max="25" width="11.42578125" style="738"/>
    <col min="26" max="31" width="14.28515625" style="738" customWidth="1"/>
    <col min="32" max="32" width="11.28515625" style="738" customWidth="1"/>
    <col min="33" max="38" width="14.28515625" style="738" customWidth="1"/>
    <col min="39" max="39" width="11.42578125" style="738"/>
    <col min="40" max="45" width="14.28515625" style="738" customWidth="1"/>
    <col min="46" max="16384" width="11.42578125" style="738"/>
  </cols>
  <sheetData>
    <row r="1" spans="1:242" s="728" customFormat="1" x14ac:dyDescent="0.25">
      <c r="E1" s="729" t="s">
        <v>327</v>
      </c>
      <c r="F1" s="729"/>
      <c r="G1" s="729"/>
      <c r="H1" s="729"/>
      <c r="I1" s="729"/>
      <c r="IG1" s="730"/>
      <c r="IH1" s="730"/>
    </row>
    <row r="2" spans="1:242" s="728" customFormat="1" x14ac:dyDescent="0.25">
      <c r="E2" s="729" t="s">
        <v>328</v>
      </c>
      <c r="F2" s="729"/>
      <c r="G2" s="729"/>
      <c r="H2" s="729"/>
      <c r="I2" s="729"/>
      <c r="IG2" s="730"/>
      <c r="IH2" s="730"/>
    </row>
    <row r="3" spans="1:242" s="728" customFormat="1" x14ac:dyDescent="0.25">
      <c r="B3" s="731"/>
      <c r="HX3" s="730"/>
      <c r="HY3" s="730"/>
      <c r="HZ3" s="730"/>
      <c r="IA3" s="730"/>
      <c r="IB3" s="730"/>
      <c r="IC3" s="730"/>
    </row>
    <row r="4" spans="1:242" s="728" customFormat="1" ht="18.75" customHeight="1" x14ac:dyDescent="0.25">
      <c r="B4" s="731"/>
      <c r="D4" s="732" t="s">
        <v>1</v>
      </c>
      <c r="E4" s="733" t="str">
        <f>+'[1]B) Reajuste Tarifas y Ocupación'!F5</f>
        <v>(DEPTO./DELEG.)</v>
      </c>
      <c r="F4" s="734"/>
      <c r="G4" s="735"/>
      <c r="H4" s="735"/>
      <c r="I4" s="735"/>
      <c r="J4" s="735"/>
      <c r="O4" s="736"/>
      <c r="HX4" s="730"/>
      <c r="HY4" s="730"/>
      <c r="HZ4" s="730"/>
      <c r="IA4" s="730"/>
      <c r="IB4" s="730"/>
      <c r="IC4" s="730"/>
    </row>
    <row r="5" spans="1:242" s="728" customFormat="1" ht="15" x14ac:dyDescent="0.25">
      <c r="B5" s="731"/>
      <c r="D5" s="737"/>
      <c r="E5" s="729"/>
      <c r="F5" s="729"/>
      <c r="G5" s="729"/>
      <c r="H5" s="729"/>
      <c r="I5" s="729"/>
      <c r="J5" s="729"/>
      <c r="O5" s="736"/>
      <c r="HX5" s="730"/>
      <c r="HY5" s="730"/>
      <c r="HZ5" s="730"/>
      <c r="IA5" s="730"/>
      <c r="IB5" s="730"/>
      <c r="IC5" s="730"/>
    </row>
    <row r="6" spans="1:242" s="728" customFormat="1" ht="15.75" thickBot="1" x14ac:dyDescent="0.3">
      <c r="B6" s="731"/>
      <c r="D6" s="737"/>
      <c r="E6" s="729"/>
      <c r="F6" s="729"/>
      <c r="G6" s="729"/>
      <c r="H6" s="729"/>
      <c r="I6" s="729"/>
      <c r="J6" s="729"/>
      <c r="O6" s="736"/>
      <c r="HX6" s="730"/>
      <c r="HY6" s="730"/>
      <c r="HZ6" s="730"/>
      <c r="IA6" s="730"/>
      <c r="IB6" s="730"/>
      <c r="IC6" s="730"/>
    </row>
    <row r="7" spans="1:242" x14ac:dyDescent="0.2">
      <c r="B7" s="739"/>
      <c r="C7" s="739"/>
      <c r="D7" s="739"/>
      <c r="E7" s="739"/>
      <c r="F7" s="739"/>
      <c r="G7" s="739"/>
      <c r="H7" s="739"/>
      <c r="I7" s="739"/>
      <c r="J7" s="740"/>
      <c r="K7" s="740"/>
      <c r="L7" s="740"/>
      <c r="M7" s="740"/>
      <c r="N7" s="740"/>
      <c r="O7" s="740"/>
      <c r="P7" s="740"/>
      <c r="Q7" s="740"/>
      <c r="R7" s="740"/>
      <c r="Y7" s="741"/>
      <c r="Z7" s="742"/>
      <c r="AA7" s="742"/>
      <c r="AB7" s="742"/>
      <c r="AC7" s="742"/>
      <c r="AD7" s="742"/>
      <c r="AE7" s="742"/>
      <c r="AF7" s="742"/>
      <c r="AG7" s="742"/>
      <c r="AH7" s="742"/>
      <c r="AI7" s="742"/>
      <c r="AJ7" s="742"/>
      <c r="AK7" s="742"/>
      <c r="AL7" s="742"/>
      <c r="AM7" s="742"/>
      <c r="AN7" s="742"/>
      <c r="AO7" s="742"/>
      <c r="AP7" s="742"/>
      <c r="AQ7" s="742"/>
      <c r="AR7" s="742"/>
      <c r="AS7" s="742"/>
      <c r="AT7" s="743"/>
    </row>
    <row r="8" spans="1:242" x14ac:dyDescent="0.2">
      <c r="B8" s="739"/>
      <c r="C8" s="739"/>
      <c r="D8" s="739"/>
      <c r="E8" s="739"/>
      <c r="F8" s="739"/>
      <c r="G8" s="739"/>
      <c r="H8" s="739"/>
      <c r="I8" s="739"/>
      <c r="J8" s="740"/>
      <c r="K8" s="740"/>
      <c r="L8" s="740"/>
      <c r="M8" s="740"/>
      <c r="N8" s="740"/>
      <c r="O8" s="740"/>
      <c r="P8" s="740"/>
      <c r="Q8" s="740"/>
      <c r="R8" s="740"/>
      <c r="Y8" s="744"/>
      <c r="AT8" s="745"/>
    </row>
    <row r="9" spans="1:242" ht="15.75" customHeight="1" x14ac:dyDescent="0.2">
      <c r="A9" s="1246" t="s">
        <v>329</v>
      </c>
      <c r="B9" s="1246"/>
      <c r="C9" s="1246"/>
      <c r="D9" s="1246"/>
      <c r="E9" s="1246"/>
      <c r="F9" s="1246"/>
      <c r="G9" s="1246"/>
      <c r="H9" s="1246"/>
      <c r="I9" s="746"/>
      <c r="J9" s="746"/>
      <c r="K9" s="746"/>
      <c r="L9" s="746"/>
      <c r="M9" s="1245" t="s">
        <v>330</v>
      </c>
      <c r="N9" s="1245"/>
      <c r="O9" s="1245"/>
      <c r="P9" s="1245"/>
      <c r="Q9" s="1245"/>
      <c r="R9" s="1245"/>
      <c r="S9" s="1245"/>
      <c r="U9" s="1245" t="s">
        <v>331</v>
      </c>
      <c r="V9" s="1245"/>
      <c r="W9" s="1245"/>
      <c r="X9" s="747"/>
      <c r="Y9" s="748"/>
      <c r="Z9" s="1245" t="s">
        <v>332</v>
      </c>
      <c r="AA9" s="1245"/>
      <c r="AB9" s="1245"/>
      <c r="AC9" s="1245"/>
      <c r="AD9" s="1245"/>
      <c r="AE9" s="1245"/>
      <c r="AF9" s="747"/>
      <c r="AG9" s="1245" t="s">
        <v>333</v>
      </c>
      <c r="AH9" s="1245"/>
      <c r="AI9" s="1245"/>
      <c r="AJ9" s="1245"/>
      <c r="AK9" s="1245"/>
      <c r="AL9" s="1245"/>
      <c r="AN9" s="1245" t="s">
        <v>145</v>
      </c>
      <c r="AO9" s="1245"/>
      <c r="AP9" s="1245"/>
      <c r="AQ9" s="1245"/>
      <c r="AR9" s="1245"/>
      <c r="AS9" s="1245"/>
      <c r="AT9" s="745"/>
    </row>
    <row r="10" spans="1:242" ht="13.5" customHeight="1" x14ac:dyDescent="0.2">
      <c r="B10" s="731"/>
      <c r="C10" s="737"/>
      <c r="D10" s="737"/>
      <c r="E10" s="729"/>
      <c r="F10" s="729"/>
      <c r="G10" s="729"/>
      <c r="H10" s="729"/>
      <c r="I10" s="729"/>
      <c r="J10" s="729"/>
      <c r="M10" s="1245"/>
      <c r="N10" s="1245"/>
      <c r="O10" s="1245"/>
      <c r="P10" s="1245"/>
      <c r="Q10" s="1245"/>
      <c r="R10" s="1245"/>
      <c r="S10" s="1245"/>
      <c r="U10" s="1245"/>
      <c r="V10" s="1245"/>
      <c r="W10" s="1245"/>
      <c r="Y10" s="744"/>
      <c r="Z10" s="1245"/>
      <c r="AA10" s="1245"/>
      <c r="AB10" s="1245"/>
      <c r="AC10" s="1245"/>
      <c r="AD10" s="1245"/>
      <c r="AE10" s="1245"/>
      <c r="AG10" s="1245"/>
      <c r="AH10" s="1245"/>
      <c r="AI10" s="1245"/>
      <c r="AJ10" s="1245"/>
      <c r="AK10" s="1245"/>
      <c r="AL10" s="1245"/>
      <c r="AN10" s="1245"/>
      <c r="AO10" s="1245"/>
      <c r="AP10" s="1245"/>
      <c r="AQ10" s="1245"/>
      <c r="AR10" s="1245"/>
      <c r="AS10" s="1245"/>
      <c r="AT10" s="745"/>
    </row>
    <row r="11" spans="1:242" x14ac:dyDescent="0.2">
      <c r="J11" s="749" t="s">
        <v>41</v>
      </c>
      <c r="K11" s="750">
        <v>4.4999999999999998E-2</v>
      </c>
      <c r="Y11" s="744"/>
      <c r="AT11" s="745"/>
    </row>
    <row r="12" spans="1:242" ht="12.75" customHeight="1" thickBot="1" x14ac:dyDescent="0.25">
      <c r="M12" s="1222"/>
      <c r="N12" s="1222"/>
      <c r="O12" s="1222"/>
      <c r="P12" s="1222"/>
      <c r="Q12" s="1222"/>
      <c r="R12" s="1222"/>
      <c r="Y12" s="744"/>
      <c r="AT12" s="745"/>
    </row>
    <row r="13" spans="1:242" ht="21.75" customHeight="1" x14ac:dyDescent="0.2">
      <c r="A13" s="1223" t="s">
        <v>146</v>
      </c>
      <c r="B13" s="1224"/>
      <c r="C13" s="1227" t="s">
        <v>147</v>
      </c>
      <c r="D13" s="1227" t="s">
        <v>148</v>
      </c>
      <c r="E13" s="1229" t="s">
        <v>149</v>
      </c>
      <c r="F13" s="1229" t="s">
        <v>22</v>
      </c>
      <c r="G13" s="1231" t="s">
        <v>350</v>
      </c>
      <c r="H13" s="1232"/>
      <c r="I13" s="1232"/>
      <c r="J13" s="1233"/>
      <c r="K13" s="1234" t="s">
        <v>357</v>
      </c>
      <c r="L13" s="740"/>
      <c r="M13" s="1208" t="s">
        <v>150</v>
      </c>
      <c r="N13" s="1236"/>
      <c r="O13" s="1210" t="s">
        <v>151</v>
      </c>
      <c r="P13" s="1211"/>
      <c r="Q13" s="1237" t="s">
        <v>152</v>
      </c>
      <c r="R13" s="1237"/>
      <c r="S13" s="1238" t="s">
        <v>153</v>
      </c>
      <c r="U13" s="1240" t="s">
        <v>63</v>
      </c>
      <c r="V13" s="1242" t="s">
        <v>64</v>
      </c>
      <c r="W13" s="1244" t="s">
        <v>351</v>
      </c>
      <c r="Y13" s="744"/>
      <c r="Z13" s="1220" t="s">
        <v>150</v>
      </c>
      <c r="AA13" s="1221"/>
      <c r="AB13" s="1204" t="s">
        <v>151</v>
      </c>
      <c r="AC13" s="1205"/>
      <c r="AD13" s="1206" t="s">
        <v>152</v>
      </c>
      <c r="AE13" s="1207"/>
      <c r="AG13" s="1208" t="s">
        <v>150</v>
      </c>
      <c r="AH13" s="1209"/>
      <c r="AI13" s="1210" t="s">
        <v>151</v>
      </c>
      <c r="AJ13" s="1211"/>
      <c r="AK13" s="1212" t="s">
        <v>152</v>
      </c>
      <c r="AL13" s="1213"/>
      <c r="AN13" s="1208" t="s">
        <v>150</v>
      </c>
      <c r="AO13" s="1209"/>
      <c r="AP13" s="1210" t="s">
        <v>151</v>
      </c>
      <c r="AQ13" s="1211"/>
      <c r="AR13" s="1212" t="s">
        <v>152</v>
      </c>
      <c r="AS13" s="1213"/>
      <c r="AT13" s="745"/>
    </row>
    <row r="14" spans="1:242" ht="39" thickBot="1" x14ac:dyDescent="0.25">
      <c r="A14" s="1225"/>
      <c r="B14" s="1226"/>
      <c r="C14" s="1228"/>
      <c r="D14" s="1228"/>
      <c r="E14" s="1230"/>
      <c r="F14" s="1230"/>
      <c r="G14" s="751" t="s">
        <v>334</v>
      </c>
      <c r="H14" s="752" t="s">
        <v>154</v>
      </c>
      <c r="I14" s="751" t="s">
        <v>155</v>
      </c>
      <c r="J14" s="753" t="s">
        <v>356</v>
      </c>
      <c r="K14" s="1235"/>
      <c r="L14" s="740"/>
      <c r="M14" s="754" t="s">
        <v>156</v>
      </c>
      <c r="N14" s="755" t="s">
        <v>157</v>
      </c>
      <c r="O14" s="756" t="s">
        <v>156</v>
      </c>
      <c r="P14" s="757" t="s">
        <v>157</v>
      </c>
      <c r="Q14" s="758" t="s">
        <v>156</v>
      </c>
      <c r="R14" s="759" t="s">
        <v>157</v>
      </c>
      <c r="S14" s="1239"/>
      <c r="U14" s="1241"/>
      <c r="V14" s="1243"/>
      <c r="W14" s="1244"/>
      <c r="Y14" s="744"/>
      <c r="Z14" s="754" t="s">
        <v>156</v>
      </c>
      <c r="AA14" s="755" t="s">
        <v>157</v>
      </c>
      <c r="AB14" s="756" t="s">
        <v>156</v>
      </c>
      <c r="AC14" s="757" t="s">
        <v>157</v>
      </c>
      <c r="AD14" s="758" t="s">
        <v>156</v>
      </c>
      <c r="AE14" s="760" t="s">
        <v>157</v>
      </c>
      <c r="AG14" s="761" t="s">
        <v>156</v>
      </c>
      <c r="AH14" s="762" t="s">
        <v>157</v>
      </c>
      <c r="AI14" s="763" t="s">
        <v>156</v>
      </c>
      <c r="AJ14" s="764" t="s">
        <v>157</v>
      </c>
      <c r="AK14" s="765" t="s">
        <v>156</v>
      </c>
      <c r="AL14" s="766" t="s">
        <v>157</v>
      </c>
      <c r="AN14" s="1214" t="s">
        <v>158</v>
      </c>
      <c r="AO14" s="1215"/>
      <c r="AP14" s="1216" t="s">
        <v>158</v>
      </c>
      <c r="AQ14" s="1217"/>
      <c r="AR14" s="1218" t="s">
        <v>159</v>
      </c>
      <c r="AS14" s="1219"/>
      <c r="AT14" s="745"/>
    </row>
    <row r="15" spans="1:242" ht="12.75" customHeight="1" thickBot="1" x14ac:dyDescent="0.25">
      <c r="A15" s="1195" t="s">
        <v>160</v>
      </c>
      <c r="B15" s="1189" t="s">
        <v>161</v>
      </c>
      <c r="C15" s="767" t="s">
        <v>316</v>
      </c>
      <c r="D15" s="768" t="s">
        <v>317</v>
      </c>
      <c r="E15" s="769" t="s">
        <v>318</v>
      </c>
      <c r="F15" s="770" t="s">
        <v>298</v>
      </c>
      <c r="G15" s="771">
        <f>2730392*12</f>
        <v>32764704</v>
      </c>
      <c r="H15" s="772">
        <f>(54601+104200)</f>
        <v>158801</v>
      </c>
      <c r="I15" s="773">
        <f>88166*2</f>
        <v>176332</v>
      </c>
      <c r="J15" s="774">
        <f>SUM(G15:I15)</f>
        <v>33099837</v>
      </c>
      <c r="K15" s="775">
        <f t="shared" ref="K15:K69" si="0">+J15*(1+$K$11)</f>
        <v>34589329.664999999</v>
      </c>
      <c r="L15" s="740"/>
      <c r="M15" s="776">
        <v>0.6</v>
      </c>
      <c r="N15" s="777">
        <f t="shared" ref="N15:N61" si="1">+$K15*M15</f>
        <v>20753597.798999999</v>
      </c>
      <c r="O15" s="776">
        <v>0.3</v>
      </c>
      <c r="P15" s="778">
        <f t="shared" ref="P15:P61" si="2">+$K15*O15</f>
        <v>10376798.899499999</v>
      </c>
      <c r="Q15" s="779">
        <v>0.1</v>
      </c>
      <c r="R15" s="777">
        <f t="shared" ref="R15:R61" si="3">+$K15*Q15</f>
        <v>3458932.9665000001</v>
      </c>
      <c r="S15" s="780">
        <f>+M15+O15+Q15</f>
        <v>0.99999999999999989</v>
      </c>
      <c r="U15" s="781"/>
      <c r="V15" s="782" t="s">
        <v>71</v>
      </c>
      <c r="W15" s="783">
        <f>SUM(W16,W20)</f>
        <v>1500000</v>
      </c>
      <c r="Y15" s="744"/>
      <c r="Z15" s="784">
        <f>+M62</f>
        <v>0.50908454105098067</v>
      </c>
      <c r="AA15" s="785">
        <f t="shared" ref="AA15:AE15" si="4">+N62</f>
        <v>32284855.118999999</v>
      </c>
      <c r="AB15" s="784">
        <f t="shared" si="4"/>
        <v>0.34545772947450964</v>
      </c>
      <c r="AC15" s="786">
        <f t="shared" si="4"/>
        <v>21908056.219499998</v>
      </c>
      <c r="AD15" s="787">
        <f t="shared" si="4"/>
        <v>0.14545772947450966</v>
      </c>
      <c r="AE15" s="786">
        <f t="shared" si="4"/>
        <v>9224561.6264999993</v>
      </c>
      <c r="AG15" s="788">
        <f>+Z15</f>
        <v>0.50908454105098067</v>
      </c>
      <c r="AH15" s="789">
        <f>+AG15*W80</f>
        <v>1578162.07725804</v>
      </c>
      <c r="AI15" s="790">
        <f>+AB15</f>
        <v>0.34545772947450964</v>
      </c>
      <c r="AJ15" s="789">
        <f>+AI15*W80</f>
        <v>1070918.9613709799</v>
      </c>
      <c r="AK15" s="791">
        <f>+AD15</f>
        <v>0.14545772947450966</v>
      </c>
      <c r="AL15" s="792">
        <f>+AK15*W80</f>
        <v>450918.96137097996</v>
      </c>
      <c r="AN15" s="1201">
        <f>+AH15+AA15+K70</f>
        <v>33863017.196258038</v>
      </c>
      <c r="AO15" s="1202"/>
      <c r="AP15" s="1201">
        <f>+AJ15+AC15+K78</f>
        <v>22978975.180870976</v>
      </c>
      <c r="AQ15" s="1202"/>
      <c r="AR15" s="1201">
        <f>+AL15+AE15+K85</f>
        <v>9675480.5878709797</v>
      </c>
      <c r="AS15" s="1203"/>
      <c r="AT15" s="745"/>
    </row>
    <row r="16" spans="1:242" ht="15" x14ac:dyDescent="0.2">
      <c r="A16" s="1196"/>
      <c r="B16" s="1190"/>
      <c r="C16" s="793"/>
      <c r="D16" s="794"/>
      <c r="E16" s="795"/>
      <c r="F16" s="796"/>
      <c r="G16" s="771"/>
      <c r="H16" s="797"/>
      <c r="I16" s="797"/>
      <c r="J16" s="798">
        <f t="shared" ref="J16:J69" si="5">SUM(G16:I16)</f>
        <v>0</v>
      </c>
      <c r="K16" s="799">
        <f t="shared" si="0"/>
        <v>0</v>
      </c>
      <c r="L16" s="740"/>
      <c r="M16" s="800">
        <v>0.33</v>
      </c>
      <c r="N16" s="801">
        <v>0</v>
      </c>
      <c r="O16" s="800">
        <v>0.33</v>
      </c>
      <c r="P16" s="802">
        <v>0</v>
      </c>
      <c r="Q16" s="803">
        <v>0</v>
      </c>
      <c r="R16" s="801">
        <f t="shared" si="3"/>
        <v>0</v>
      </c>
      <c r="S16" s="804">
        <f t="shared" ref="S16:S61" si="6">+M16+O16+Q16</f>
        <v>0.66</v>
      </c>
      <c r="U16" s="805"/>
      <c r="V16" s="806" t="s">
        <v>72</v>
      </c>
      <c r="W16" s="807">
        <f>SUM(W17:W19)</f>
        <v>0</v>
      </c>
      <c r="Y16" s="744"/>
      <c r="AT16" s="745"/>
    </row>
    <row r="17" spans="1:46" ht="12.75" customHeight="1" x14ac:dyDescent="0.2">
      <c r="A17" s="1196"/>
      <c r="B17" s="1190"/>
      <c r="C17" s="793" t="s">
        <v>314</v>
      </c>
      <c r="D17" s="794" t="s">
        <v>315</v>
      </c>
      <c r="E17" s="795" t="s">
        <v>319</v>
      </c>
      <c r="F17" s="796" t="s">
        <v>298</v>
      </c>
      <c r="G17" s="771">
        <f>1228671*12</f>
        <v>14744052</v>
      </c>
      <c r="H17" s="797">
        <f>(109202+104200)</f>
        <v>213402</v>
      </c>
      <c r="I17" s="797">
        <f>88166*2</f>
        <v>176332</v>
      </c>
      <c r="J17" s="798">
        <f t="shared" si="5"/>
        <v>15133786</v>
      </c>
      <c r="K17" s="799">
        <f t="shared" si="0"/>
        <v>15814806.369999999</v>
      </c>
      <c r="L17" s="740"/>
      <c r="M17" s="800">
        <v>0.4</v>
      </c>
      <c r="N17" s="801">
        <f t="shared" si="1"/>
        <v>6325922.5480000004</v>
      </c>
      <c r="O17" s="800">
        <v>0.4</v>
      </c>
      <c r="P17" s="802">
        <f t="shared" si="2"/>
        <v>6325922.5480000004</v>
      </c>
      <c r="Q17" s="803">
        <v>0.2</v>
      </c>
      <c r="R17" s="801">
        <f t="shared" si="3"/>
        <v>3162961.2740000002</v>
      </c>
      <c r="S17" s="804">
        <f t="shared" si="6"/>
        <v>1</v>
      </c>
      <c r="U17" s="808">
        <v>53103050000000</v>
      </c>
      <c r="V17" s="809" t="s">
        <v>74</v>
      </c>
      <c r="W17" s="810">
        <v>0</v>
      </c>
      <c r="Y17" s="744"/>
      <c r="AT17" s="745"/>
    </row>
    <row r="18" spans="1:46" ht="13.5" customHeight="1" thickBot="1" x14ac:dyDescent="0.25">
      <c r="A18" s="1196"/>
      <c r="B18" s="1190"/>
      <c r="C18" s="793"/>
      <c r="D18" s="794"/>
      <c r="E18" s="795"/>
      <c r="F18" s="796" t="s">
        <v>298</v>
      </c>
      <c r="G18" s="771">
        <v>0</v>
      </c>
      <c r="H18" s="771">
        <v>0</v>
      </c>
      <c r="I18" s="797">
        <v>0</v>
      </c>
      <c r="J18" s="798">
        <f t="shared" si="5"/>
        <v>0</v>
      </c>
      <c r="K18" s="799">
        <f t="shared" si="0"/>
        <v>0</v>
      </c>
      <c r="L18" s="740"/>
      <c r="M18" s="800">
        <v>0</v>
      </c>
      <c r="N18" s="801">
        <f t="shared" si="1"/>
        <v>0</v>
      </c>
      <c r="O18" s="800">
        <v>0</v>
      </c>
      <c r="P18" s="802">
        <f t="shared" si="2"/>
        <v>0</v>
      </c>
      <c r="Q18" s="803">
        <v>0</v>
      </c>
      <c r="R18" s="801">
        <f t="shared" si="3"/>
        <v>0</v>
      </c>
      <c r="S18" s="804">
        <f t="shared" si="6"/>
        <v>0</v>
      </c>
      <c r="U18" s="808">
        <v>53103060000000</v>
      </c>
      <c r="V18" s="809" t="s">
        <v>75</v>
      </c>
      <c r="W18" s="810">
        <v>0</v>
      </c>
      <c r="Y18" s="811"/>
      <c r="Z18" s="812"/>
      <c r="AA18" s="812"/>
      <c r="AB18" s="812"/>
      <c r="AC18" s="812"/>
      <c r="AD18" s="812"/>
      <c r="AE18" s="812"/>
      <c r="AF18" s="812"/>
      <c r="AG18" s="812"/>
      <c r="AH18" s="812"/>
      <c r="AI18" s="812"/>
      <c r="AJ18" s="812"/>
      <c r="AK18" s="812"/>
      <c r="AL18" s="812"/>
      <c r="AM18" s="812"/>
      <c r="AN18" s="812"/>
      <c r="AO18" s="812"/>
      <c r="AP18" s="812"/>
      <c r="AQ18" s="812"/>
      <c r="AR18" s="812"/>
      <c r="AS18" s="812"/>
      <c r="AT18" s="813"/>
    </row>
    <row r="19" spans="1:46" ht="15" x14ac:dyDescent="0.2">
      <c r="A19" s="1196"/>
      <c r="B19" s="1190"/>
      <c r="C19" s="793"/>
      <c r="D19" s="794"/>
      <c r="E19" s="795"/>
      <c r="F19" s="796" t="s">
        <v>298</v>
      </c>
      <c r="G19" s="771">
        <v>0</v>
      </c>
      <c r="H19" s="771">
        <v>0</v>
      </c>
      <c r="I19" s="797">
        <v>0</v>
      </c>
      <c r="J19" s="798">
        <f t="shared" si="5"/>
        <v>0</v>
      </c>
      <c r="K19" s="799">
        <f t="shared" si="0"/>
        <v>0</v>
      </c>
      <c r="L19" s="740"/>
      <c r="M19" s="800">
        <v>0</v>
      </c>
      <c r="N19" s="801">
        <f t="shared" si="1"/>
        <v>0</v>
      </c>
      <c r="O19" s="800">
        <v>0</v>
      </c>
      <c r="P19" s="802">
        <f t="shared" si="2"/>
        <v>0</v>
      </c>
      <c r="Q19" s="803">
        <v>0</v>
      </c>
      <c r="R19" s="801">
        <f t="shared" si="3"/>
        <v>0</v>
      </c>
      <c r="S19" s="804">
        <f t="shared" si="6"/>
        <v>0</v>
      </c>
      <c r="U19" s="808">
        <v>53103080010000</v>
      </c>
      <c r="V19" s="809" t="s">
        <v>76</v>
      </c>
      <c r="W19" s="810">
        <v>0</v>
      </c>
    </row>
    <row r="20" spans="1:46" ht="15" x14ac:dyDescent="0.2">
      <c r="A20" s="1196"/>
      <c r="B20" s="1190"/>
      <c r="C20" s="793"/>
      <c r="D20" s="794"/>
      <c r="E20" s="795"/>
      <c r="F20" s="796" t="s">
        <v>298</v>
      </c>
      <c r="G20" s="771">
        <v>0</v>
      </c>
      <c r="H20" s="771">
        <v>0</v>
      </c>
      <c r="I20" s="797">
        <v>0</v>
      </c>
      <c r="J20" s="798">
        <f t="shared" si="5"/>
        <v>0</v>
      </c>
      <c r="K20" s="799">
        <f t="shared" si="0"/>
        <v>0</v>
      </c>
      <c r="L20" s="740"/>
      <c r="M20" s="800">
        <v>0</v>
      </c>
      <c r="N20" s="801">
        <f t="shared" si="1"/>
        <v>0</v>
      </c>
      <c r="O20" s="800">
        <v>0</v>
      </c>
      <c r="P20" s="802">
        <f t="shared" si="2"/>
        <v>0</v>
      </c>
      <c r="Q20" s="803">
        <v>0</v>
      </c>
      <c r="R20" s="801">
        <f t="shared" si="3"/>
        <v>0</v>
      </c>
      <c r="S20" s="804">
        <f t="shared" si="6"/>
        <v>0</v>
      </c>
      <c r="U20" s="805"/>
      <c r="V20" s="806" t="s">
        <v>79</v>
      </c>
      <c r="W20" s="814">
        <f>SUM(W21:W39)</f>
        <v>1500000</v>
      </c>
    </row>
    <row r="21" spans="1:46" ht="15" x14ac:dyDescent="0.2">
      <c r="A21" s="1196"/>
      <c r="B21" s="1190"/>
      <c r="C21" s="793"/>
      <c r="D21" s="794"/>
      <c r="E21" s="795"/>
      <c r="F21" s="796" t="s">
        <v>298</v>
      </c>
      <c r="G21" s="771">
        <v>0</v>
      </c>
      <c r="H21" s="771">
        <v>0</v>
      </c>
      <c r="I21" s="797">
        <v>0</v>
      </c>
      <c r="J21" s="798">
        <f t="shared" si="5"/>
        <v>0</v>
      </c>
      <c r="K21" s="799">
        <f t="shared" si="0"/>
        <v>0</v>
      </c>
      <c r="L21" s="740"/>
      <c r="M21" s="800">
        <v>0</v>
      </c>
      <c r="N21" s="801">
        <f t="shared" si="1"/>
        <v>0</v>
      </c>
      <c r="O21" s="800">
        <v>0</v>
      </c>
      <c r="P21" s="802">
        <f t="shared" si="2"/>
        <v>0</v>
      </c>
      <c r="Q21" s="803">
        <v>0</v>
      </c>
      <c r="R21" s="801">
        <f t="shared" si="3"/>
        <v>0</v>
      </c>
      <c r="S21" s="804">
        <f t="shared" si="6"/>
        <v>0</v>
      </c>
      <c r="U21" s="808">
        <v>53201010100000</v>
      </c>
      <c r="V21" s="809" t="s">
        <v>80</v>
      </c>
      <c r="W21" s="810">
        <v>500000</v>
      </c>
    </row>
    <row r="22" spans="1:46" ht="15" x14ac:dyDescent="0.2">
      <c r="A22" s="1196"/>
      <c r="B22" s="1190"/>
      <c r="C22" s="793"/>
      <c r="D22" s="794"/>
      <c r="E22" s="795"/>
      <c r="F22" s="796" t="s">
        <v>298</v>
      </c>
      <c r="G22" s="771">
        <v>0</v>
      </c>
      <c r="H22" s="771">
        <v>0</v>
      </c>
      <c r="I22" s="797">
        <v>0</v>
      </c>
      <c r="J22" s="798">
        <f t="shared" si="5"/>
        <v>0</v>
      </c>
      <c r="K22" s="799">
        <f t="shared" si="0"/>
        <v>0</v>
      </c>
      <c r="L22" s="740"/>
      <c r="M22" s="800">
        <v>0</v>
      </c>
      <c r="N22" s="801">
        <f t="shared" si="1"/>
        <v>0</v>
      </c>
      <c r="O22" s="800">
        <v>0</v>
      </c>
      <c r="P22" s="802">
        <f t="shared" si="2"/>
        <v>0</v>
      </c>
      <c r="Q22" s="803">
        <v>0</v>
      </c>
      <c r="R22" s="801">
        <f t="shared" si="3"/>
        <v>0</v>
      </c>
      <c r="S22" s="804">
        <f t="shared" si="6"/>
        <v>0</v>
      </c>
      <c r="U22" s="808">
        <v>53202010100000</v>
      </c>
      <c r="V22" s="809" t="s">
        <v>81</v>
      </c>
      <c r="W22" s="810">
        <v>0</v>
      </c>
    </row>
    <row r="23" spans="1:46" ht="15" x14ac:dyDescent="0.2">
      <c r="A23" s="1196"/>
      <c r="B23" s="1190"/>
      <c r="C23" s="793"/>
      <c r="D23" s="794"/>
      <c r="E23" s="795"/>
      <c r="F23" s="796" t="s">
        <v>298</v>
      </c>
      <c r="G23" s="771">
        <v>0</v>
      </c>
      <c r="H23" s="771">
        <v>0</v>
      </c>
      <c r="I23" s="797">
        <v>0</v>
      </c>
      <c r="J23" s="798">
        <f t="shared" si="5"/>
        <v>0</v>
      </c>
      <c r="K23" s="799">
        <f t="shared" si="0"/>
        <v>0</v>
      </c>
      <c r="L23" s="740"/>
      <c r="M23" s="800">
        <v>0</v>
      </c>
      <c r="N23" s="801">
        <f t="shared" si="1"/>
        <v>0</v>
      </c>
      <c r="O23" s="800">
        <v>0</v>
      </c>
      <c r="P23" s="802">
        <f t="shared" si="2"/>
        <v>0</v>
      </c>
      <c r="Q23" s="803">
        <v>0</v>
      </c>
      <c r="R23" s="801">
        <f t="shared" si="3"/>
        <v>0</v>
      </c>
      <c r="S23" s="804">
        <f t="shared" si="6"/>
        <v>0</v>
      </c>
      <c r="U23" s="808">
        <v>53203010100000</v>
      </c>
      <c r="V23" s="809" t="s">
        <v>82</v>
      </c>
      <c r="W23" s="810">
        <v>0</v>
      </c>
    </row>
    <row r="24" spans="1:46" ht="15.75" thickBot="1" x14ac:dyDescent="0.25">
      <c r="A24" s="1196"/>
      <c r="B24" s="1191"/>
      <c r="C24" s="815"/>
      <c r="D24" s="816"/>
      <c r="E24" s="817"/>
      <c r="F24" s="818" t="s">
        <v>298</v>
      </c>
      <c r="G24" s="819">
        <v>0</v>
      </c>
      <c r="H24" s="819">
        <v>0</v>
      </c>
      <c r="I24" s="820">
        <v>0</v>
      </c>
      <c r="J24" s="821">
        <f t="shared" si="5"/>
        <v>0</v>
      </c>
      <c r="K24" s="822">
        <f t="shared" si="0"/>
        <v>0</v>
      </c>
      <c r="L24" s="740"/>
      <c r="M24" s="823">
        <v>0</v>
      </c>
      <c r="N24" s="824">
        <f t="shared" si="1"/>
        <v>0</v>
      </c>
      <c r="O24" s="823">
        <v>0</v>
      </c>
      <c r="P24" s="825">
        <f t="shared" si="2"/>
        <v>0</v>
      </c>
      <c r="Q24" s="826">
        <v>0</v>
      </c>
      <c r="R24" s="824">
        <f t="shared" si="3"/>
        <v>0</v>
      </c>
      <c r="S24" s="827">
        <f t="shared" si="6"/>
        <v>0</v>
      </c>
      <c r="U24" s="808">
        <v>53203030000000</v>
      </c>
      <c r="V24" s="809" t="s">
        <v>83</v>
      </c>
      <c r="W24" s="810">
        <v>0</v>
      </c>
    </row>
    <row r="25" spans="1:46" ht="12.75" customHeight="1" x14ac:dyDescent="0.2">
      <c r="A25" s="1196"/>
      <c r="B25" s="1189" t="s">
        <v>162</v>
      </c>
      <c r="C25" s="767"/>
      <c r="D25" s="768"/>
      <c r="E25" s="769"/>
      <c r="F25" s="770" t="s">
        <v>298</v>
      </c>
      <c r="G25" s="772">
        <v>0</v>
      </c>
      <c r="H25" s="772">
        <v>0</v>
      </c>
      <c r="I25" s="773">
        <v>0</v>
      </c>
      <c r="J25" s="774">
        <f t="shared" si="5"/>
        <v>0</v>
      </c>
      <c r="K25" s="775">
        <f t="shared" si="0"/>
        <v>0</v>
      </c>
      <c r="L25" s="740"/>
      <c r="M25" s="776">
        <v>0</v>
      </c>
      <c r="N25" s="777">
        <f t="shared" si="1"/>
        <v>0</v>
      </c>
      <c r="O25" s="776">
        <v>0</v>
      </c>
      <c r="P25" s="778">
        <f t="shared" si="2"/>
        <v>0</v>
      </c>
      <c r="Q25" s="779">
        <v>0</v>
      </c>
      <c r="R25" s="777">
        <f t="shared" si="3"/>
        <v>0</v>
      </c>
      <c r="S25" s="780">
        <f t="shared" si="6"/>
        <v>0</v>
      </c>
      <c r="U25" s="808">
        <v>53204030000000</v>
      </c>
      <c r="V25" s="809" t="s">
        <v>84</v>
      </c>
      <c r="W25" s="810">
        <v>0</v>
      </c>
    </row>
    <row r="26" spans="1:46" ht="12.75" customHeight="1" x14ac:dyDescent="0.2">
      <c r="A26" s="1196"/>
      <c r="B26" s="1190"/>
      <c r="C26" s="793"/>
      <c r="D26" s="794"/>
      <c r="E26" s="795"/>
      <c r="F26" s="796" t="s">
        <v>298</v>
      </c>
      <c r="G26" s="771">
        <v>0</v>
      </c>
      <c r="H26" s="771">
        <v>0</v>
      </c>
      <c r="I26" s="797">
        <v>0</v>
      </c>
      <c r="J26" s="798">
        <f t="shared" si="5"/>
        <v>0</v>
      </c>
      <c r="K26" s="799">
        <f t="shared" si="0"/>
        <v>0</v>
      </c>
      <c r="L26" s="740"/>
      <c r="M26" s="800">
        <v>0</v>
      </c>
      <c r="N26" s="801">
        <f t="shared" si="1"/>
        <v>0</v>
      </c>
      <c r="O26" s="800">
        <v>0</v>
      </c>
      <c r="P26" s="802">
        <f t="shared" si="2"/>
        <v>0</v>
      </c>
      <c r="Q26" s="803">
        <v>0</v>
      </c>
      <c r="R26" s="801">
        <f t="shared" si="3"/>
        <v>0</v>
      </c>
      <c r="S26" s="804">
        <f t="shared" si="6"/>
        <v>0</v>
      </c>
      <c r="U26" s="808">
        <v>53204100100001</v>
      </c>
      <c r="V26" s="809" t="s">
        <v>85</v>
      </c>
      <c r="W26" s="810">
        <v>0</v>
      </c>
    </row>
    <row r="27" spans="1:46" ht="12.75" customHeight="1" x14ac:dyDescent="0.2">
      <c r="A27" s="1196"/>
      <c r="B27" s="1190"/>
      <c r="C27" s="793"/>
      <c r="D27" s="794"/>
      <c r="E27" s="795"/>
      <c r="F27" s="796" t="s">
        <v>298</v>
      </c>
      <c r="G27" s="771">
        <v>0</v>
      </c>
      <c r="H27" s="771">
        <v>0</v>
      </c>
      <c r="I27" s="797">
        <v>0</v>
      </c>
      <c r="J27" s="798">
        <f t="shared" si="5"/>
        <v>0</v>
      </c>
      <c r="K27" s="799">
        <f t="shared" si="0"/>
        <v>0</v>
      </c>
      <c r="L27" s="740"/>
      <c r="M27" s="800">
        <v>0</v>
      </c>
      <c r="N27" s="801">
        <f t="shared" si="1"/>
        <v>0</v>
      </c>
      <c r="O27" s="800">
        <v>0</v>
      </c>
      <c r="P27" s="802">
        <f t="shared" si="2"/>
        <v>0</v>
      </c>
      <c r="Q27" s="803">
        <v>0</v>
      </c>
      <c r="R27" s="801">
        <f t="shared" si="3"/>
        <v>0</v>
      </c>
      <c r="S27" s="804">
        <f t="shared" si="6"/>
        <v>0</v>
      </c>
      <c r="U27" s="808">
        <v>53204130100000</v>
      </c>
      <c r="V27" s="809" t="s">
        <v>86</v>
      </c>
      <c r="W27" s="810">
        <v>0</v>
      </c>
    </row>
    <row r="28" spans="1:46" ht="12.75" customHeight="1" x14ac:dyDescent="0.2">
      <c r="A28" s="1196"/>
      <c r="B28" s="1190"/>
      <c r="C28" s="793"/>
      <c r="D28" s="794"/>
      <c r="E28" s="795"/>
      <c r="F28" s="796" t="s">
        <v>298</v>
      </c>
      <c r="G28" s="771">
        <v>0</v>
      </c>
      <c r="H28" s="771">
        <v>0</v>
      </c>
      <c r="I28" s="797">
        <v>0</v>
      </c>
      <c r="J28" s="798">
        <f t="shared" si="5"/>
        <v>0</v>
      </c>
      <c r="K28" s="799">
        <f t="shared" si="0"/>
        <v>0</v>
      </c>
      <c r="L28" s="740"/>
      <c r="M28" s="800">
        <v>0</v>
      </c>
      <c r="N28" s="801">
        <f t="shared" si="1"/>
        <v>0</v>
      </c>
      <c r="O28" s="800">
        <v>0</v>
      </c>
      <c r="P28" s="802">
        <f t="shared" si="2"/>
        <v>0</v>
      </c>
      <c r="Q28" s="803">
        <v>0</v>
      </c>
      <c r="R28" s="801">
        <f t="shared" si="3"/>
        <v>0</v>
      </c>
      <c r="S28" s="804">
        <f t="shared" si="6"/>
        <v>0</v>
      </c>
      <c r="U28" s="808">
        <v>53205010100000</v>
      </c>
      <c r="V28" s="809" t="s">
        <v>87</v>
      </c>
      <c r="W28" s="810">
        <v>1000000</v>
      </c>
    </row>
    <row r="29" spans="1:46" ht="12.75" customHeight="1" x14ac:dyDescent="0.2">
      <c r="A29" s="1196"/>
      <c r="B29" s="1190"/>
      <c r="C29" s="793"/>
      <c r="D29" s="794"/>
      <c r="E29" s="795"/>
      <c r="F29" s="796" t="s">
        <v>298</v>
      </c>
      <c r="G29" s="771">
        <v>0</v>
      </c>
      <c r="H29" s="771">
        <v>0</v>
      </c>
      <c r="I29" s="797">
        <v>0</v>
      </c>
      <c r="J29" s="798">
        <f t="shared" si="5"/>
        <v>0</v>
      </c>
      <c r="K29" s="799">
        <f t="shared" si="0"/>
        <v>0</v>
      </c>
      <c r="L29" s="740"/>
      <c r="M29" s="800">
        <v>0</v>
      </c>
      <c r="N29" s="801">
        <f t="shared" si="1"/>
        <v>0</v>
      </c>
      <c r="O29" s="800">
        <v>0</v>
      </c>
      <c r="P29" s="802">
        <f t="shared" si="2"/>
        <v>0</v>
      </c>
      <c r="Q29" s="803">
        <v>0</v>
      </c>
      <c r="R29" s="801">
        <f t="shared" si="3"/>
        <v>0</v>
      </c>
      <c r="S29" s="804">
        <f t="shared" si="6"/>
        <v>0</v>
      </c>
      <c r="U29" s="808">
        <v>53205020100000</v>
      </c>
      <c r="V29" s="809" t="s">
        <v>88</v>
      </c>
      <c r="W29" s="810">
        <v>0</v>
      </c>
    </row>
    <row r="30" spans="1:46" ht="12.75" customHeight="1" x14ac:dyDescent="0.2">
      <c r="A30" s="1196"/>
      <c r="B30" s="1190"/>
      <c r="C30" s="793"/>
      <c r="D30" s="794"/>
      <c r="E30" s="795"/>
      <c r="F30" s="796" t="s">
        <v>298</v>
      </c>
      <c r="G30" s="771">
        <v>0</v>
      </c>
      <c r="H30" s="771">
        <v>0</v>
      </c>
      <c r="I30" s="797">
        <v>0</v>
      </c>
      <c r="J30" s="798">
        <f t="shared" si="5"/>
        <v>0</v>
      </c>
      <c r="K30" s="799">
        <f t="shared" si="0"/>
        <v>0</v>
      </c>
      <c r="L30" s="740"/>
      <c r="M30" s="800">
        <v>0</v>
      </c>
      <c r="N30" s="801">
        <f t="shared" si="1"/>
        <v>0</v>
      </c>
      <c r="O30" s="800">
        <v>0</v>
      </c>
      <c r="P30" s="802">
        <f t="shared" si="2"/>
        <v>0</v>
      </c>
      <c r="Q30" s="803">
        <v>0</v>
      </c>
      <c r="R30" s="801">
        <f t="shared" si="3"/>
        <v>0</v>
      </c>
      <c r="S30" s="804">
        <f t="shared" si="6"/>
        <v>0</v>
      </c>
      <c r="U30" s="808">
        <v>53205030100000</v>
      </c>
      <c r="V30" s="809" t="s">
        <v>89</v>
      </c>
      <c r="W30" s="810">
        <v>0</v>
      </c>
    </row>
    <row r="31" spans="1:46" ht="12.75" customHeight="1" x14ac:dyDescent="0.2">
      <c r="A31" s="1196"/>
      <c r="B31" s="1190"/>
      <c r="C31" s="793"/>
      <c r="D31" s="794"/>
      <c r="E31" s="795"/>
      <c r="F31" s="796" t="s">
        <v>298</v>
      </c>
      <c r="G31" s="771">
        <v>0</v>
      </c>
      <c r="H31" s="771">
        <v>0</v>
      </c>
      <c r="I31" s="797">
        <v>0</v>
      </c>
      <c r="J31" s="798">
        <f t="shared" si="5"/>
        <v>0</v>
      </c>
      <c r="K31" s="799">
        <f t="shared" si="0"/>
        <v>0</v>
      </c>
      <c r="L31" s="740"/>
      <c r="M31" s="800">
        <v>0</v>
      </c>
      <c r="N31" s="801">
        <f t="shared" si="1"/>
        <v>0</v>
      </c>
      <c r="O31" s="800">
        <v>0</v>
      </c>
      <c r="P31" s="802">
        <f t="shared" si="2"/>
        <v>0</v>
      </c>
      <c r="Q31" s="803">
        <v>0</v>
      </c>
      <c r="R31" s="801">
        <f t="shared" si="3"/>
        <v>0</v>
      </c>
      <c r="S31" s="804">
        <f t="shared" si="6"/>
        <v>0</v>
      </c>
      <c r="U31" s="808">
        <v>53205050100000</v>
      </c>
      <c r="V31" s="809" t="s">
        <v>90</v>
      </c>
      <c r="W31" s="810">
        <v>0</v>
      </c>
    </row>
    <row r="32" spans="1:46" ht="12.75" customHeight="1" x14ac:dyDescent="0.2">
      <c r="A32" s="1196"/>
      <c r="B32" s="1190"/>
      <c r="C32" s="793"/>
      <c r="D32" s="794"/>
      <c r="E32" s="795"/>
      <c r="F32" s="796" t="s">
        <v>298</v>
      </c>
      <c r="G32" s="771">
        <v>0</v>
      </c>
      <c r="H32" s="771">
        <v>0</v>
      </c>
      <c r="I32" s="797">
        <v>0</v>
      </c>
      <c r="J32" s="798">
        <f t="shared" si="5"/>
        <v>0</v>
      </c>
      <c r="K32" s="799">
        <f t="shared" si="0"/>
        <v>0</v>
      </c>
      <c r="L32" s="740"/>
      <c r="M32" s="800">
        <v>0</v>
      </c>
      <c r="N32" s="801">
        <f t="shared" si="1"/>
        <v>0</v>
      </c>
      <c r="O32" s="800">
        <v>0</v>
      </c>
      <c r="P32" s="802">
        <f t="shared" si="2"/>
        <v>0</v>
      </c>
      <c r="Q32" s="803">
        <v>0</v>
      </c>
      <c r="R32" s="801">
        <f t="shared" si="3"/>
        <v>0</v>
      </c>
      <c r="S32" s="804">
        <f t="shared" si="6"/>
        <v>0</v>
      </c>
      <c r="U32" s="808">
        <v>53205060100000</v>
      </c>
      <c r="V32" s="809" t="s">
        <v>91</v>
      </c>
      <c r="W32" s="810">
        <v>0</v>
      </c>
    </row>
    <row r="33" spans="1:23" ht="12.75" customHeight="1" x14ac:dyDescent="0.2">
      <c r="A33" s="1196"/>
      <c r="B33" s="1190"/>
      <c r="C33" s="793"/>
      <c r="D33" s="794"/>
      <c r="E33" s="795"/>
      <c r="F33" s="796" t="s">
        <v>298</v>
      </c>
      <c r="G33" s="771">
        <v>0</v>
      </c>
      <c r="H33" s="771">
        <v>0</v>
      </c>
      <c r="I33" s="797">
        <v>0</v>
      </c>
      <c r="J33" s="798">
        <f t="shared" si="5"/>
        <v>0</v>
      </c>
      <c r="K33" s="799">
        <f t="shared" si="0"/>
        <v>0</v>
      </c>
      <c r="L33" s="740"/>
      <c r="M33" s="800">
        <v>0</v>
      </c>
      <c r="N33" s="801">
        <f t="shared" si="1"/>
        <v>0</v>
      </c>
      <c r="O33" s="800">
        <v>0</v>
      </c>
      <c r="P33" s="802">
        <f t="shared" si="2"/>
        <v>0</v>
      </c>
      <c r="Q33" s="803">
        <v>0</v>
      </c>
      <c r="R33" s="801">
        <f t="shared" si="3"/>
        <v>0</v>
      </c>
      <c r="S33" s="804">
        <f t="shared" si="6"/>
        <v>0</v>
      </c>
      <c r="U33" s="808">
        <v>53205070100000</v>
      </c>
      <c r="V33" s="809" t="s">
        <v>92</v>
      </c>
      <c r="W33" s="810">
        <v>0</v>
      </c>
    </row>
    <row r="34" spans="1:23" ht="12.75" customHeight="1" thickBot="1" x14ac:dyDescent="0.25">
      <c r="A34" s="1196"/>
      <c r="B34" s="1191"/>
      <c r="C34" s="815"/>
      <c r="D34" s="816"/>
      <c r="E34" s="817"/>
      <c r="F34" s="818" t="s">
        <v>298</v>
      </c>
      <c r="G34" s="819">
        <v>0</v>
      </c>
      <c r="H34" s="819">
        <v>0</v>
      </c>
      <c r="I34" s="820">
        <v>0</v>
      </c>
      <c r="J34" s="821">
        <f t="shared" si="5"/>
        <v>0</v>
      </c>
      <c r="K34" s="822">
        <f t="shared" si="0"/>
        <v>0</v>
      </c>
      <c r="L34" s="740"/>
      <c r="M34" s="823">
        <v>0</v>
      </c>
      <c r="N34" s="824">
        <f t="shared" si="1"/>
        <v>0</v>
      </c>
      <c r="O34" s="823">
        <v>0</v>
      </c>
      <c r="P34" s="825">
        <f t="shared" si="2"/>
        <v>0</v>
      </c>
      <c r="Q34" s="826">
        <v>0</v>
      </c>
      <c r="R34" s="824">
        <f t="shared" si="3"/>
        <v>0</v>
      </c>
      <c r="S34" s="827">
        <f t="shared" si="6"/>
        <v>0</v>
      </c>
      <c r="U34" s="808">
        <v>53208010100000</v>
      </c>
      <c r="V34" s="809" t="s">
        <v>93</v>
      </c>
      <c r="W34" s="810">
        <v>0</v>
      </c>
    </row>
    <row r="35" spans="1:23" ht="12.75" customHeight="1" x14ac:dyDescent="0.2">
      <c r="A35" s="1196"/>
      <c r="B35" s="1189" t="s">
        <v>163</v>
      </c>
      <c r="C35" s="767"/>
      <c r="D35" s="768"/>
      <c r="E35" s="769"/>
      <c r="F35" s="770" t="s">
        <v>298</v>
      </c>
      <c r="G35" s="772">
        <v>0</v>
      </c>
      <c r="H35" s="772">
        <v>0</v>
      </c>
      <c r="I35" s="773">
        <v>0</v>
      </c>
      <c r="J35" s="774">
        <f t="shared" si="5"/>
        <v>0</v>
      </c>
      <c r="K35" s="775">
        <f t="shared" si="0"/>
        <v>0</v>
      </c>
      <c r="L35" s="740"/>
      <c r="M35" s="776">
        <v>0</v>
      </c>
      <c r="N35" s="777">
        <f t="shared" si="1"/>
        <v>0</v>
      </c>
      <c r="O35" s="776">
        <v>0</v>
      </c>
      <c r="P35" s="778">
        <f t="shared" si="2"/>
        <v>0</v>
      </c>
      <c r="Q35" s="779">
        <v>0</v>
      </c>
      <c r="R35" s="777">
        <f t="shared" si="3"/>
        <v>0</v>
      </c>
      <c r="S35" s="780">
        <f t="shared" si="6"/>
        <v>0</v>
      </c>
      <c r="U35" s="808">
        <v>53208070100001</v>
      </c>
      <c r="V35" s="809" t="s">
        <v>94</v>
      </c>
      <c r="W35" s="810">
        <v>0</v>
      </c>
    </row>
    <row r="36" spans="1:23" ht="12.75" customHeight="1" x14ac:dyDescent="0.2">
      <c r="A36" s="1196"/>
      <c r="B36" s="1190"/>
      <c r="C36" s="793"/>
      <c r="D36" s="794"/>
      <c r="E36" s="795"/>
      <c r="F36" s="796" t="s">
        <v>298</v>
      </c>
      <c r="G36" s="771">
        <v>0</v>
      </c>
      <c r="H36" s="771">
        <v>0</v>
      </c>
      <c r="I36" s="797">
        <v>0</v>
      </c>
      <c r="J36" s="798">
        <f t="shared" si="5"/>
        <v>0</v>
      </c>
      <c r="K36" s="799">
        <f t="shared" si="0"/>
        <v>0</v>
      </c>
      <c r="L36" s="740"/>
      <c r="M36" s="800">
        <v>0</v>
      </c>
      <c r="N36" s="801">
        <f t="shared" si="1"/>
        <v>0</v>
      </c>
      <c r="O36" s="800">
        <v>0</v>
      </c>
      <c r="P36" s="802">
        <f t="shared" si="2"/>
        <v>0</v>
      </c>
      <c r="Q36" s="803">
        <v>0</v>
      </c>
      <c r="R36" s="801">
        <f t="shared" si="3"/>
        <v>0</v>
      </c>
      <c r="S36" s="804">
        <f t="shared" si="6"/>
        <v>0</v>
      </c>
      <c r="U36" s="808">
        <v>53208100100001</v>
      </c>
      <c r="V36" s="809" t="s">
        <v>95</v>
      </c>
      <c r="W36" s="810">
        <v>0</v>
      </c>
    </row>
    <row r="37" spans="1:23" ht="12.75" customHeight="1" x14ac:dyDescent="0.2">
      <c r="A37" s="1196"/>
      <c r="B37" s="1190"/>
      <c r="C37" s="793"/>
      <c r="D37" s="794"/>
      <c r="E37" s="795"/>
      <c r="F37" s="796" t="s">
        <v>298</v>
      </c>
      <c r="G37" s="771">
        <v>0</v>
      </c>
      <c r="H37" s="771">
        <v>0</v>
      </c>
      <c r="I37" s="797">
        <v>0</v>
      </c>
      <c r="J37" s="798">
        <f t="shared" si="5"/>
        <v>0</v>
      </c>
      <c r="K37" s="799">
        <f t="shared" si="0"/>
        <v>0</v>
      </c>
      <c r="L37" s="740"/>
      <c r="M37" s="800">
        <v>0</v>
      </c>
      <c r="N37" s="801">
        <f t="shared" si="1"/>
        <v>0</v>
      </c>
      <c r="O37" s="800">
        <v>0</v>
      </c>
      <c r="P37" s="802">
        <f t="shared" si="2"/>
        <v>0</v>
      </c>
      <c r="Q37" s="803">
        <v>0</v>
      </c>
      <c r="R37" s="801">
        <f t="shared" si="3"/>
        <v>0</v>
      </c>
      <c r="S37" s="804">
        <f t="shared" si="6"/>
        <v>0</v>
      </c>
      <c r="U37" s="808">
        <v>53211030000000</v>
      </c>
      <c r="V37" s="809" t="s">
        <v>96</v>
      </c>
      <c r="W37" s="810">
        <v>0</v>
      </c>
    </row>
    <row r="38" spans="1:23" ht="12.75" customHeight="1" x14ac:dyDescent="0.2">
      <c r="A38" s="1196"/>
      <c r="B38" s="1190"/>
      <c r="C38" s="793"/>
      <c r="D38" s="794"/>
      <c r="E38" s="795"/>
      <c r="F38" s="796" t="s">
        <v>298</v>
      </c>
      <c r="G38" s="771">
        <v>0</v>
      </c>
      <c r="H38" s="771">
        <v>0</v>
      </c>
      <c r="I38" s="797">
        <v>0</v>
      </c>
      <c r="J38" s="798">
        <f t="shared" si="5"/>
        <v>0</v>
      </c>
      <c r="K38" s="799">
        <f t="shared" si="0"/>
        <v>0</v>
      </c>
      <c r="L38" s="740"/>
      <c r="M38" s="800">
        <v>0</v>
      </c>
      <c r="N38" s="801">
        <f t="shared" si="1"/>
        <v>0</v>
      </c>
      <c r="O38" s="800">
        <v>0</v>
      </c>
      <c r="P38" s="802">
        <f t="shared" si="2"/>
        <v>0</v>
      </c>
      <c r="Q38" s="803">
        <v>0</v>
      </c>
      <c r="R38" s="801">
        <f t="shared" si="3"/>
        <v>0</v>
      </c>
      <c r="S38" s="804">
        <f t="shared" si="6"/>
        <v>0</v>
      </c>
      <c r="U38" s="808">
        <v>53212020100000</v>
      </c>
      <c r="V38" s="809" t="s">
        <v>97</v>
      </c>
      <c r="W38" s="810">
        <v>0</v>
      </c>
    </row>
    <row r="39" spans="1:23" ht="12.75" customHeight="1" thickBot="1" x14ac:dyDescent="0.25">
      <c r="A39" s="1196"/>
      <c r="B39" s="1191"/>
      <c r="C39" s="815"/>
      <c r="D39" s="816"/>
      <c r="E39" s="817"/>
      <c r="F39" s="818" t="s">
        <v>298</v>
      </c>
      <c r="G39" s="819">
        <v>0</v>
      </c>
      <c r="H39" s="819">
        <v>0</v>
      </c>
      <c r="I39" s="820">
        <v>0</v>
      </c>
      <c r="J39" s="821">
        <f t="shared" si="5"/>
        <v>0</v>
      </c>
      <c r="K39" s="822">
        <f t="shared" si="0"/>
        <v>0</v>
      </c>
      <c r="L39" s="740"/>
      <c r="M39" s="823">
        <v>0</v>
      </c>
      <c r="N39" s="824">
        <f t="shared" si="1"/>
        <v>0</v>
      </c>
      <c r="O39" s="823">
        <v>0</v>
      </c>
      <c r="P39" s="825">
        <f t="shared" si="2"/>
        <v>0</v>
      </c>
      <c r="Q39" s="826">
        <v>0</v>
      </c>
      <c r="R39" s="824">
        <f t="shared" si="3"/>
        <v>0</v>
      </c>
      <c r="S39" s="827">
        <f t="shared" si="6"/>
        <v>0</v>
      </c>
      <c r="U39" s="808">
        <v>53214020000000</v>
      </c>
      <c r="V39" s="809" t="s">
        <v>98</v>
      </c>
      <c r="W39" s="810">
        <v>0</v>
      </c>
    </row>
    <row r="40" spans="1:23" ht="12.75" customHeight="1" x14ac:dyDescent="0.2">
      <c r="A40" s="1196"/>
      <c r="B40" s="1192" t="s">
        <v>320</v>
      </c>
      <c r="C40" s="828" t="s">
        <v>335</v>
      </c>
      <c r="D40" s="829" t="s">
        <v>336</v>
      </c>
      <c r="E40" s="830" t="s">
        <v>337</v>
      </c>
      <c r="F40" s="831" t="s">
        <v>298</v>
      </c>
      <c r="G40" s="772">
        <f>996585*12</f>
        <v>11959020</v>
      </c>
      <c r="H40" s="772">
        <f>(109202+208400)</f>
        <v>317602</v>
      </c>
      <c r="I40" s="773">
        <f>88166*2</f>
        <v>176332</v>
      </c>
      <c r="J40" s="832">
        <f t="shared" ref="J40:J61" si="7">SUM(G40:I40)</f>
        <v>12452954</v>
      </c>
      <c r="K40" s="833">
        <f t="shared" si="0"/>
        <v>13013336.93</v>
      </c>
      <c r="L40" s="740"/>
      <c r="M40" s="776">
        <v>0.4</v>
      </c>
      <c r="N40" s="777">
        <f t="shared" si="1"/>
        <v>5205334.7719999999</v>
      </c>
      <c r="O40" s="776">
        <v>0.4</v>
      </c>
      <c r="P40" s="778">
        <f t="shared" si="2"/>
        <v>5205334.7719999999</v>
      </c>
      <c r="Q40" s="779">
        <v>0.2</v>
      </c>
      <c r="R40" s="777">
        <f t="shared" si="3"/>
        <v>2602667.3859999999</v>
      </c>
      <c r="S40" s="780">
        <f t="shared" si="6"/>
        <v>1</v>
      </c>
      <c r="U40" s="781"/>
      <c r="V40" s="782" t="s">
        <v>99</v>
      </c>
      <c r="W40" s="783">
        <f>SUM(W41,W46,W49,W60,W70,W78)</f>
        <v>1600000</v>
      </c>
    </row>
    <row r="41" spans="1:23" ht="12.75" customHeight="1" x14ac:dyDescent="0.2">
      <c r="A41" s="1196"/>
      <c r="B41" s="1193"/>
      <c r="C41" s="834"/>
      <c r="D41" s="835"/>
      <c r="E41" s="836"/>
      <c r="F41" s="837" t="s">
        <v>298</v>
      </c>
      <c r="G41" s="771">
        <v>0</v>
      </c>
      <c r="H41" s="771">
        <v>0</v>
      </c>
      <c r="I41" s="797">
        <v>0</v>
      </c>
      <c r="J41" s="838">
        <f t="shared" si="7"/>
        <v>0</v>
      </c>
      <c r="K41" s="839">
        <f t="shared" si="0"/>
        <v>0</v>
      </c>
      <c r="L41" s="740"/>
      <c r="M41" s="800">
        <v>0</v>
      </c>
      <c r="N41" s="801">
        <f t="shared" si="1"/>
        <v>0</v>
      </c>
      <c r="O41" s="800">
        <v>0</v>
      </c>
      <c r="P41" s="802">
        <f t="shared" si="2"/>
        <v>0</v>
      </c>
      <c r="Q41" s="803">
        <v>0</v>
      </c>
      <c r="R41" s="801">
        <f t="shared" si="3"/>
        <v>0</v>
      </c>
      <c r="S41" s="804">
        <f t="shared" si="6"/>
        <v>0</v>
      </c>
      <c r="U41" s="805"/>
      <c r="V41" s="806" t="s">
        <v>100</v>
      </c>
      <c r="W41" s="807">
        <f>SUM(W42:W45)</f>
        <v>0</v>
      </c>
    </row>
    <row r="42" spans="1:23" ht="12.75" customHeight="1" x14ac:dyDescent="0.2">
      <c r="A42" s="1196"/>
      <c r="B42" s="1193"/>
      <c r="C42" s="834"/>
      <c r="D42" s="835"/>
      <c r="E42" s="836"/>
      <c r="F42" s="837" t="s">
        <v>298</v>
      </c>
      <c r="G42" s="771">
        <v>0</v>
      </c>
      <c r="H42" s="771">
        <v>0</v>
      </c>
      <c r="I42" s="797">
        <v>0</v>
      </c>
      <c r="J42" s="838">
        <f t="shared" si="7"/>
        <v>0</v>
      </c>
      <c r="K42" s="839">
        <f t="shared" si="0"/>
        <v>0</v>
      </c>
      <c r="L42" s="740"/>
      <c r="M42" s="800">
        <v>0</v>
      </c>
      <c r="N42" s="801">
        <f t="shared" si="1"/>
        <v>0</v>
      </c>
      <c r="O42" s="800">
        <v>0</v>
      </c>
      <c r="P42" s="802">
        <f t="shared" si="2"/>
        <v>0</v>
      </c>
      <c r="Q42" s="803">
        <v>0</v>
      </c>
      <c r="R42" s="801">
        <f t="shared" si="3"/>
        <v>0</v>
      </c>
      <c r="S42" s="804">
        <f t="shared" si="6"/>
        <v>0</v>
      </c>
      <c r="U42" s="808">
        <v>53202020100000</v>
      </c>
      <c r="V42" s="809" t="s">
        <v>101</v>
      </c>
      <c r="W42" s="810">
        <v>0</v>
      </c>
    </row>
    <row r="43" spans="1:23" ht="12.75" customHeight="1" x14ac:dyDescent="0.2">
      <c r="A43" s="1196"/>
      <c r="B43" s="1193"/>
      <c r="C43" s="834"/>
      <c r="D43" s="835"/>
      <c r="E43" s="836"/>
      <c r="F43" s="837" t="s">
        <v>298</v>
      </c>
      <c r="G43" s="771">
        <v>0</v>
      </c>
      <c r="H43" s="771">
        <v>0</v>
      </c>
      <c r="I43" s="797">
        <v>0</v>
      </c>
      <c r="J43" s="838">
        <f t="shared" si="7"/>
        <v>0</v>
      </c>
      <c r="K43" s="839">
        <f t="shared" si="0"/>
        <v>0</v>
      </c>
      <c r="L43" s="740"/>
      <c r="M43" s="800">
        <v>0</v>
      </c>
      <c r="N43" s="801">
        <f t="shared" si="1"/>
        <v>0</v>
      </c>
      <c r="O43" s="800">
        <v>0</v>
      </c>
      <c r="P43" s="802">
        <f t="shared" si="2"/>
        <v>0</v>
      </c>
      <c r="Q43" s="803">
        <v>0</v>
      </c>
      <c r="R43" s="801">
        <f t="shared" si="3"/>
        <v>0</v>
      </c>
      <c r="S43" s="804">
        <f t="shared" si="6"/>
        <v>0</v>
      </c>
      <c r="U43" s="808">
        <v>53202030000000</v>
      </c>
      <c r="V43" s="809" t="s">
        <v>102</v>
      </c>
      <c r="W43" s="810">
        <v>0</v>
      </c>
    </row>
    <row r="44" spans="1:23" ht="12.75" customHeight="1" x14ac:dyDescent="0.2">
      <c r="A44" s="1196"/>
      <c r="B44" s="1193"/>
      <c r="C44" s="834"/>
      <c r="D44" s="835"/>
      <c r="E44" s="836"/>
      <c r="F44" s="837" t="s">
        <v>298</v>
      </c>
      <c r="G44" s="771">
        <v>0</v>
      </c>
      <c r="H44" s="771">
        <v>0</v>
      </c>
      <c r="I44" s="797">
        <v>0</v>
      </c>
      <c r="J44" s="838">
        <f t="shared" si="7"/>
        <v>0</v>
      </c>
      <c r="K44" s="839">
        <f t="shared" si="0"/>
        <v>0</v>
      </c>
      <c r="L44" s="740"/>
      <c r="M44" s="800">
        <v>0</v>
      </c>
      <c r="N44" s="801">
        <f t="shared" si="1"/>
        <v>0</v>
      </c>
      <c r="O44" s="800">
        <v>0</v>
      </c>
      <c r="P44" s="802">
        <f t="shared" si="2"/>
        <v>0</v>
      </c>
      <c r="Q44" s="803">
        <v>0</v>
      </c>
      <c r="R44" s="801">
        <f t="shared" si="3"/>
        <v>0</v>
      </c>
      <c r="S44" s="804">
        <f t="shared" si="6"/>
        <v>0</v>
      </c>
      <c r="U44" s="808">
        <v>53211020000000</v>
      </c>
      <c r="V44" s="809" t="s">
        <v>103</v>
      </c>
      <c r="W44" s="810">
        <v>0</v>
      </c>
    </row>
    <row r="45" spans="1:23" ht="12.75" customHeight="1" x14ac:dyDescent="0.2">
      <c r="A45" s="1196"/>
      <c r="B45" s="1193"/>
      <c r="C45" s="834"/>
      <c r="D45" s="835"/>
      <c r="E45" s="836"/>
      <c r="F45" s="837" t="s">
        <v>298</v>
      </c>
      <c r="G45" s="771">
        <v>0</v>
      </c>
      <c r="H45" s="771">
        <v>0</v>
      </c>
      <c r="I45" s="797">
        <v>0</v>
      </c>
      <c r="J45" s="838">
        <f t="shared" si="7"/>
        <v>0</v>
      </c>
      <c r="K45" s="839">
        <f t="shared" si="0"/>
        <v>0</v>
      </c>
      <c r="L45" s="740"/>
      <c r="M45" s="800">
        <v>0</v>
      </c>
      <c r="N45" s="801">
        <f t="shared" si="1"/>
        <v>0</v>
      </c>
      <c r="O45" s="800">
        <v>0</v>
      </c>
      <c r="P45" s="802">
        <f t="shared" si="2"/>
        <v>0</v>
      </c>
      <c r="Q45" s="803">
        <v>0</v>
      </c>
      <c r="R45" s="801">
        <f t="shared" si="3"/>
        <v>0</v>
      </c>
      <c r="S45" s="804">
        <f t="shared" si="6"/>
        <v>0</v>
      </c>
      <c r="U45" s="808">
        <v>53101004030000</v>
      </c>
      <c r="V45" s="809" t="s">
        <v>104</v>
      </c>
      <c r="W45" s="810">
        <v>0</v>
      </c>
    </row>
    <row r="46" spans="1:23" ht="12.75" customHeight="1" x14ac:dyDescent="0.2">
      <c r="A46" s="1196"/>
      <c r="B46" s="1193"/>
      <c r="C46" s="834"/>
      <c r="D46" s="835"/>
      <c r="E46" s="836"/>
      <c r="F46" s="837" t="s">
        <v>298</v>
      </c>
      <c r="G46" s="771">
        <v>0</v>
      </c>
      <c r="H46" s="771">
        <v>0</v>
      </c>
      <c r="I46" s="797">
        <v>0</v>
      </c>
      <c r="J46" s="838">
        <f t="shared" si="7"/>
        <v>0</v>
      </c>
      <c r="K46" s="839">
        <f t="shared" si="0"/>
        <v>0</v>
      </c>
      <c r="L46" s="740"/>
      <c r="M46" s="800">
        <v>0</v>
      </c>
      <c r="N46" s="801">
        <f t="shared" si="1"/>
        <v>0</v>
      </c>
      <c r="O46" s="800">
        <v>0</v>
      </c>
      <c r="P46" s="802">
        <f t="shared" si="2"/>
        <v>0</v>
      </c>
      <c r="Q46" s="803">
        <v>0</v>
      </c>
      <c r="R46" s="801">
        <f t="shared" si="3"/>
        <v>0</v>
      </c>
      <c r="S46" s="804">
        <f t="shared" si="6"/>
        <v>0</v>
      </c>
      <c r="U46" s="805"/>
      <c r="V46" s="806" t="s">
        <v>105</v>
      </c>
      <c r="W46" s="807">
        <f>SUM(W47:W48)</f>
        <v>0</v>
      </c>
    </row>
    <row r="47" spans="1:23" ht="12.75" customHeight="1" x14ac:dyDescent="0.2">
      <c r="A47" s="1196"/>
      <c r="B47" s="1193"/>
      <c r="C47" s="834"/>
      <c r="D47" s="835"/>
      <c r="E47" s="836"/>
      <c r="F47" s="837" t="s">
        <v>298</v>
      </c>
      <c r="G47" s="771">
        <v>0</v>
      </c>
      <c r="H47" s="771">
        <v>0</v>
      </c>
      <c r="I47" s="797">
        <v>0</v>
      </c>
      <c r="J47" s="838">
        <f t="shared" si="7"/>
        <v>0</v>
      </c>
      <c r="K47" s="839">
        <f t="shared" si="0"/>
        <v>0</v>
      </c>
      <c r="L47" s="740"/>
      <c r="M47" s="800">
        <v>0</v>
      </c>
      <c r="N47" s="801">
        <f t="shared" si="1"/>
        <v>0</v>
      </c>
      <c r="O47" s="800">
        <v>0</v>
      </c>
      <c r="P47" s="802">
        <f t="shared" si="2"/>
        <v>0</v>
      </c>
      <c r="Q47" s="803">
        <v>0</v>
      </c>
      <c r="R47" s="801">
        <f t="shared" si="3"/>
        <v>0</v>
      </c>
      <c r="S47" s="804">
        <f t="shared" si="6"/>
        <v>0</v>
      </c>
      <c r="U47" s="808">
        <v>53205080000000</v>
      </c>
      <c r="V47" s="809" t="s">
        <v>106</v>
      </c>
      <c r="W47" s="810">
        <v>0</v>
      </c>
    </row>
    <row r="48" spans="1:23" ht="12.75" customHeight="1" x14ac:dyDescent="0.2">
      <c r="A48" s="1196"/>
      <c r="B48" s="1193"/>
      <c r="C48" s="834"/>
      <c r="D48" s="835"/>
      <c r="E48" s="836"/>
      <c r="F48" s="837" t="s">
        <v>298</v>
      </c>
      <c r="G48" s="771">
        <v>0</v>
      </c>
      <c r="H48" s="771">
        <v>0</v>
      </c>
      <c r="I48" s="797">
        <v>0</v>
      </c>
      <c r="J48" s="838">
        <f t="shared" si="7"/>
        <v>0</v>
      </c>
      <c r="K48" s="839">
        <f t="shared" si="0"/>
        <v>0</v>
      </c>
      <c r="L48" s="740"/>
      <c r="M48" s="800">
        <v>0</v>
      </c>
      <c r="N48" s="801">
        <f t="shared" si="1"/>
        <v>0</v>
      </c>
      <c r="O48" s="800">
        <v>0</v>
      </c>
      <c r="P48" s="802">
        <f t="shared" si="2"/>
        <v>0</v>
      </c>
      <c r="Q48" s="803">
        <v>0</v>
      </c>
      <c r="R48" s="801">
        <f t="shared" si="3"/>
        <v>0</v>
      </c>
      <c r="S48" s="804">
        <f t="shared" si="6"/>
        <v>0</v>
      </c>
      <c r="U48" s="808">
        <v>53205990000000</v>
      </c>
      <c r="V48" s="809" t="s">
        <v>107</v>
      </c>
      <c r="W48" s="810">
        <v>0</v>
      </c>
    </row>
    <row r="49" spans="1:23" ht="12.75" customHeight="1" x14ac:dyDescent="0.2">
      <c r="A49" s="1196"/>
      <c r="B49" s="1193"/>
      <c r="C49" s="834"/>
      <c r="D49" s="835"/>
      <c r="E49" s="836"/>
      <c r="F49" s="837" t="s">
        <v>298</v>
      </c>
      <c r="G49" s="771">
        <v>0</v>
      </c>
      <c r="H49" s="771">
        <v>0</v>
      </c>
      <c r="I49" s="797">
        <v>0</v>
      </c>
      <c r="J49" s="838">
        <f t="shared" si="7"/>
        <v>0</v>
      </c>
      <c r="K49" s="839">
        <f t="shared" si="0"/>
        <v>0</v>
      </c>
      <c r="L49" s="740"/>
      <c r="M49" s="800">
        <v>0</v>
      </c>
      <c r="N49" s="801">
        <f t="shared" si="1"/>
        <v>0</v>
      </c>
      <c r="O49" s="800">
        <v>0</v>
      </c>
      <c r="P49" s="802">
        <f t="shared" si="2"/>
        <v>0</v>
      </c>
      <c r="Q49" s="803">
        <v>0</v>
      </c>
      <c r="R49" s="801">
        <f t="shared" si="3"/>
        <v>0</v>
      </c>
      <c r="S49" s="804">
        <f t="shared" si="6"/>
        <v>0</v>
      </c>
      <c r="U49" s="805"/>
      <c r="V49" s="806" t="s">
        <v>108</v>
      </c>
      <c r="W49" s="807">
        <f>SUM(W50:W59)</f>
        <v>1600000</v>
      </c>
    </row>
    <row r="50" spans="1:23" ht="12.75" customHeight="1" x14ac:dyDescent="0.2">
      <c r="A50" s="1196"/>
      <c r="B50" s="1193"/>
      <c r="C50" s="834"/>
      <c r="D50" s="835"/>
      <c r="E50" s="836"/>
      <c r="F50" s="837" t="s">
        <v>298</v>
      </c>
      <c r="G50" s="771">
        <v>0</v>
      </c>
      <c r="H50" s="771">
        <v>0</v>
      </c>
      <c r="I50" s="797">
        <v>0</v>
      </c>
      <c r="J50" s="838">
        <f t="shared" si="7"/>
        <v>0</v>
      </c>
      <c r="K50" s="839">
        <f t="shared" si="0"/>
        <v>0</v>
      </c>
      <c r="L50" s="740"/>
      <c r="M50" s="800">
        <v>0</v>
      </c>
      <c r="N50" s="801">
        <f t="shared" si="1"/>
        <v>0</v>
      </c>
      <c r="O50" s="800">
        <v>0</v>
      </c>
      <c r="P50" s="802">
        <f t="shared" si="2"/>
        <v>0</v>
      </c>
      <c r="Q50" s="803">
        <v>0</v>
      </c>
      <c r="R50" s="801">
        <f t="shared" si="3"/>
        <v>0</v>
      </c>
      <c r="S50" s="804">
        <f t="shared" si="6"/>
        <v>0</v>
      </c>
      <c r="U50" s="808">
        <v>53203010200000</v>
      </c>
      <c r="V50" s="809" t="s">
        <v>109</v>
      </c>
      <c r="W50" s="810">
        <v>0</v>
      </c>
    </row>
    <row r="51" spans="1:23" ht="12.75" customHeight="1" x14ac:dyDescent="0.2">
      <c r="A51" s="1196"/>
      <c r="B51" s="1193"/>
      <c r="C51" s="834"/>
      <c r="D51" s="835"/>
      <c r="E51" s="836"/>
      <c r="F51" s="837" t="s">
        <v>298</v>
      </c>
      <c r="G51" s="771">
        <v>0</v>
      </c>
      <c r="H51" s="771">
        <v>0</v>
      </c>
      <c r="I51" s="797">
        <v>0</v>
      </c>
      <c r="J51" s="838">
        <f t="shared" si="7"/>
        <v>0</v>
      </c>
      <c r="K51" s="839">
        <f t="shared" si="0"/>
        <v>0</v>
      </c>
      <c r="L51" s="740"/>
      <c r="M51" s="800">
        <v>0</v>
      </c>
      <c r="N51" s="801">
        <f t="shared" si="1"/>
        <v>0</v>
      </c>
      <c r="O51" s="800">
        <v>0</v>
      </c>
      <c r="P51" s="802">
        <f t="shared" si="2"/>
        <v>0</v>
      </c>
      <c r="Q51" s="803">
        <v>0</v>
      </c>
      <c r="R51" s="801">
        <f t="shared" si="3"/>
        <v>0</v>
      </c>
      <c r="S51" s="804">
        <f t="shared" si="6"/>
        <v>0</v>
      </c>
      <c r="U51" s="808">
        <v>53204010000000</v>
      </c>
      <c r="V51" s="809" t="s">
        <v>110</v>
      </c>
      <c r="W51" s="810">
        <v>800000</v>
      </c>
    </row>
    <row r="52" spans="1:23" ht="12.75" customHeight="1" x14ac:dyDescent="0.2">
      <c r="A52" s="1196"/>
      <c r="B52" s="1193"/>
      <c r="C52" s="834"/>
      <c r="D52" s="835"/>
      <c r="E52" s="836"/>
      <c r="F52" s="837" t="s">
        <v>298</v>
      </c>
      <c r="G52" s="771">
        <v>0</v>
      </c>
      <c r="H52" s="771">
        <v>0</v>
      </c>
      <c r="I52" s="797">
        <v>0</v>
      </c>
      <c r="J52" s="838">
        <f t="shared" si="7"/>
        <v>0</v>
      </c>
      <c r="K52" s="839">
        <f t="shared" si="0"/>
        <v>0</v>
      </c>
      <c r="L52" s="740"/>
      <c r="M52" s="800">
        <v>0</v>
      </c>
      <c r="N52" s="801">
        <f t="shared" si="1"/>
        <v>0</v>
      </c>
      <c r="O52" s="800">
        <v>0</v>
      </c>
      <c r="P52" s="802">
        <f t="shared" si="2"/>
        <v>0</v>
      </c>
      <c r="Q52" s="803">
        <v>0</v>
      </c>
      <c r="R52" s="801">
        <f t="shared" si="3"/>
        <v>0</v>
      </c>
      <c r="S52" s="804">
        <f t="shared" si="6"/>
        <v>0</v>
      </c>
      <c r="U52" s="808">
        <v>53204040200000</v>
      </c>
      <c r="V52" s="809" t="s">
        <v>111</v>
      </c>
      <c r="W52" s="810">
        <v>0</v>
      </c>
    </row>
    <row r="53" spans="1:23" ht="12.75" customHeight="1" x14ac:dyDescent="0.2">
      <c r="A53" s="1196"/>
      <c r="B53" s="1193"/>
      <c r="C53" s="834"/>
      <c r="D53" s="835"/>
      <c r="E53" s="836"/>
      <c r="F53" s="837" t="s">
        <v>298</v>
      </c>
      <c r="G53" s="771">
        <v>0</v>
      </c>
      <c r="H53" s="771">
        <v>0</v>
      </c>
      <c r="I53" s="797">
        <v>0</v>
      </c>
      <c r="J53" s="838">
        <f t="shared" si="7"/>
        <v>0</v>
      </c>
      <c r="K53" s="839">
        <f t="shared" si="0"/>
        <v>0</v>
      </c>
      <c r="L53" s="740"/>
      <c r="M53" s="800">
        <v>0</v>
      </c>
      <c r="N53" s="801">
        <f t="shared" si="1"/>
        <v>0</v>
      </c>
      <c r="O53" s="800">
        <v>0</v>
      </c>
      <c r="P53" s="802">
        <f t="shared" si="2"/>
        <v>0</v>
      </c>
      <c r="Q53" s="803">
        <v>0</v>
      </c>
      <c r="R53" s="801">
        <f t="shared" si="3"/>
        <v>0</v>
      </c>
      <c r="S53" s="804">
        <f t="shared" si="6"/>
        <v>0</v>
      </c>
      <c r="U53" s="808">
        <v>53204060000000</v>
      </c>
      <c r="V53" s="809" t="s">
        <v>112</v>
      </c>
      <c r="W53" s="810">
        <v>0</v>
      </c>
    </row>
    <row r="54" spans="1:23" ht="12.75" customHeight="1" x14ac:dyDescent="0.2">
      <c r="A54" s="1196"/>
      <c r="B54" s="1193"/>
      <c r="C54" s="834"/>
      <c r="D54" s="835"/>
      <c r="E54" s="836"/>
      <c r="F54" s="837" t="s">
        <v>298</v>
      </c>
      <c r="G54" s="771">
        <v>0</v>
      </c>
      <c r="H54" s="771">
        <v>0</v>
      </c>
      <c r="I54" s="797">
        <v>0</v>
      </c>
      <c r="J54" s="838">
        <f t="shared" si="7"/>
        <v>0</v>
      </c>
      <c r="K54" s="839">
        <f t="shared" si="0"/>
        <v>0</v>
      </c>
      <c r="L54" s="740"/>
      <c r="M54" s="800">
        <v>0</v>
      </c>
      <c r="N54" s="801">
        <f t="shared" si="1"/>
        <v>0</v>
      </c>
      <c r="O54" s="800">
        <v>0</v>
      </c>
      <c r="P54" s="802">
        <f t="shared" si="2"/>
        <v>0</v>
      </c>
      <c r="Q54" s="803">
        <v>0</v>
      </c>
      <c r="R54" s="801">
        <f t="shared" si="3"/>
        <v>0</v>
      </c>
      <c r="S54" s="804">
        <f t="shared" si="6"/>
        <v>0</v>
      </c>
      <c r="U54" s="808">
        <v>53204070000000</v>
      </c>
      <c r="V54" s="809" t="s">
        <v>164</v>
      </c>
      <c r="W54" s="810">
        <v>800000</v>
      </c>
    </row>
    <row r="55" spans="1:23" ht="12.75" customHeight="1" x14ac:dyDescent="0.2">
      <c r="A55" s="1196"/>
      <c r="B55" s="1193"/>
      <c r="C55" s="834"/>
      <c r="D55" s="835"/>
      <c r="E55" s="836"/>
      <c r="F55" s="837" t="s">
        <v>298</v>
      </c>
      <c r="G55" s="771">
        <v>0</v>
      </c>
      <c r="H55" s="771">
        <v>0</v>
      </c>
      <c r="I55" s="797">
        <v>0</v>
      </c>
      <c r="J55" s="838">
        <f t="shared" si="7"/>
        <v>0</v>
      </c>
      <c r="K55" s="839">
        <f t="shared" si="0"/>
        <v>0</v>
      </c>
      <c r="L55" s="740"/>
      <c r="M55" s="800">
        <v>0</v>
      </c>
      <c r="N55" s="801">
        <f t="shared" si="1"/>
        <v>0</v>
      </c>
      <c r="O55" s="800">
        <v>0</v>
      </c>
      <c r="P55" s="802">
        <f t="shared" si="2"/>
        <v>0</v>
      </c>
      <c r="Q55" s="803">
        <v>0</v>
      </c>
      <c r="R55" s="801">
        <f t="shared" si="3"/>
        <v>0</v>
      </c>
      <c r="S55" s="804">
        <f t="shared" si="6"/>
        <v>0</v>
      </c>
      <c r="U55" s="808">
        <v>53204080000000</v>
      </c>
      <c r="V55" s="809" t="s">
        <v>114</v>
      </c>
      <c r="W55" s="810">
        <v>0</v>
      </c>
    </row>
    <row r="56" spans="1:23" ht="12.75" customHeight="1" x14ac:dyDescent="0.2">
      <c r="A56" s="1196"/>
      <c r="B56" s="1193"/>
      <c r="C56" s="834"/>
      <c r="D56" s="835"/>
      <c r="E56" s="836"/>
      <c r="F56" s="837" t="s">
        <v>298</v>
      </c>
      <c r="G56" s="771">
        <v>0</v>
      </c>
      <c r="H56" s="771">
        <v>0</v>
      </c>
      <c r="I56" s="797">
        <v>0</v>
      </c>
      <c r="J56" s="838">
        <f t="shared" si="7"/>
        <v>0</v>
      </c>
      <c r="K56" s="839">
        <f t="shared" si="0"/>
        <v>0</v>
      </c>
      <c r="L56" s="740"/>
      <c r="M56" s="800">
        <v>0</v>
      </c>
      <c r="N56" s="801">
        <f t="shared" si="1"/>
        <v>0</v>
      </c>
      <c r="O56" s="800">
        <v>0</v>
      </c>
      <c r="P56" s="802">
        <f t="shared" si="2"/>
        <v>0</v>
      </c>
      <c r="Q56" s="803">
        <v>0</v>
      </c>
      <c r="R56" s="801">
        <f t="shared" si="3"/>
        <v>0</v>
      </c>
      <c r="S56" s="804">
        <f t="shared" si="6"/>
        <v>0</v>
      </c>
      <c r="U56" s="808">
        <v>53214010000000</v>
      </c>
      <c r="V56" s="809" t="s">
        <v>115</v>
      </c>
      <c r="W56" s="810">
        <v>0</v>
      </c>
    </row>
    <row r="57" spans="1:23" ht="12.75" customHeight="1" x14ac:dyDescent="0.2">
      <c r="A57" s="1196"/>
      <c r="B57" s="1193"/>
      <c r="C57" s="834"/>
      <c r="D57" s="835"/>
      <c r="E57" s="836"/>
      <c r="F57" s="837" t="s">
        <v>298</v>
      </c>
      <c r="G57" s="771">
        <v>0</v>
      </c>
      <c r="H57" s="771">
        <v>0</v>
      </c>
      <c r="I57" s="797">
        <v>0</v>
      </c>
      <c r="J57" s="838">
        <f t="shared" si="7"/>
        <v>0</v>
      </c>
      <c r="K57" s="839">
        <f t="shared" si="0"/>
        <v>0</v>
      </c>
      <c r="L57" s="740"/>
      <c r="M57" s="800">
        <v>0</v>
      </c>
      <c r="N57" s="801">
        <f t="shared" si="1"/>
        <v>0</v>
      </c>
      <c r="O57" s="800">
        <v>0</v>
      </c>
      <c r="P57" s="802">
        <f t="shared" si="2"/>
        <v>0</v>
      </c>
      <c r="Q57" s="803">
        <v>0</v>
      </c>
      <c r="R57" s="801">
        <f t="shared" si="3"/>
        <v>0</v>
      </c>
      <c r="S57" s="804">
        <f t="shared" si="6"/>
        <v>0</v>
      </c>
      <c r="U57" s="808">
        <v>53214040000000</v>
      </c>
      <c r="V57" s="809" t="s">
        <v>116</v>
      </c>
      <c r="W57" s="810">
        <v>0</v>
      </c>
    </row>
    <row r="58" spans="1:23" ht="12.75" customHeight="1" x14ac:dyDescent="0.2">
      <c r="A58" s="1196"/>
      <c r="B58" s="1193"/>
      <c r="C58" s="834"/>
      <c r="D58" s="835"/>
      <c r="E58" s="836"/>
      <c r="F58" s="837" t="s">
        <v>298</v>
      </c>
      <c r="G58" s="771">
        <v>0</v>
      </c>
      <c r="H58" s="771">
        <v>0</v>
      </c>
      <c r="I58" s="797">
        <v>0</v>
      </c>
      <c r="J58" s="838">
        <f t="shared" si="7"/>
        <v>0</v>
      </c>
      <c r="K58" s="839">
        <f t="shared" si="0"/>
        <v>0</v>
      </c>
      <c r="L58" s="740"/>
      <c r="M58" s="800">
        <v>0</v>
      </c>
      <c r="N58" s="801">
        <f t="shared" si="1"/>
        <v>0</v>
      </c>
      <c r="O58" s="800">
        <v>0</v>
      </c>
      <c r="P58" s="802">
        <f t="shared" si="2"/>
        <v>0</v>
      </c>
      <c r="Q58" s="803">
        <v>0</v>
      </c>
      <c r="R58" s="801">
        <f t="shared" si="3"/>
        <v>0</v>
      </c>
      <c r="S58" s="804">
        <f t="shared" si="6"/>
        <v>0</v>
      </c>
      <c r="U58" s="808">
        <v>55201010100004</v>
      </c>
      <c r="V58" s="809" t="s">
        <v>117</v>
      </c>
      <c r="W58" s="810">
        <v>0</v>
      </c>
    </row>
    <row r="59" spans="1:23" ht="12.75" customHeight="1" x14ac:dyDescent="0.2">
      <c r="A59" s="1196"/>
      <c r="B59" s="1193"/>
      <c r="C59" s="834"/>
      <c r="D59" s="835"/>
      <c r="E59" s="836"/>
      <c r="F59" s="837" t="s">
        <v>298</v>
      </c>
      <c r="G59" s="771">
        <v>0</v>
      </c>
      <c r="H59" s="771">
        <v>0</v>
      </c>
      <c r="I59" s="797">
        <v>0</v>
      </c>
      <c r="J59" s="838">
        <f t="shared" si="7"/>
        <v>0</v>
      </c>
      <c r="K59" s="839">
        <f t="shared" si="0"/>
        <v>0</v>
      </c>
      <c r="L59" s="740"/>
      <c r="M59" s="800">
        <v>0</v>
      </c>
      <c r="N59" s="801">
        <f t="shared" si="1"/>
        <v>0</v>
      </c>
      <c r="O59" s="800">
        <v>0</v>
      </c>
      <c r="P59" s="802">
        <f t="shared" si="2"/>
        <v>0</v>
      </c>
      <c r="Q59" s="803">
        <v>0</v>
      </c>
      <c r="R59" s="801">
        <f t="shared" si="3"/>
        <v>0</v>
      </c>
      <c r="S59" s="804">
        <f t="shared" si="6"/>
        <v>0</v>
      </c>
      <c r="U59" s="808">
        <v>55201010100005</v>
      </c>
      <c r="V59" s="809" t="s">
        <v>118</v>
      </c>
      <c r="W59" s="810">
        <v>0</v>
      </c>
    </row>
    <row r="60" spans="1:23" ht="12.75" customHeight="1" x14ac:dyDescent="0.2">
      <c r="A60" s="1196"/>
      <c r="B60" s="1193"/>
      <c r="C60" s="834"/>
      <c r="D60" s="835"/>
      <c r="E60" s="836"/>
      <c r="F60" s="837" t="s">
        <v>298</v>
      </c>
      <c r="G60" s="771">
        <v>0</v>
      </c>
      <c r="H60" s="771">
        <v>0</v>
      </c>
      <c r="I60" s="797">
        <v>0</v>
      </c>
      <c r="J60" s="838">
        <f t="shared" si="7"/>
        <v>0</v>
      </c>
      <c r="K60" s="839">
        <f t="shared" si="0"/>
        <v>0</v>
      </c>
      <c r="L60" s="740"/>
      <c r="M60" s="800">
        <v>0</v>
      </c>
      <c r="N60" s="801">
        <f t="shared" si="1"/>
        <v>0</v>
      </c>
      <c r="O60" s="800">
        <v>0</v>
      </c>
      <c r="P60" s="802">
        <f t="shared" si="2"/>
        <v>0</v>
      </c>
      <c r="Q60" s="803">
        <v>0</v>
      </c>
      <c r="R60" s="801">
        <f t="shared" si="3"/>
        <v>0</v>
      </c>
      <c r="S60" s="804">
        <f t="shared" si="6"/>
        <v>0</v>
      </c>
      <c r="U60" s="805"/>
      <c r="V60" s="806" t="s">
        <v>119</v>
      </c>
      <c r="W60" s="807">
        <f>SUM(W61:W69)</f>
        <v>0</v>
      </c>
    </row>
    <row r="61" spans="1:23" ht="12.75" customHeight="1" thickBot="1" x14ac:dyDescent="0.25">
      <c r="A61" s="1197"/>
      <c r="B61" s="1194"/>
      <c r="C61" s="815"/>
      <c r="D61" s="816"/>
      <c r="E61" s="817"/>
      <c r="F61" s="818" t="s">
        <v>298</v>
      </c>
      <c r="G61" s="819">
        <v>0</v>
      </c>
      <c r="H61" s="819">
        <v>0</v>
      </c>
      <c r="I61" s="820">
        <v>0</v>
      </c>
      <c r="J61" s="821">
        <f t="shared" si="7"/>
        <v>0</v>
      </c>
      <c r="K61" s="822">
        <f t="shared" si="0"/>
        <v>0</v>
      </c>
      <c r="L61" s="740"/>
      <c r="M61" s="840">
        <v>0</v>
      </c>
      <c r="N61" s="841">
        <f t="shared" si="1"/>
        <v>0</v>
      </c>
      <c r="O61" s="840">
        <v>0</v>
      </c>
      <c r="P61" s="842">
        <f t="shared" si="2"/>
        <v>0</v>
      </c>
      <c r="Q61" s="843">
        <v>0</v>
      </c>
      <c r="R61" s="841">
        <f t="shared" si="3"/>
        <v>0</v>
      </c>
      <c r="S61" s="827">
        <f t="shared" si="6"/>
        <v>0</v>
      </c>
      <c r="U61" s="808">
        <v>53207010000000</v>
      </c>
      <c r="V61" s="809" t="s">
        <v>120</v>
      </c>
      <c r="W61" s="810">
        <v>0</v>
      </c>
    </row>
    <row r="62" spans="1:23" ht="12.75" customHeight="1" thickBot="1" x14ac:dyDescent="0.25">
      <c r="K62" s="844">
        <f>SUM(K15:K61)</f>
        <v>63417472.964999996</v>
      </c>
      <c r="M62" s="985">
        <f>+N62/$K$62</f>
        <v>0.50908454105098067</v>
      </c>
      <c r="N62" s="846">
        <f>SUM(N15:N61)</f>
        <v>32284855.118999999</v>
      </c>
      <c r="O62" s="845">
        <f>+P62/$K$62</f>
        <v>0.34545772947450964</v>
      </c>
      <c r="P62" s="846">
        <f>SUM(P15:P61)</f>
        <v>21908056.219499998</v>
      </c>
      <c r="Q62" s="845">
        <f>+R62/$K$62</f>
        <v>0.14545772947450966</v>
      </c>
      <c r="R62" s="846">
        <f>SUM(R15:R61)</f>
        <v>9224561.6264999993</v>
      </c>
      <c r="U62" s="808">
        <v>53207020000000</v>
      </c>
      <c r="V62" s="809" t="s">
        <v>121</v>
      </c>
      <c r="W62" s="810">
        <v>0</v>
      </c>
    </row>
    <row r="63" spans="1:23" ht="12.75" customHeight="1" x14ac:dyDescent="0.2">
      <c r="K63" s="847">
        <v>1</v>
      </c>
      <c r="U63" s="808">
        <v>53208020000000</v>
      </c>
      <c r="V63" s="809" t="s">
        <v>122</v>
      </c>
      <c r="W63" s="810">
        <v>0</v>
      </c>
    </row>
    <row r="64" spans="1:23" ht="12.75" customHeight="1" thickBot="1" x14ac:dyDescent="0.25">
      <c r="U64" s="808">
        <v>53208990000000</v>
      </c>
      <c r="V64" s="809" t="s">
        <v>123</v>
      </c>
      <c r="W64" s="810">
        <v>0</v>
      </c>
    </row>
    <row r="65" spans="1:23" ht="12.75" customHeight="1" x14ac:dyDescent="0.2">
      <c r="A65" s="1198" t="s">
        <v>338</v>
      </c>
      <c r="B65" s="1186" t="s">
        <v>165</v>
      </c>
      <c r="C65" s="767"/>
      <c r="D65" s="768"/>
      <c r="E65" s="769"/>
      <c r="F65" s="770" t="s">
        <v>339</v>
      </c>
      <c r="G65" s="772">
        <v>0</v>
      </c>
      <c r="H65" s="772">
        <v>0</v>
      </c>
      <c r="I65" s="773">
        <v>0</v>
      </c>
      <c r="J65" s="774">
        <f t="shared" si="5"/>
        <v>0</v>
      </c>
      <c r="K65" s="775">
        <f t="shared" si="0"/>
        <v>0</v>
      </c>
      <c r="L65" s="740"/>
      <c r="U65" s="808">
        <v>53209010000000</v>
      </c>
      <c r="V65" s="809" t="s">
        <v>124</v>
      </c>
      <c r="W65" s="810">
        <v>0</v>
      </c>
    </row>
    <row r="66" spans="1:23" ht="12.75" customHeight="1" x14ac:dyDescent="0.2">
      <c r="A66" s="1199"/>
      <c r="B66" s="1187"/>
      <c r="C66" s="848"/>
      <c r="D66" s="849"/>
      <c r="E66" s="850"/>
      <c r="F66" s="851" t="s">
        <v>339</v>
      </c>
      <c r="G66" s="771">
        <v>0</v>
      </c>
      <c r="H66" s="771">
        <v>0</v>
      </c>
      <c r="I66" s="797">
        <v>0</v>
      </c>
      <c r="J66" s="798">
        <f t="shared" si="5"/>
        <v>0</v>
      </c>
      <c r="K66" s="799">
        <f t="shared" si="0"/>
        <v>0</v>
      </c>
      <c r="L66" s="740"/>
      <c r="U66" s="808">
        <v>53209040000000</v>
      </c>
      <c r="V66" s="809" t="s">
        <v>125</v>
      </c>
      <c r="W66" s="810">
        <v>0</v>
      </c>
    </row>
    <row r="67" spans="1:23" ht="12.75" customHeight="1" x14ac:dyDescent="0.2">
      <c r="A67" s="1199"/>
      <c r="B67" s="1187"/>
      <c r="C67" s="848"/>
      <c r="D67" s="849"/>
      <c r="E67" s="850"/>
      <c r="F67" s="851" t="s">
        <v>339</v>
      </c>
      <c r="G67" s="771">
        <v>0</v>
      </c>
      <c r="H67" s="771">
        <v>0</v>
      </c>
      <c r="I67" s="797">
        <v>0</v>
      </c>
      <c r="J67" s="798">
        <f t="shared" si="5"/>
        <v>0</v>
      </c>
      <c r="K67" s="799">
        <f t="shared" si="0"/>
        <v>0</v>
      </c>
      <c r="L67" s="740"/>
      <c r="U67" s="808">
        <v>53209050000000</v>
      </c>
      <c r="V67" s="809" t="s">
        <v>126</v>
      </c>
      <c r="W67" s="810">
        <v>0</v>
      </c>
    </row>
    <row r="68" spans="1:23" ht="12.75" customHeight="1" x14ac:dyDescent="0.2">
      <c r="A68" s="1199"/>
      <c r="B68" s="1187"/>
      <c r="C68" s="793"/>
      <c r="D68" s="794"/>
      <c r="E68" s="795"/>
      <c r="F68" s="796" t="s">
        <v>339</v>
      </c>
      <c r="G68" s="771">
        <v>0</v>
      </c>
      <c r="H68" s="771">
        <v>0</v>
      </c>
      <c r="I68" s="797">
        <v>0</v>
      </c>
      <c r="J68" s="798">
        <f t="shared" si="5"/>
        <v>0</v>
      </c>
      <c r="K68" s="799">
        <f t="shared" si="0"/>
        <v>0</v>
      </c>
      <c r="L68" s="740"/>
      <c r="U68" s="808">
        <v>53209990000000</v>
      </c>
      <c r="V68" s="809" t="s">
        <v>127</v>
      </c>
      <c r="W68" s="810">
        <v>0</v>
      </c>
    </row>
    <row r="69" spans="1:23" ht="12.75" customHeight="1" thickBot="1" x14ac:dyDescent="0.25">
      <c r="A69" s="1200"/>
      <c r="B69" s="1188"/>
      <c r="C69" s="815"/>
      <c r="D69" s="816"/>
      <c r="E69" s="817"/>
      <c r="F69" s="818" t="s">
        <v>339</v>
      </c>
      <c r="G69" s="819">
        <v>0</v>
      </c>
      <c r="H69" s="819">
        <v>0</v>
      </c>
      <c r="I69" s="820">
        <v>0</v>
      </c>
      <c r="J69" s="821">
        <f t="shared" si="5"/>
        <v>0</v>
      </c>
      <c r="K69" s="822">
        <f t="shared" si="0"/>
        <v>0</v>
      </c>
      <c r="L69" s="740"/>
      <c r="U69" s="808">
        <v>53210020100000</v>
      </c>
      <c r="V69" s="809" t="s">
        <v>128</v>
      </c>
      <c r="W69" s="810">
        <v>0</v>
      </c>
    </row>
    <row r="70" spans="1:23" ht="15.75" x14ac:dyDescent="0.2">
      <c r="C70" s="739"/>
      <c r="D70" s="739"/>
      <c r="E70" s="852"/>
      <c r="F70" s="852"/>
      <c r="G70" s="852"/>
      <c r="H70" s="852"/>
      <c r="I70" s="852"/>
      <c r="K70" s="853">
        <f>SUM(K65:K69)</f>
        <v>0</v>
      </c>
      <c r="L70" s="740"/>
      <c r="U70" s="805"/>
      <c r="V70" s="806" t="s">
        <v>129</v>
      </c>
      <c r="W70" s="807">
        <f>SUM(W71:W77)</f>
        <v>0</v>
      </c>
    </row>
    <row r="71" spans="1:23" ht="15" x14ac:dyDescent="0.2">
      <c r="K71" s="847">
        <v>1</v>
      </c>
      <c r="L71" s="740"/>
      <c r="M71" s="854"/>
      <c r="O71" s="854"/>
      <c r="Q71" s="854"/>
      <c r="U71" s="808">
        <v>53206030000000</v>
      </c>
      <c r="V71" s="809" t="s">
        <v>130</v>
      </c>
      <c r="W71" s="810">
        <v>0</v>
      </c>
    </row>
    <row r="72" spans="1:23" ht="15.75" thickBot="1" x14ac:dyDescent="0.25">
      <c r="L72" s="740"/>
      <c r="U72" s="808">
        <v>53206040000000</v>
      </c>
      <c r="V72" s="809" t="s">
        <v>131</v>
      </c>
      <c r="W72" s="810">
        <v>0</v>
      </c>
    </row>
    <row r="73" spans="1:23" ht="15" x14ac:dyDescent="0.2">
      <c r="B73" s="1186" t="s">
        <v>340</v>
      </c>
      <c r="C73" s="767"/>
      <c r="D73" s="768"/>
      <c r="E73" s="769"/>
      <c r="F73" s="770" t="s">
        <v>339</v>
      </c>
      <c r="G73" s="772">
        <v>0</v>
      </c>
      <c r="H73" s="772">
        <v>0</v>
      </c>
      <c r="I73" s="773">
        <v>0</v>
      </c>
      <c r="J73" s="774">
        <f t="shared" ref="J73:J77" si="8">SUM(G73:I73)</f>
        <v>0</v>
      </c>
      <c r="K73" s="775">
        <f t="shared" ref="K73:K77" si="9">+J73*(1+$K$11)</f>
        <v>0</v>
      </c>
      <c r="U73" s="808">
        <v>53206060000000</v>
      </c>
      <c r="V73" s="809" t="s">
        <v>132</v>
      </c>
      <c r="W73" s="810">
        <v>0</v>
      </c>
    </row>
    <row r="74" spans="1:23" ht="15" x14ac:dyDescent="0.2">
      <c r="B74" s="1187"/>
      <c r="C74" s="848"/>
      <c r="D74" s="849"/>
      <c r="E74" s="850"/>
      <c r="F74" s="851" t="s">
        <v>339</v>
      </c>
      <c r="G74" s="771">
        <v>0</v>
      </c>
      <c r="H74" s="771">
        <v>0</v>
      </c>
      <c r="I74" s="797">
        <v>0</v>
      </c>
      <c r="J74" s="798">
        <f t="shared" si="8"/>
        <v>0</v>
      </c>
      <c r="K74" s="799">
        <f t="shared" si="9"/>
        <v>0</v>
      </c>
      <c r="U74" s="808">
        <v>53206070000000</v>
      </c>
      <c r="V74" s="809" t="s">
        <v>133</v>
      </c>
      <c r="W74" s="810">
        <v>0</v>
      </c>
    </row>
    <row r="75" spans="1:23" ht="15.75" customHeight="1" x14ac:dyDescent="0.2">
      <c r="B75" s="1187"/>
      <c r="C75" s="848"/>
      <c r="D75" s="849"/>
      <c r="E75" s="850"/>
      <c r="F75" s="851" t="s">
        <v>339</v>
      </c>
      <c r="G75" s="771">
        <v>0</v>
      </c>
      <c r="H75" s="771">
        <v>0</v>
      </c>
      <c r="I75" s="797">
        <v>0</v>
      </c>
      <c r="J75" s="798">
        <f t="shared" si="8"/>
        <v>0</v>
      </c>
      <c r="K75" s="799">
        <f t="shared" si="9"/>
        <v>0</v>
      </c>
      <c r="U75" s="808">
        <v>53206990000000</v>
      </c>
      <c r="V75" s="809" t="s">
        <v>134</v>
      </c>
      <c r="W75" s="810">
        <v>0</v>
      </c>
    </row>
    <row r="76" spans="1:23" ht="15" x14ac:dyDescent="0.2">
      <c r="B76" s="1187"/>
      <c r="C76" s="793"/>
      <c r="D76" s="794"/>
      <c r="E76" s="795"/>
      <c r="F76" s="796" t="s">
        <v>339</v>
      </c>
      <c r="G76" s="771">
        <v>0</v>
      </c>
      <c r="H76" s="771">
        <v>0</v>
      </c>
      <c r="I76" s="797">
        <v>0</v>
      </c>
      <c r="J76" s="798">
        <f t="shared" si="8"/>
        <v>0</v>
      </c>
      <c r="K76" s="799">
        <f t="shared" si="9"/>
        <v>0</v>
      </c>
      <c r="U76" s="808">
        <v>53208030000000</v>
      </c>
      <c r="V76" s="809" t="s">
        <v>135</v>
      </c>
      <c r="W76" s="810">
        <v>0</v>
      </c>
    </row>
    <row r="77" spans="1:23" ht="15.75" thickBot="1" x14ac:dyDescent="0.25">
      <c r="B77" s="1188"/>
      <c r="C77" s="815"/>
      <c r="D77" s="816"/>
      <c r="E77" s="817"/>
      <c r="F77" s="818" t="s">
        <v>339</v>
      </c>
      <c r="G77" s="819">
        <v>0</v>
      </c>
      <c r="H77" s="819">
        <v>0</v>
      </c>
      <c r="I77" s="820">
        <v>0</v>
      </c>
      <c r="J77" s="821">
        <f t="shared" si="8"/>
        <v>0</v>
      </c>
      <c r="K77" s="822">
        <f t="shared" si="9"/>
        <v>0</v>
      </c>
      <c r="U77" s="808">
        <v>53212060000000</v>
      </c>
      <c r="V77" s="809" t="s">
        <v>136</v>
      </c>
      <c r="W77" s="810">
        <v>0</v>
      </c>
    </row>
    <row r="78" spans="1:23" ht="15.75" x14ac:dyDescent="0.2">
      <c r="C78" s="739"/>
      <c r="D78" s="739"/>
      <c r="E78" s="852"/>
      <c r="F78" s="852"/>
      <c r="G78" s="852"/>
      <c r="H78" s="852"/>
      <c r="I78" s="852"/>
      <c r="K78" s="853">
        <f>SUM(K73:K77)</f>
        <v>0</v>
      </c>
      <c r="U78" s="805"/>
      <c r="V78" s="806" t="s">
        <v>137</v>
      </c>
      <c r="W78" s="807">
        <f>SUM(W79:W79)</f>
        <v>0</v>
      </c>
    </row>
    <row r="79" spans="1:23" ht="15.75" thickBot="1" x14ac:dyDescent="0.25">
      <c r="K79" s="847">
        <v>1</v>
      </c>
      <c r="U79" s="808">
        <v>53204999000000</v>
      </c>
      <c r="V79" s="809" t="s">
        <v>139</v>
      </c>
      <c r="W79" s="810">
        <v>0</v>
      </c>
    </row>
    <row r="80" spans="1:23" ht="15" x14ac:dyDescent="0.2">
      <c r="B80" s="1186" t="s">
        <v>341</v>
      </c>
      <c r="C80" s="767"/>
      <c r="D80" s="768"/>
      <c r="E80" s="769"/>
      <c r="F80" s="770" t="s">
        <v>339</v>
      </c>
      <c r="G80" s="772">
        <v>0</v>
      </c>
      <c r="H80" s="772">
        <v>0</v>
      </c>
      <c r="I80" s="773">
        <v>0</v>
      </c>
      <c r="J80" s="774">
        <f t="shared" ref="J80:J84" si="10">SUM(G80:I80)</f>
        <v>0</v>
      </c>
      <c r="K80" s="775">
        <f t="shared" ref="K80:K84" si="11">+J80*(1+$K$11)</f>
        <v>0</v>
      </c>
      <c r="U80" s="855"/>
      <c r="V80" s="856" t="s">
        <v>166</v>
      </c>
      <c r="W80" s="857">
        <f>+W40+W15</f>
        <v>3100000</v>
      </c>
    </row>
    <row r="81" spans="2:11" ht="15" x14ac:dyDescent="0.2">
      <c r="B81" s="1187"/>
      <c r="C81" s="848"/>
      <c r="D81" s="849"/>
      <c r="E81" s="850"/>
      <c r="F81" s="851" t="s">
        <v>339</v>
      </c>
      <c r="G81" s="771">
        <v>0</v>
      </c>
      <c r="H81" s="771">
        <v>0</v>
      </c>
      <c r="I81" s="797">
        <v>0</v>
      </c>
      <c r="J81" s="798">
        <f t="shared" si="10"/>
        <v>0</v>
      </c>
      <c r="K81" s="799">
        <f t="shared" si="11"/>
        <v>0</v>
      </c>
    </row>
    <row r="82" spans="2:11" ht="15" x14ac:dyDescent="0.2">
      <c r="B82" s="1187"/>
      <c r="C82" s="848"/>
      <c r="D82" s="849"/>
      <c r="E82" s="850"/>
      <c r="F82" s="851" t="s">
        <v>339</v>
      </c>
      <c r="G82" s="771">
        <v>0</v>
      </c>
      <c r="H82" s="771">
        <v>0</v>
      </c>
      <c r="I82" s="797">
        <v>0</v>
      </c>
      <c r="J82" s="798">
        <f t="shared" si="10"/>
        <v>0</v>
      </c>
      <c r="K82" s="799">
        <f t="shared" si="11"/>
        <v>0</v>
      </c>
    </row>
    <row r="83" spans="2:11" ht="15.75" customHeight="1" x14ac:dyDescent="0.2">
      <c r="B83" s="1187"/>
      <c r="C83" s="793"/>
      <c r="D83" s="794"/>
      <c r="E83" s="795"/>
      <c r="F83" s="796" t="s">
        <v>339</v>
      </c>
      <c r="G83" s="771">
        <v>0</v>
      </c>
      <c r="H83" s="771">
        <v>0</v>
      </c>
      <c r="I83" s="797">
        <v>0</v>
      </c>
      <c r="J83" s="798">
        <f t="shared" si="10"/>
        <v>0</v>
      </c>
      <c r="K83" s="799">
        <f t="shared" si="11"/>
        <v>0</v>
      </c>
    </row>
    <row r="84" spans="2:11" ht="15.75" thickBot="1" x14ac:dyDescent="0.25">
      <c r="B84" s="1188"/>
      <c r="C84" s="815"/>
      <c r="D84" s="816"/>
      <c r="E84" s="817"/>
      <c r="F84" s="818" t="s">
        <v>339</v>
      </c>
      <c r="G84" s="819">
        <v>0</v>
      </c>
      <c r="H84" s="819">
        <v>0</v>
      </c>
      <c r="I84" s="820">
        <v>0</v>
      </c>
      <c r="J84" s="821">
        <f t="shared" si="10"/>
        <v>0</v>
      </c>
      <c r="K84" s="822">
        <f t="shared" si="11"/>
        <v>0</v>
      </c>
    </row>
    <row r="85" spans="2:11" ht="15.75" x14ac:dyDescent="0.2">
      <c r="C85" s="739"/>
      <c r="D85" s="739"/>
      <c r="E85" s="852"/>
      <c r="F85" s="852"/>
      <c r="G85" s="852"/>
      <c r="H85" s="852"/>
      <c r="I85" s="852"/>
      <c r="K85" s="853">
        <f>SUM(K80:K84)</f>
        <v>0</v>
      </c>
    </row>
    <row r="86" spans="2:11" x14ac:dyDescent="0.2">
      <c r="K86" s="847">
        <v>1</v>
      </c>
    </row>
    <row r="97" spans="11:12" x14ac:dyDescent="0.2">
      <c r="L97" s="858"/>
    </row>
    <row r="99" spans="11:12" x14ac:dyDescent="0.2">
      <c r="K99" s="859"/>
    </row>
    <row r="101" spans="11:12" x14ac:dyDescent="0.2">
      <c r="K101" s="860"/>
    </row>
  </sheetData>
  <mergeCells count="45">
    <mergeCell ref="AN9:AS10"/>
    <mergeCell ref="A9:H9"/>
    <mergeCell ref="M9:S10"/>
    <mergeCell ref="U9:W10"/>
    <mergeCell ref="Z9:AE10"/>
    <mergeCell ref="AG9:AL10"/>
    <mergeCell ref="Z13:AA13"/>
    <mergeCell ref="M12:R12"/>
    <mergeCell ref="A13:B14"/>
    <mergeCell ref="C13:C14"/>
    <mergeCell ref="D13:D14"/>
    <mergeCell ref="E13:E14"/>
    <mergeCell ref="F13:F14"/>
    <mergeCell ref="G13:J13"/>
    <mergeCell ref="K13:K14"/>
    <mergeCell ref="M13:N13"/>
    <mergeCell ref="O13:P13"/>
    <mergeCell ref="Q13:R13"/>
    <mergeCell ref="S13:S14"/>
    <mergeCell ref="U13:U14"/>
    <mergeCell ref="V13:V14"/>
    <mergeCell ref="W13:W14"/>
    <mergeCell ref="AP15:AQ15"/>
    <mergeCell ref="AR15:AS15"/>
    <mergeCell ref="AB13:AC13"/>
    <mergeCell ref="AD13:AE13"/>
    <mergeCell ref="AG13:AH13"/>
    <mergeCell ref="AI13:AJ13"/>
    <mergeCell ref="AK13:AL13"/>
    <mergeCell ref="AN13:AO13"/>
    <mergeCell ref="AP13:AQ13"/>
    <mergeCell ref="AR13:AS13"/>
    <mergeCell ref="AN14:AO14"/>
    <mergeCell ref="AP14:AQ14"/>
    <mergeCell ref="AR14:AS14"/>
    <mergeCell ref="A15:A61"/>
    <mergeCell ref="B15:B24"/>
    <mergeCell ref="A65:A69"/>
    <mergeCell ref="B65:B69"/>
    <mergeCell ref="AN15:AO15"/>
    <mergeCell ref="B73:B77"/>
    <mergeCell ref="B80:B84"/>
    <mergeCell ref="B25:B34"/>
    <mergeCell ref="B35:B39"/>
    <mergeCell ref="B40:B61"/>
  </mergeCells>
  <conditionalFormatting sqref="S15:S61">
    <cfRule type="cellIs" dxfId="5" priority="1" operator="equal">
      <formula>1</formula>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249977111117893"/>
  </sheetPr>
  <dimension ref="A1:R29"/>
  <sheetViews>
    <sheetView showGridLines="0" zoomScale="90" zoomScaleNormal="90" workbookViewId="0">
      <selection activeCell="F4" sqref="F4:G4"/>
    </sheetView>
  </sheetViews>
  <sheetFormatPr baseColWidth="10" defaultRowHeight="15" x14ac:dyDescent="0.25"/>
  <cols>
    <col min="1" max="1" width="28" style="5" customWidth="1"/>
    <col min="2" max="2" width="44.28515625" style="5" bestFit="1" customWidth="1"/>
    <col min="3" max="3" width="14.140625" style="5" customWidth="1"/>
    <col min="4" max="4" width="14.140625" style="5" bestFit="1" customWidth="1"/>
    <col min="5" max="18" width="14.140625" style="5" customWidth="1"/>
  </cols>
  <sheetData>
    <row r="1" spans="1:18" x14ac:dyDescent="0.25">
      <c r="A1" s="2"/>
      <c r="B1" s="1"/>
      <c r="C1" s="2"/>
      <c r="D1" s="2"/>
      <c r="E1" s="2"/>
      <c r="F1" s="3"/>
      <c r="G1" s="2"/>
      <c r="H1" s="2"/>
      <c r="I1" s="2"/>
      <c r="J1" s="2"/>
      <c r="K1" s="2"/>
      <c r="L1" s="2"/>
      <c r="M1" s="2"/>
      <c r="N1" s="2"/>
      <c r="O1" s="2"/>
      <c r="P1" s="2"/>
      <c r="Q1" s="2"/>
      <c r="R1" s="2"/>
    </row>
    <row r="2" spans="1:18" x14ac:dyDescent="0.25">
      <c r="A2" s="2"/>
      <c r="B2" s="4"/>
      <c r="C2" s="2"/>
      <c r="D2" s="2"/>
      <c r="E2" s="2"/>
      <c r="F2" s="3" t="s">
        <v>167</v>
      </c>
      <c r="G2" s="2"/>
      <c r="H2" s="2"/>
      <c r="I2" s="2"/>
      <c r="J2" s="2"/>
      <c r="K2" s="2"/>
      <c r="L2" s="188"/>
      <c r="M2" s="2"/>
      <c r="N2" s="2"/>
      <c r="O2" s="2"/>
      <c r="P2" s="2"/>
      <c r="Q2" s="2"/>
      <c r="R2" s="2"/>
    </row>
    <row r="3" spans="1:18" x14ac:dyDescent="0.25">
      <c r="A3" s="2"/>
      <c r="C3" s="2"/>
      <c r="D3" s="2"/>
      <c r="E3" s="2"/>
      <c r="F3" s="2"/>
      <c r="G3" s="2"/>
      <c r="H3" s="2"/>
      <c r="I3" s="2"/>
      <c r="J3" s="2"/>
      <c r="K3" s="2"/>
      <c r="L3" s="2"/>
      <c r="M3" s="189"/>
      <c r="N3" s="2"/>
      <c r="O3" s="2"/>
      <c r="P3" s="2"/>
      <c r="Q3" s="2"/>
      <c r="R3" s="2"/>
    </row>
    <row r="4" spans="1:18" ht="15.75" x14ac:dyDescent="0.25">
      <c r="A4" s="2"/>
      <c r="C4" s="8"/>
      <c r="D4" s="2"/>
      <c r="E4" s="8" t="s">
        <v>1</v>
      </c>
      <c r="F4" s="1271" t="s">
        <v>35</v>
      </c>
      <c r="G4" s="1272"/>
      <c r="H4" s="8"/>
      <c r="I4" s="8"/>
      <c r="J4" s="8"/>
      <c r="K4" s="8"/>
      <c r="L4" s="8"/>
      <c r="M4" s="8"/>
      <c r="N4" s="8"/>
      <c r="O4" s="8"/>
      <c r="P4" s="8"/>
      <c r="Q4" s="8"/>
      <c r="R4" s="8"/>
    </row>
    <row r="5" spans="1:18" x14ac:dyDescent="0.25">
      <c r="A5" s="2"/>
      <c r="C5" s="8"/>
      <c r="D5" s="2"/>
      <c r="E5" s="8"/>
      <c r="F5" s="3"/>
      <c r="G5" s="3"/>
      <c r="H5" s="8"/>
      <c r="I5" s="8"/>
      <c r="J5" s="8"/>
      <c r="K5" s="8"/>
      <c r="L5" s="8"/>
      <c r="M5" s="8"/>
      <c r="N5" s="8"/>
      <c r="O5" s="8"/>
      <c r="P5" s="8"/>
      <c r="Q5" s="8"/>
      <c r="R5" s="8"/>
    </row>
    <row r="6" spans="1:18" ht="15.75" x14ac:dyDescent="0.25">
      <c r="A6" s="1273" t="s">
        <v>168</v>
      </c>
      <c r="B6" s="1273"/>
      <c r="C6" s="8"/>
      <c r="D6" s="2"/>
      <c r="E6" s="8"/>
      <c r="F6" s="3"/>
      <c r="G6" s="3"/>
      <c r="H6" s="8"/>
      <c r="I6" s="8"/>
      <c r="J6" s="8"/>
      <c r="K6" s="8"/>
      <c r="L6" s="8"/>
      <c r="M6" s="8"/>
      <c r="N6" s="8"/>
      <c r="O6" s="8"/>
      <c r="P6" s="8"/>
      <c r="Q6" s="8"/>
      <c r="R6" s="8"/>
    </row>
    <row r="7" spans="1:18" ht="15.75" thickBot="1" x14ac:dyDescent="0.3">
      <c r="A7" s="2"/>
      <c r="B7" s="3"/>
      <c r="C7" s="3"/>
      <c r="D7" s="3"/>
      <c r="E7" s="3"/>
      <c r="F7" s="3"/>
      <c r="G7" s="3"/>
      <c r="H7" s="3"/>
      <c r="I7" s="3"/>
      <c r="J7" s="3"/>
      <c r="K7" s="3"/>
      <c r="L7" s="3"/>
      <c r="M7" s="3"/>
      <c r="N7" s="3"/>
      <c r="O7" s="3"/>
      <c r="P7" s="3"/>
      <c r="Q7" s="3"/>
      <c r="R7" s="3"/>
    </row>
    <row r="8" spans="1:18" ht="15.75" x14ac:dyDescent="0.25">
      <c r="A8" s="1274" t="s">
        <v>3</v>
      </c>
      <c r="B8" s="1276" t="s">
        <v>23</v>
      </c>
      <c r="C8" s="1278" t="s">
        <v>352</v>
      </c>
      <c r="D8" s="1279"/>
      <c r="E8" s="1279"/>
      <c r="F8" s="1280"/>
      <c r="G8" s="1260" t="s">
        <v>353</v>
      </c>
      <c r="H8" s="1260"/>
      <c r="I8" s="1260"/>
      <c r="J8" s="1260"/>
      <c r="K8" s="1259" t="s">
        <v>169</v>
      </c>
      <c r="L8" s="1260"/>
      <c r="M8" s="1260"/>
      <c r="N8" s="1261"/>
      <c r="O8" s="1260" t="s">
        <v>170</v>
      </c>
      <c r="P8" s="1260"/>
      <c r="Q8" s="1260"/>
      <c r="R8" s="1261"/>
    </row>
    <row r="9" spans="1:18" ht="15.75" thickBot="1" x14ac:dyDescent="0.3">
      <c r="A9" s="1275" t="e">
        <f>NA()</f>
        <v>#N/A</v>
      </c>
      <c r="B9" s="1277" t="e">
        <f>NA()</f>
        <v>#N/A</v>
      </c>
      <c r="C9" s="190" t="s">
        <v>27</v>
      </c>
      <c r="D9" s="191" t="s">
        <v>171</v>
      </c>
      <c r="E9" s="191" t="s">
        <v>172</v>
      </c>
      <c r="F9" s="192" t="s">
        <v>173</v>
      </c>
      <c r="G9" s="193" t="s">
        <v>27</v>
      </c>
      <c r="H9" s="194" t="s">
        <v>171</v>
      </c>
      <c r="I9" s="194" t="s">
        <v>172</v>
      </c>
      <c r="J9" s="195" t="s">
        <v>173</v>
      </c>
      <c r="K9" s="196" t="s">
        <v>27</v>
      </c>
      <c r="L9" s="194" t="s">
        <v>171</v>
      </c>
      <c r="M9" s="194" t="s">
        <v>172</v>
      </c>
      <c r="N9" s="197" t="s">
        <v>173</v>
      </c>
      <c r="O9" s="193" t="s">
        <v>27</v>
      </c>
      <c r="P9" s="194" t="s">
        <v>171</v>
      </c>
      <c r="Q9" s="194" t="s">
        <v>172</v>
      </c>
      <c r="R9" s="197" t="s">
        <v>173</v>
      </c>
    </row>
    <row r="10" spans="1:18" x14ac:dyDescent="0.25">
      <c r="A10" s="1247" t="str">
        <f>+'B) Reajuste Tarifas y Ocupación'!A12</f>
        <v>C. H. Hanga Roa</v>
      </c>
      <c r="B10" s="408" t="str">
        <f>+'B) Reajuste Tarifas y Ocupación'!B12</f>
        <v>Simple</v>
      </c>
      <c r="C10" s="412">
        <f>+'B) Reajuste Tarifas y Ocupación'!J12</f>
        <v>37000</v>
      </c>
      <c r="D10" s="413">
        <f>+'B) Reajuste Tarifas y Ocupación'!K12</f>
        <v>56900</v>
      </c>
      <c r="E10" s="413">
        <f>+'B) Reajuste Tarifas y Ocupación'!L12</f>
        <v>67800</v>
      </c>
      <c r="F10" s="414">
        <f>+'B) Reajuste Tarifas y Ocupación'!M12</f>
        <v>71000</v>
      </c>
      <c r="G10" s="424">
        <f>+'B) Reajuste Tarifas y Ocupación'!C12</f>
        <v>35400</v>
      </c>
      <c r="H10" s="425">
        <f>+'B) Reajuste Tarifas y Ocupación'!D12</f>
        <v>54400</v>
      </c>
      <c r="I10" s="425">
        <f>+'B) Reajuste Tarifas y Ocupación'!E12</f>
        <v>64800</v>
      </c>
      <c r="J10" s="426">
        <f>+'B) Reajuste Tarifas y Ocupación'!F12</f>
        <v>67900</v>
      </c>
      <c r="K10" s="445">
        <f t="shared" ref="K10:N22" si="0">C10-G10</f>
        <v>1600</v>
      </c>
      <c r="L10" s="446">
        <f t="shared" si="0"/>
        <v>2500</v>
      </c>
      <c r="M10" s="446">
        <f t="shared" si="0"/>
        <v>3000</v>
      </c>
      <c r="N10" s="447">
        <f t="shared" si="0"/>
        <v>3100</v>
      </c>
      <c r="O10" s="448">
        <f>+P10</f>
        <v>4.4999999999999998E-2</v>
      </c>
      <c r="P10" s="436">
        <f>+'B) Reajuste Tarifas y Ocupación'!G12</f>
        <v>4.4999999999999998E-2</v>
      </c>
      <c r="Q10" s="436">
        <f>+'B) Reajuste Tarifas y Ocupación'!H12</f>
        <v>4.4999999999999998E-2</v>
      </c>
      <c r="R10" s="437">
        <f>+'B) Reajuste Tarifas y Ocupación'!I12</f>
        <v>4.4999999999999998E-2</v>
      </c>
    </row>
    <row r="11" spans="1:18" x14ac:dyDescent="0.25">
      <c r="A11" s="1262"/>
      <c r="B11" s="410" t="str">
        <f>+'B) Reajuste Tarifas y Ocupación'!B13</f>
        <v>Doble (Cama Matrimonial + cama plaza 1 1/2)</v>
      </c>
      <c r="C11" s="418">
        <f>+'B) Reajuste Tarifas y Ocupación'!J13</f>
        <v>55000</v>
      </c>
      <c r="D11" s="419">
        <f>+'B) Reajuste Tarifas y Ocupación'!K13</f>
        <v>84500</v>
      </c>
      <c r="E11" s="419">
        <f>+'B) Reajuste Tarifas y Ocupación'!L13</f>
        <v>100500</v>
      </c>
      <c r="F11" s="420">
        <f>+'B) Reajuste Tarifas y Ocupación'!M13</f>
        <v>105300</v>
      </c>
      <c r="G11" s="433">
        <f>+'B) Reajuste Tarifas y Ocupación'!C13</f>
        <v>52600</v>
      </c>
      <c r="H11" s="434">
        <f>+'B) Reajuste Tarifas y Ocupación'!D13</f>
        <v>80800</v>
      </c>
      <c r="I11" s="434">
        <f>+'B) Reajuste Tarifas y Ocupación'!E13</f>
        <v>96100</v>
      </c>
      <c r="J11" s="435">
        <f>+'B) Reajuste Tarifas y Ocupación'!F13</f>
        <v>100700</v>
      </c>
      <c r="K11" s="449">
        <f t="shared" si="0"/>
        <v>2400</v>
      </c>
      <c r="L11" s="450">
        <f t="shared" si="0"/>
        <v>3700</v>
      </c>
      <c r="M11" s="450">
        <f t="shared" si="0"/>
        <v>4400</v>
      </c>
      <c r="N11" s="451">
        <f t="shared" si="0"/>
        <v>4600</v>
      </c>
      <c r="O11" s="452">
        <f t="shared" ref="O11:O22" si="1">+P11</f>
        <v>4.4999999999999998E-2</v>
      </c>
      <c r="P11" s="438">
        <f>+'B) Reajuste Tarifas y Ocupación'!G13</f>
        <v>4.4999999999999998E-2</v>
      </c>
      <c r="Q11" s="438">
        <f>+'B) Reajuste Tarifas y Ocupación'!H13</f>
        <v>4.4999999999999998E-2</v>
      </c>
      <c r="R11" s="439">
        <f>+'B) Reajuste Tarifas y Ocupación'!I13</f>
        <v>4.4999999999999998E-2</v>
      </c>
    </row>
    <row r="12" spans="1:18" x14ac:dyDescent="0.25">
      <c r="A12" s="1262"/>
      <c r="B12" s="411" t="str">
        <f>+'B) Reajuste Tarifas y Ocupación'!B14</f>
        <v>Matrimonial</v>
      </c>
      <c r="C12" s="421">
        <f>+'B) Reajuste Tarifas y Ocupación'!J14</f>
        <v>50600</v>
      </c>
      <c r="D12" s="422">
        <f>+'B) Reajuste Tarifas y Ocupación'!K14</f>
        <v>77800</v>
      </c>
      <c r="E12" s="422">
        <f>+'B) Reajuste Tarifas y Ocupación'!L14</f>
        <v>92500</v>
      </c>
      <c r="F12" s="423">
        <f>+'B) Reajuste Tarifas y Ocupación'!M14</f>
        <v>96900</v>
      </c>
      <c r="G12" s="427">
        <f>+'B) Reajuste Tarifas y Ocupación'!C14</f>
        <v>48400</v>
      </c>
      <c r="H12" s="428">
        <f>+'B) Reajuste Tarifas y Ocupación'!D14</f>
        <v>74400</v>
      </c>
      <c r="I12" s="428">
        <f>+'B) Reajuste Tarifas y Ocupación'!E14</f>
        <v>88500</v>
      </c>
      <c r="J12" s="429">
        <f>+'B) Reajuste Tarifas y Ocupación'!F14</f>
        <v>92700</v>
      </c>
      <c r="K12" s="449">
        <f t="shared" si="0"/>
        <v>2200</v>
      </c>
      <c r="L12" s="450">
        <f t="shared" si="0"/>
        <v>3400</v>
      </c>
      <c r="M12" s="450">
        <f t="shared" si="0"/>
        <v>4000</v>
      </c>
      <c r="N12" s="451">
        <f t="shared" si="0"/>
        <v>4200</v>
      </c>
      <c r="O12" s="452">
        <f t="shared" si="1"/>
        <v>4.4999999999999998E-2</v>
      </c>
      <c r="P12" s="440">
        <f>+'B) Reajuste Tarifas y Ocupación'!G14</f>
        <v>4.4999999999999998E-2</v>
      </c>
      <c r="Q12" s="440">
        <f>+'B) Reajuste Tarifas y Ocupación'!H14</f>
        <v>4.4999999999999998E-2</v>
      </c>
      <c r="R12" s="441">
        <f>+'B) Reajuste Tarifas y Ocupación'!I14</f>
        <v>4.4999999999999998E-2</v>
      </c>
    </row>
    <row r="13" spans="1:18" x14ac:dyDescent="0.25">
      <c r="A13" s="1262"/>
      <c r="B13" s="453" t="str">
        <f>+'B) Reajuste Tarifas y Ocupación'!B15</f>
        <v>Early check in/Late check out/Uso por tránsito</v>
      </c>
      <c r="C13" s="1263"/>
      <c r="D13" s="1264"/>
      <c r="E13" s="1264"/>
      <c r="F13" s="1265"/>
      <c r="G13" s="1266"/>
      <c r="H13" s="1267"/>
      <c r="I13" s="1267"/>
      <c r="J13" s="1267"/>
      <c r="K13" s="1078"/>
      <c r="L13" s="1257"/>
      <c r="M13" s="1257"/>
      <c r="N13" s="1268"/>
      <c r="O13" s="1269"/>
      <c r="P13" s="1269"/>
      <c r="Q13" s="1269"/>
      <c r="R13" s="1270"/>
    </row>
    <row r="14" spans="1:18" x14ac:dyDescent="0.25">
      <c r="A14" s="1262"/>
      <c r="B14" s="454" t="str">
        <f>+'B) Reajuste Tarifas y Ocupación'!B16</f>
        <v>Simple</v>
      </c>
      <c r="C14" s="455"/>
      <c r="D14" s="422">
        <f>+'B) Reajuste Tarifas y Ocupación'!K16</f>
        <v>17100</v>
      </c>
      <c r="E14" s="422">
        <f>+'B) Reajuste Tarifas y Ocupación'!L16</f>
        <v>20400</v>
      </c>
      <c r="F14" s="423">
        <f>+'B) Reajuste Tarifas y Ocupación'!M16</f>
        <v>21300</v>
      </c>
      <c r="G14" s="456"/>
      <c r="H14" s="428">
        <f>+'B) Reajuste Tarifas y Ocupación'!D16</f>
        <v>16400</v>
      </c>
      <c r="I14" s="428">
        <f>+'B) Reajuste Tarifas y Ocupación'!E16</f>
        <v>19500</v>
      </c>
      <c r="J14" s="457">
        <f>+'B) Reajuste Tarifas y Ocupación'!F16</f>
        <v>20400</v>
      </c>
      <c r="K14" s="458"/>
      <c r="L14" s="450">
        <f t="shared" si="0"/>
        <v>700</v>
      </c>
      <c r="M14" s="450">
        <f t="shared" si="0"/>
        <v>900</v>
      </c>
      <c r="N14" s="451">
        <f t="shared" si="0"/>
        <v>900</v>
      </c>
      <c r="O14" s="459"/>
      <c r="P14" s="460"/>
      <c r="Q14" s="460"/>
      <c r="R14" s="461"/>
    </row>
    <row r="15" spans="1:18" x14ac:dyDescent="0.25">
      <c r="A15" s="1262"/>
      <c r="B15" s="454" t="str">
        <f>+'B) Reajuste Tarifas y Ocupación'!B17</f>
        <v>Doble</v>
      </c>
      <c r="C15" s="455"/>
      <c r="D15" s="422">
        <f>+'B) Reajuste Tarifas y Ocupación'!K17</f>
        <v>25400</v>
      </c>
      <c r="E15" s="422">
        <f>+'B) Reajuste Tarifas y Ocupación'!L17</f>
        <v>30200</v>
      </c>
      <c r="F15" s="423">
        <f>+'B) Reajuste Tarifas y Ocupación'!M17</f>
        <v>31600</v>
      </c>
      <c r="G15" s="456"/>
      <c r="H15" s="428">
        <f>+'B) Reajuste Tarifas y Ocupación'!D17</f>
        <v>24300</v>
      </c>
      <c r="I15" s="428">
        <f>+'B) Reajuste Tarifas y Ocupación'!E17</f>
        <v>28900</v>
      </c>
      <c r="J15" s="457">
        <f>+'B) Reajuste Tarifas y Ocupación'!F17</f>
        <v>30300</v>
      </c>
      <c r="K15" s="458"/>
      <c r="L15" s="450">
        <f t="shared" si="0"/>
        <v>1100</v>
      </c>
      <c r="M15" s="450">
        <f t="shared" si="0"/>
        <v>1300</v>
      </c>
      <c r="N15" s="451">
        <f t="shared" si="0"/>
        <v>1300</v>
      </c>
      <c r="O15" s="459"/>
      <c r="P15" s="460"/>
      <c r="Q15" s="460"/>
      <c r="R15" s="461"/>
    </row>
    <row r="16" spans="1:18" ht="15.75" thickBot="1" x14ac:dyDescent="0.3">
      <c r="A16" s="1248"/>
      <c r="B16" s="462" t="str">
        <f>+'B) Reajuste Tarifas y Ocupación'!B18</f>
        <v>Matrimonial</v>
      </c>
      <c r="C16" s="198"/>
      <c r="D16" s="416">
        <f>+'B) Reajuste Tarifas y Ocupación'!K18</f>
        <v>23400</v>
      </c>
      <c r="E16" s="416">
        <f>+'B) Reajuste Tarifas y Ocupación'!L18</f>
        <v>27800</v>
      </c>
      <c r="F16" s="417">
        <f>+'B) Reajuste Tarifas y Ocupación'!M18</f>
        <v>29100</v>
      </c>
      <c r="G16" s="463"/>
      <c r="H16" s="464">
        <f>+'B) Reajuste Tarifas y Ocupación'!D18</f>
        <v>22400</v>
      </c>
      <c r="I16" s="464">
        <f>+'B) Reajuste Tarifas y Ocupación'!E18</f>
        <v>26600</v>
      </c>
      <c r="J16" s="465">
        <f>+'B) Reajuste Tarifas y Ocupación'!F18</f>
        <v>27900</v>
      </c>
      <c r="K16" s="199"/>
      <c r="L16" s="68">
        <f t="shared" si="0"/>
        <v>1000</v>
      </c>
      <c r="M16" s="68">
        <f t="shared" si="0"/>
        <v>1200</v>
      </c>
      <c r="N16" s="200">
        <f t="shared" si="0"/>
        <v>1200</v>
      </c>
      <c r="O16" s="466"/>
      <c r="P16" s="467"/>
      <c r="Q16" s="467"/>
      <c r="R16" s="468"/>
    </row>
    <row r="17" spans="1:18" x14ac:dyDescent="0.25">
      <c r="A17" s="1247" t="str">
        <f>+'B) Reajuste Tarifas y Ocupación'!A19</f>
        <v>Salon de Eventos y Quinchos</v>
      </c>
      <c r="B17" s="408" t="str">
        <f>+'B) Reajuste Tarifas y Ocupación'!B19</f>
        <v>Salón de Eventos (de 1 a 20 personas)</v>
      </c>
      <c r="C17" s="470"/>
      <c r="D17" s="208">
        <f>+'B) Reajuste Tarifas y Ocupación'!K19</f>
        <v>37300</v>
      </c>
      <c r="E17" s="208">
        <f>+'B) Reajuste Tarifas y Ocupación'!L19</f>
        <v>35900</v>
      </c>
      <c r="F17" s="471">
        <f>+'B) Reajuste Tarifas y Ocupación'!M19</f>
        <v>63800</v>
      </c>
      <c r="G17" s="472"/>
      <c r="H17" s="431">
        <f>+'B) Reajuste Tarifas y Ocupación'!D19</f>
        <v>35600</v>
      </c>
      <c r="I17" s="431">
        <f>+'B) Reajuste Tarifas y Ocupación'!E19</f>
        <v>34300</v>
      </c>
      <c r="J17" s="473">
        <f>+'B) Reajuste Tarifas y Ocupación'!F19</f>
        <v>61000</v>
      </c>
      <c r="K17" s="474"/>
      <c r="L17" s="446">
        <f t="shared" si="0"/>
        <v>1700</v>
      </c>
      <c r="M17" s="446">
        <f t="shared" si="0"/>
        <v>1600</v>
      </c>
      <c r="N17" s="447">
        <f t="shared" si="0"/>
        <v>2800</v>
      </c>
      <c r="O17" s="448">
        <f t="shared" si="1"/>
        <v>4.4999999999999998E-2</v>
      </c>
      <c r="P17" s="436">
        <f>+'B) Reajuste Tarifas y Ocupación'!G19</f>
        <v>4.4999999999999998E-2</v>
      </c>
      <c r="Q17" s="436">
        <f>+'B) Reajuste Tarifas y Ocupación'!H19</f>
        <v>4.4999999999999998E-2</v>
      </c>
      <c r="R17" s="437">
        <f>+'B) Reajuste Tarifas y Ocupación'!I19</f>
        <v>4.4999999999999998E-2</v>
      </c>
    </row>
    <row r="18" spans="1:18" ht="15.75" thickBot="1" x14ac:dyDescent="0.3">
      <c r="A18" s="1248"/>
      <c r="B18" s="410" t="str">
        <f>+'B) Reajuste Tarifas y Ocupación'!B20</f>
        <v>Salón de Eventos (persona adicional)</v>
      </c>
      <c r="C18" s="485"/>
      <c r="D18" s="419">
        <f>+'B) Reajuste Tarifas y Ocupación'!K20</f>
        <v>2000</v>
      </c>
      <c r="E18" s="419">
        <f>+'B) Reajuste Tarifas y Ocupación'!L20</f>
        <v>2500</v>
      </c>
      <c r="F18" s="420">
        <f>+'B) Reajuste Tarifas y Ocupación'!M20</f>
        <v>2600</v>
      </c>
      <c r="G18" s="493"/>
      <c r="H18" s="434">
        <f>+'B) Reajuste Tarifas y Ocupación'!D20</f>
        <v>1900</v>
      </c>
      <c r="I18" s="434">
        <f>+'B) Reajuste Tarifas y Ocupación'!E20</f>
        <v>2300</v>
      </c>
      <c r="J18" s="494">
        <f>+'B) Reajuste Tarifas y Ocupación'!F20</f>
        <v>2400</v>
      </c>
      <c r="K18" s="476"/>
      <c r="L18" s="477">
        <f t="shared" si="0"/>
        <v>100</v>
      </c>
      <c r="M18" s="477">
        <f t="shared" si="0"/>
        <v>200</v>
      </c>
      <c r="N18" s="478">
        <f t="shared" si="0"/>
        <v>200</v>
      </c>
      <c r="O18" s="500">
        <f t="shared" si="1"/>
        <v>4.4999999999999998E-2</v>
      </c>
      <c r="P18" s="438">
        <f>+'B) Reajuste Tarifas y Ocupación'!G20</f>
        <v>4.4999999999999998E-2</v>
      </c>
      <c r="Q18" s="438">
        <f>+'B) Reajuste Tarifas y Ocupación'!H20</f>
        <v>4.4999999999999998E-2</v>
      </c>
      <c r="R18" s="439">
        <f>+'B) Reajuste Tarifas y Ocupación'!I20</f>
        <v>4.4999999999999998E-2</v>
      </c>
    </row>
    <row r="19" spans="1:18" x14ac:dyDescent="0.25">
      <c r="A19" s="1249" t="str">
        <f>+'B) Reajuste Tarifas y Ocupación'!A23</f>
        <v>C.H. Archipielago Juan Fernandez</v>
      </c>
      <c r="B19" s="480" t="str">
        <f>+'B) Reajuste Tarifas y Ocupación'!B23</f>
        <v>Simple</v>
      </c>
      <c r="C19" s="486">
        <f>+'B) Reajuste Tarifas y Ocupación'!J23</f>
        <v>18000</v>
      </c>
      <c r="D19" s="208">
        <f>+'B) Reajuste Tarifas y Ocupación'!K23</f>
        <v>27600</v>
      </c>
      <c r="E19" s="208">
        <f>+'B) Reajuste Tarifas y Ocupación'!L23</f>
        <v>34400</v>
      </c>
      <c r="F19" s="487">
        <f>+'B) Reajuste Tarifas y Ocupación'!M23</f>
        <v>37600</v>
      </c>
      <c r="G19" s="430">
        <f>+'B) Reajuste Tarifas y Ocupación'!C23</f>
        <v>17200</v>
      </c>
      <c r="H19" s="431">
        <f>+'B) Reajuste Tarifas y Ocupación'!D23</f>
        <v>26400</v>
      </c>
      <c r="I19" s="431">
        <f>+'B) Reajuste Tarifas y Ocupación'!E23</f>
        <v>32900</v>
      </c>
      <c r="J19" s="432">
        <f>+'B) Reajuste Tarifas y Ocupación'!F23</f>
        <v>35900</v>
      </c>
      <c r="K19" s="490">
        <f t="shared" ref="K19:K22" si="2">C19-G19</f>
        <v>800</v>
      </c>
      <c r="L19" s="444">
        <f t="shared" si="0"/>
        <v>1200</v>
      </c>
      <c r="M19" s="444">
        <f t="shared" si="0"/>
        <v>1500</v>
      </c>
      <c r="N19" s="498">
        <f t="shared" si="0"/>
        <v>1700</v>
      </c>
      <c r="O19" s="501">
        <f t="shared" si="1"/>
        <v>4.4999999999999998E-2</v>
      </c>
      <c r="P19" s="502">
        <f>+'B) Reajuste Tarifas y Ocupación'!G23</f>
        <v>4.4999999999999998E-2</v>
      </c>
      <c r="Q19" s="502">
        <f>+'B) Reajuste Tarifas y Ocupación'!H23</f>
        <v>4.4999999999999998E-2</v>
      </c>
      <c r="R19" s="503">
        <f>+'B) Reajuste Tarifas y Ocupación'!I23</f>
        <v>4.4999999999999998E-2</v>
      </c>
    </row>
    <row r="20" spans="1:18" x14ac:dyDescent="0.25">
      <c r="A20" s="1249"/>
      <c r="B20" s="481" t="str">
        <f>+'B) Reajuste Tarifas y Ocupación'!B24</f>
        <v>Doble</v>
      </c>
      <c r="C20" s="421">
        <f>+'B) Reajuste Tarifas y Ocupación'!J24</f>
        <v>23600</v>
      </c>
      <c r="D20" s="422">
        <f>+'B) Reajuste Tarifas y Ocupación'!K24</f>
        <v>36200</v>
      </c>
      <c r="E20" s="422">
        <f>+'B) Reajuste Tarifas y Ocupación'!L24</f>
        <v>45100</v>
      </c>
      <c r="F20" s="488">
        <f>+'B) Reajuste Tarifas y Ocupación'!M24</f>
        <v>49200</v>
      </c>
      <c r="G20" s="427">
        <f>+'B) Reajuste Tarifas y Ocupación'!C24</f>
        <v>22500</v>
      </c>
      <c r="H20" s="428">
        <f>+'B) Reajuste Tarifas y Ocupación'!D24</f>
        <v>34600</v>
      </c>
      <c r="I20" s="428">
        <f>+'B) Reajuste Tarifas y Ocupación'!E24</f>
        <v>43100</v>
      </c>
      <c r="J20" s="429">
        <f>+'B) Reajuste Tarifas y Ocupación'!F24</f>
        <v>47000</v>
      </c>
      <c r="K20" s="491">
        <f t="shared" si="2"/>
        <v>1100</v>
      </c>
      <c r="L20" s="63">
        <f t="shared" si="0"/>
        <v>1600</v>
      </c>
      <c r="M20" s="63">
        <f t="shared" si="0"/>
        <v>2000</v>
      </c>
      <c r="N20" s="499">
        <f t="shared" si="0"/>
        <v>2200</v>
      </c>
      <c r="O20" s="504">
        <f t="shared" si="1"/>
        <v>4.4999999999999998E-2</v>
      </c>
      <c r="P20" s="440">
        <f>+'B) Reajuste Tarifas y Ocupación'!G24</f>
        <v>4.4999999999999998E-2</v>
      </c>
      <c r="Q20" s="440">
        <f>+'B) Reajuste Tarifas y Ocupación'!H24</f>
        <v>4.4999999999999998E-2</v>
      </c>
      <c r="R20" s="441">
        <f>+'B) Reajuste Tarifas y Ocupación'!I24</f>
        <v>4.4999999999999998E-2</v>
      </c>
    </row>
    <row r="21" spans="1:18" x14ac:dyDescent="0.25">
      <c r="A21" s="1249"/>
      <c r="B21" s="481" t="str">
        <f>+'B) Reajuste Tarifas y Ocupación'!B25</f>
        <v>Matrimonial baño privado</v>
      </c>
      <c r="C21" s="421">
        <f>+'B) Reajuste Tarifas y Ocupación'!J25</f>
        <v>26000</v>
      </c>
      <c r="D21" s="422">
        <f>+'B) Reajuste Tarifas y Ocupación'!K25</f>
        <v>39900</v>
      </c>
      <c r="E21" s="422">
        <f>+'B) Reajuste Tarifas y Ocupación'!L25</f>
        <v>49600</v>
      </c>
      <c r="F21" s="488">
        <f>+'B) Reajuste Tarifas y Ocupación'!M25</f>
        <v>54100</v>
      </c>
      <c r="G21" s="427">
        <f>+'B) Reajuste Tarifas y Ocupación'!C25</f>
        <v>24800</v>
      </c>
      <c r="H21" s="428">
        <f>+'B) Reajuste Tarifas y Ocupación'!D25</f>
        <v>38100</v>
      </c>
      <c r="I21" s="428">
        <f>+'B) Reajuste Tarifas y Ocupación'!E25</f>
        <v>47400</v>
      </c>
      <c r="J21" s="429">
        <f>+'B) Reajuste Tarifas y Ocupación'!F25</f>
        <v>51700</v>
      </c>
      <c r="K21" s="491">
        <f t="shared" si="2"/>
        <v>1200</v>
      </c>
      <c r="L21" s="63">
        <f t="shared" si="0"/>
        <v>1800</v>
      </c>
      <c r="M21" s="63">
        <f t="shared" si="0"/>
        <v>2200</v>
      </c>
      <c r="N21" s="499">
        <f t="shared" si="0"/>
        <v>2400</v>
      </c>
      <c r="O21" s="504">
        <f t="shared" si="1"/>
        <v>4.4999999999999998E-2</v>
      </c>
      <c r="P21" s="440">
        <f>+'B) Reajuste Tarifas y Ocupación'!G25</f>
        <v>4.4999999999999998E-2</v>
      </c>
      <c r="Q21" s="440">
        <f>+'B) Reajuste Tarifas y Ocupación'!H25</f>
        <v>4.4999999999999998E-2</v>
      </c>
      <c r="R21" s="441">
        <f>+'B) Reajuste Tarifas y Ocupación'!I25</f>
        <v>4.4999999999999998E-2</v>
      </c>
    </row>
    <row r="22" spans="1:18" x14ac:dyDescent="0.25">
      <c r="A22" s="1249"/>
      <c r="B22" s="481" t="str">
        <f>+'B) Reajuste Tarifas y Ocupación'!B26</f>
        <v>Matrimonial baño compartido</v>
      </c>
      <c r="C22" s="421">
        <f>+'B) Reajuste Tarifas y Ocupación'!J26</f>
        <v>21000</v>
      </c>
      <c r="D22" s="422">
        <f>+'B) Reajuste Tarifas y Ocupación'!K26</f>
        <v>32200</v>
      </c>
      <c r="E22" s="422">
        <f>+'B) Reajuste Tarifas y Ocupación'!L26</f>
        <v>40200</v>
      </c>
      <c r="F22" s="488">
        <f>+'B) Reajuste Tarifas y Ocupación'!M26</f>
        <v>43800</v>
      </c>
      <c r="G22" s="427">
        <f>+'B) Reajuste Tarifas y Ocupación'!C26</f>
        <v>20100</v>
      </c>
      <c r="H22" s="428">
        <f>+'B) Reajuste Tarifas y Ocupación'!D26</f>
        <v>30800</v>
      </c>
      <c r="I22" s="428">
        <f>+'B) Reajuste Tarifas y Ocupación'!E26</f>
        <v>38400</v>
      </c>
      <c r="J22" s="429">
        <f>+'B) Reajuste Tarifas y Ocupación'!F26</f>
        <v>41900</v>
      </c>
      <c r="K22" s="491">
        <f t="shared" si="2"/>
        <v>900</v>
      </c>
      <c r="L22" s="63">
        <f t="shared" si="0"/>
        <v>1400</v>
      </c>
      <c r="M22" s="63">
        <f t="shared" si="0"/>
        <v>1800</v>
      </c>
      <c r="N22" s="499">
        <f t="shared" si="0"/>
        <v>1900</v>
      </c>
      <c r="O22" s="504">
        <f t="shared" si="1"/>
        <v>4.4999999999999998E-2</v>
      </c>
      <c r="P22" s="440">
        <f>+'B) Reajuste Tarifas y Ocupación'!G26</f>
        <v>4.4999999999999998E-2</v>
      </c>
      <c r="Q22" s="440">
        <f>+'B) Reajuste Tarifas y Ocupación'!H26</f>
        <v>4.4999999999999998E-2</v>
      </c>
      <c r="R22" s="441">
        <f>+'B) Reajuste Tarifas y Ocupación'!I26</f>
        <v>4.4999999999999998E-2</v>
      </c>
    </row>
    <row r="23" spans="1:18" x14ac:dyDescent="0.25">
      <c r="A23" s="1249"/>
      <c r="B23" s="482" t="str">
        <f>+'B) Reajuste Tarifas y Ocupación'!B27</f>
        <v>Early check in/Late check out/Uso por tránsito</v>
      </c>
      <c r="C23" s="1251"/>
      <c r="D23" s="1252"/>
      <c r="E23" s="1252"/>
      <c r="F23" s="1253"/>
      <c r="G23" s="1254"/>
      <c r="H23" s="1255"/>
      <c r="I23" s="1255"/>
      <c r="J23" s="1256"/>
      <c r="K23" s="1257"/>
      <c r="L23" s="1258"/>
      <c r="M23" s="1258"/>
      <c r="N23" s="1257"/>
      <c r="O23" s="505"/>
      <c r="P23" s="460"/>
      <c r="Q23" s="460"/>
      <c r="R23" s="461"/>
    </row>
    <row r="24" spans="1:18" x14ac:dyDescent="0.25">
      <c r="A24" s="1249"/>
      <c r="B24" s="483" t="str">
        <f>+'B) Reajuste Tarifas y Ocupación'!B28</f>
        <v>Simple</v>
      </c>
      <c r="C24" s="455"/>
      <c r="D24" s="422">
        <f>+'B) Reajuste Tarifas y Ocupación'!K28</f>
        <v>8300</v>
      </c>
      <c r="E24" s="422">
        <f>+'B) Reajuste Tarifas y Ocupación'!L28</f>
        <v>10400</v>
      </c>
      <c r="F24" s="488">
        <f>+'B) Reajuste Tarifas y Ocupación'!M28</f>
        <v>11300</v>
      </c>
      <c r="G24" s="495"/>
      <c r="H24" s="428">
        <f>+'B) Reajuste Tarifas y Ocupación'!D28</f>
        <v>8000</v>
      </c>
      <c r="I24" s="428">
        <f>+'B) Reajuste Tarifas y Ocupación'!E28</f>
        <v>9900</v>
      </c>
      <c r="J24" s="429">
        <f>+'B) Reajuste Tarifas y Ocupación'!F28</f>
        <v>10800</v>
      </c>
      <c r="K24" s="492"/>
      <c r="L24" s="63">
        <f t="shared" ref="L24:N29" si="3">D24-H24</f>
        <v>300</v>
      </c>
      <c r="M24" s="63">
        <f t="shared" si="3"/>
        <v>500</v>
      </c>
      <c r="N24" s="499">
        <f t="shared" si="3"/>
        <v>500</v>
      </c>
      <c r="O24" s="505"/>
      <c r="P24" s="460"/>
      <c r="Q24" s="460"/>
      <c r="R24" s="461"/>
    </row>
    <row r="25" spans="1:18" x14ac:dyDescent="0.25">
      <c r="A25" s="1249"/>
      <c r="B25" s="483" t="str">
        <f>+'B) Reajuste Tarifas y Ocupación'!B29</f>
        <v>Doble</v>
      </c>
      <c r="C25" s="455"/>
      <c r="D25" s="422">
        <f>+'B) Reajuste Tarifas y Ocupación'!K29</f>
        <v>10900</v>
      </c>
      <c r="E25" s="422">
        <f>+'B) Reajuste Tarifas y Ocupación'!L29</f>
        <v>13600</v>
      </c>
      <c r="F25" s="488">
        <f>+'B) Reajuste Tarifas y Ocupación'!M29</f>
        <v>14800</v>
      </c>
      <c r="G25" s="495"/>
      <c r="H25" s="428">
        <f>+'B) Reajuste Tarifas y Ocupación'!D29</f>
        <v>10400</v>
      </c>
      <c r="I25" s="428">
        <f>+'B) Reajuste Tarifas y Ocupación'!E29</f>
        <v>13000</v>
      </c>
      <c r="J25" s="429">
        <f>+'B) Reajuste Tarifas y Ocupación'!F29</f>
        <v>14100</v>
      </c>
      <c r="K25" s="492"/>
      <c r="L25" s="63">
        <f t="shared" si="3"/>
        <v>500</v>
      </c>
      <c r="M25" s="63">
        <f t="shared" si="3"/>
        <v>600</v>
      </c>
      <c r="N25" s="499">
        <f t="shared" si="3"/>
        <v>700</v>
      </c>
      <c r="O25" s="505"/>
      <c r="P25" s="460"/>
      <c r="Q25" s="460"/>
      <c r="R25" s="461"/>
    </row>
    <row r="26" spans="1:18" x14ac:dyDescent="0.25">
      <c r="A26" s="1249"/>
      <c r="B26" s="483" t="str">
        <f>+'B) Reajuste Tarifas y Ocupación'!B30</f>
        <v>Matrimonial baño privado</v>
      </c>
      <c r="C26" s="455"/>
      <c r="D26" s="422">
        <f>+'B) Reajuste Tarifas y Ocupación'!K30</f>
        <v>12000</v>
      </c>
      <c r="E26" s="422">
        <f>+'B) Reajuste Tarifas y Ocupación'!L30</f>
        <v>14900</v>
      </c>
      <c r="F26" s="488">
        <f>+'B) Reajuste Tarifas y Ocupación'!M30</f>
        <v>16300</v>
      </c>
      <c r="G26" s="495"/>
      <c r="H26" s="428">
        <f>+'B) Reajuste Tarifas y Ocupación'!D30</f>
        <v>11500</v>
      </c>
      <c r="I26" s="428">
        <f>+'B) Reajuste Tarifas y Ocupación'!E30</f>
        <v>14300</v>
      </c>
      <c r="J26" s="429">
        <f>+'B) Reajuste Tarifas y Ocupación'!F30</f>
        <v>15600</v>
      </c>
      <c r="K26" s="492"/>
      <c r="L26" s="63">
        <f t="shared" si="3"/>
        <v>500</v>
      </c>
      <c r="M26" s="63">
        <f t="shared" si="3"/>
        <v>600</v>
      </c>
      <c r="N26" s="499">
        <f t="shared" si="3"/>
        <v>700</v>
      </c>
      <c r="O26" s="505"/>
      <c r="P26" s="460"/>
      <c r="Q26" s="460"/>
      <c r="R26" s="461"/>
    </row>
    <row r="27" spans="1:18" ht="15.75" thickBot="1" x14ac:dyDescent="0.3">
      <c r="A27" s="1250"/>
      <c r="B27" s="484" t="str">
        <f>+'B) Reajuste Tarifas y Ocupación'!B31</f>
        <v>Matrimonial baño compartido</v>
      </c>
      <c r="C27" s="198"/>
      <c r="D27" s="416">
        <f>+'B) Reajuste Tarifas y Ocupación'!K31</f>
        <v>9700</v>
      </c>
      <c r="E27" s="416">
        <f>+'B) Reajuste Tarifas y Ocupación'!L31</f>
        <v>12100</v>
      </c>
      <c r="F27" s="489">
        <f>+'B) Reajuste Tarifas y Ocupación'!M31</f>
        <v>13200</v>
      </c>
      <c r="G27" s="496"/>
      <c r="H27" s="464">
        <f>+'B) Reajuste Tarifas y Ocupación'!D31</f>
        <v>9300</v>
      </c>
      <c r="I27" s="464">
        <f>+'B) Reajuste Tarifas y Ocupación'!E31</f>
        <v>11600</v>
      </c>
      <c r="J27" s="497">
        <f>+'B) Reajuste Tarifas y Ocupación'!F31</f>
        <v>12600</v>
      </c>
      <c r="K27" s="492"/>
      <c r="L27" s="63">
        <f t="shared" si="3"/>
        <v>400</v>
      </c>
      <c r="M27" s="63">
        <f t="shared" si="3"/>
        <v>500</v>
      </c>
      <c r="N27" s="499">
        <f t="shared" si="3"/>
        <v>600</v>
      </c>
      <c r="O27" s="506"/>
      <c r="P27" s="467"/>
      <c r="Q27" s="467"/>
      <c r="R27" s="468"/>
    </row>
    <row r="28" spans="1:18" x14ac:dyDescent="0.25">
      <c r="A28" s="1247" t="str">
        <f>+'B) Reajuste Tarifas y Ocupación'!A32</f>
        <v>Piscina</v>
      </c>
      <c r="B28" s="968" t="str">
        <f>+'B) Reajuste Tarifas y Ocupación'!B32</f>
        <v>Piscina Adulto</v>
      </c>
      <c r="C28" s="470"/>
      <c r="D28" s="969">
        <f>+'B) Reajuste Tarifas y Ocupación'!K32</f>
        <v>6400</v>
      </c>
      <c r="E28" s="969">
        <f>+'B) Reajuste Tarifas y Ocupación'!L32</f>
        <v>7700</v>
      </c>
      <c r="F28" s="471">
        <f>+'B) Reajuste Tarifas y Ocupación'!M32</f>
        <v>8000</v>
      </c>
      <c r="G28" s="973"/>
      <c r="H28" s="974">
        <f>+'B) Reajuste Tarifas y Ocupación'!D32</f>
        <v>6100</v>
      </c>
      <c r="I28" s="974">
        <f>+'B) Reajuste Tarifas y Ocupación'!E32</f>
        <v>7300</v>
      </c>
      <c r="J28" s="432">
        <f>+'B) Reajuste Tarifas y Ocupación'!F32</f>
        <v>7600</v>
      </c>
      <c r="K28" s="474"/>
      <c r="L28" s="978">
        <f t="shared" si="3"/>
        <v>300</v>
      </c>
      <c r="M28" s="978">
        <f t="shared" si="3"/>
        <v>400</v>
      </c>
      <c r="N28" s="447">
        <f t="shared" si="3"/>
        <v>400</v>
      </c>
      <c r="O28" s="980"/>
      <c r="P28" s="981">
        <f>+'B) Reajuste Tarifas y Ocupación'!G32</f>
        <v>4.4999999999999998E-2</v>
      </c>
      <c r="Q28" s="981">
        <f>+'B) Reajuste Tarifas y Ocupación'!H32</f>
        <v>4.4999999999999998E-2</v>
      </c>
      <c r="R28" s="437">
        <f>+'B) Reajuste Tarifas y Ocupación'!I32</f>
        <v>4.4999999999999998E-2</v>
      </c>
    </row>
    <row r="29" spans="1:18" ht="15.75" thickBot="1" x14ac:dyDescent="0.3">
      <c r="A29" s="1248"/>
      <c r="B29" s="409" t="str">
        <f>+'B) Reajuste Tarifas y Ocupación'!B33</f>
        <v>Piscina Niños</v>
      </c>
      <c r="C29" s="970"/>
      <c r="D29" s="971">
        <f>+'B) Reajuste Tarifas y Ocupación'!K33</f>
        <v>4100</v>
      </c>
      <c r="E29" s="971">
        <f>+'B) Reajuste Tarifas y Ocupación'!L33</f>
        <v>5000</v>
      </c>
      <c r="F29" s="972">
        <f>+'B) Reajuste Tarifas y Ocupación'!M33</f>
        <v>5200</v>
      </c>
      <c r="G29" s="975"/>
      <c r="H29" s="976">
        <f>+'B) Reajuste Tarifas y Ocupación'!D33</f>
        <v>3900</v>
      </c>
      <c r="I29" s="976">
        <f>+'B) Reajuste Tarifas y Ocupación'!E33</f>
        <v>4700</v>
      </c>
      <c r="J29" s="977">
        <f>+'B) Reajuste Tarifas y Ocupación'!F33</f>
        <v>4900</v>
      </c>
      <c r="K29" s="979"/>
      <c r="L29" s="870">
        <f t="shared" si="3"/>
        <v>200</v>
      </c>
      <c r="M29" s="870">
        <f t="shared" si="3"/>
        <v>300</v>
      </c>
      <c r="N29" s="871">
        <f t="shared" si="3"/>
        <v>300</v>
      </c>
      <c r="O29" s="982"/>
      <c r="P29" s="983">
        <f>+'B) Reajuste Tarifas y Ocupación'!G33</f>
        <v>4.4999999999999998E-2</v>
      </c>
      <c r="Q29" s="983">
        <f>+'B) Reajuste Tarifas y Ocupación'!H33</f>
        <v>4.4999999999999998E-2</v>
      </c>
      <c r="R29" s="984">
        <f>+'B) Reajuste Tarifas y Ocupación'!I33</f>
        <v>4.4999999999999998E-2</v>
      </c>
    </row>
  </sheetData>
  <sheetProtection sheet="1" objects="1" scenarios="1"/>
  <mergeCells count="19">
    <mergeCell ref="F4:G4"/>
    <mergeCell ref="A6:B6"/>
    <mergeCell ref="A8:A9"/>
    <mergeCell ref="B8:B9"/>
    <mergeCell ref="C8:F8"/>
    <mergeCell ref="G8:J8"/>
    <mergeCell ref="K23:N23"/>
    <mergeCell ref="K8:N8"/>
    <mergeCell ref="O8:R8"/>
    <mergeCell ref="A10:A16"/>
    <mergeCell ref="C13:F13"/>
    <mergeCell ref="G13:J13"/>
    <mergeCell ref="K13:N13"/>
    <mergeCell ref="O13:R13"/>
    <mergeCell ref="A28:A29"/>
    <mergeCell ref="A17:A18"/>
    <mergeCell ref="A19:A27"/>
    <mergeCell ref="C23:F23"/>
    <mergeCell ref="G23:J23"/>
  </mergeCells>
  <pageMargins left="0.7" right="0.7"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39997558519241921"/>
  </sheetPr>
  <dimension ref="A1:N632"/>
  <sheetViews>
    <sheetView showGridLines="0" zoomScale="70" zoomScaleNormal="70" workbookViewId="0">
      <selection activeCell="O17" sqref="O17"/>
    </sheetView>
  </sheetViews>
  <sheetFormatPr baseColWidth="10" defaultRowHeight="15" x14ac:dyDescent="0.25"/>
  <cols>
    <col min="1" max="1" width="7.140625" style="184" customWidth="1"/>
    <col min="2" max="3" width="31.7109375" style="184" customWidth="1"/>
    <col min="4" max="4" width="28" style="184" customWidth="1"/>
    <col min="5" max="5" width="24.140625" style="184" customWidth="1"/>
    <col min="6" max="6" width="56.5703125" style="184" bestFit="1" customWidth="1"/>
    <col min="7" max="7" width="22.140625" style="184" customWidth="1"/>
    <col min="8" max="8" width="24" style="184" bestFit="1" customWidth="1"/>
    <col min="9" max="9" width="15" style="184" customWidth="1"/>
    <col min="10" max="10" width="25.5703125" style="184" bestFit="1" customWidth="1"/>
    <col min="11" max="11" width="14.85546875" style="184" customWidth="1"/>
    <col min="12" max="12" width="20.42578125" style="184" customWidth="1"/>
    <col min="13" max="13" width="22.140625" style="184" customWidth="1"/>
    <col min="14" max="14" width="14.42578125" bestFit="1" customWidth="1"/>
  </cols>
  <sheetData>
    <row r="1" spans="1:13" x14ac:dyDescent="0.25">
      <c r="A1" s="2"/>
      <c r="B1" s="2"/>
      <c r="C1" s="2"/>
      <c r="D1" s="2"/>
      <c r="E1" s="2"/>
      <c r="F1" s="3"/>
      <c r="G1" s="3"/>
      <c r="H1" s="3"/>
      <c r="I1" s="3"/>
      <c r="J1" s="3"/>
      <c r="K1" s="3"/>
      <c r="L1" s="2"/>
      <c r="M1" s="2"/>
    </row>
    <row r="2" spans="1:13" x14ac:dyDescent="0.25">
      <c r="A2" s="2"/>
      <c r="B2" s="2"/>
      <c r="C2" s="2"/>
      <c r="D2" s="2"/>
      <c r="E2" s="2"/>
      <c r="F2" s="3" t="s">
        <v>174</v>
      </c>
      <c r="G2" s="3"/>
      <c r="H2" s="3"/>
      <c r="I2" s="3"/>
      <c r="J2" s="3"/>
      <c r="K2" s="3"/>
      <c r="L2" s="2"/>
      <c r="M2" s="2"/>
    </row>
    <row r="3" spans="1:13" x14ac:dyDescent="0.25">
      <c r="A3" s="2"/>
      <c r="B3" s="6"/>
      <c r="C3" s="6"/>
      <c r="D3" s="2"/>
      <c r="E3" s="2"/>
      <c r="F3" s="2"/>
      <c r="G3" s="2"/>
      <c r="H3" s="2"/>
      <c r="I3" s="2"/>
      <c r="J3" s="2"/>
      <c r="K3" s="2"/>
      <c r="L3" s="2"/>
      <c r="M3" s="2"/>
    </row>
    <row r="4" spans="1:13" ht="15.75" x14ac:dyDescent="0.25">
      <c r="A4" s="2"/>
      <c r="B4" s="6"/>
      <c r="C4" s="6"/>
      <c r="D4" s="2"/>
      <c r="E4" s="181" t="s">
        <v>1</v>
      </c>
      <c r="F4" s="201" t="s">
        <v>35</v>
      </c>
      <c r="G4" s="182"/>
      <c r="H4" s="183"/>
      <c r="I4" s="183"/>
      <c r="J4" s="183"/>
      <c r="K4" s="652"/>
      <c r="L4" s="2"/>
      <c r="M4" s="2"/>
    </row>
    <row r="5" spans="1:13" x14ac:dyDescent="0.25">
      <c r="A5" s="2"/>
      <c r="B5" s="6"/>
      <c r="C5" s="6"/>
      <c r="D5" s="2"/>
      <c r="E5" s="8"/>
      <c r="F5" s="3"/>
      <c r="G5" s="3"/>
      <c r="H5" s="3"/>
      <c r="I5" s="3"/>
      <c r="J5" s="3"/>
      <c r="K5" s="3"/>
      <c r="L5" s="2"/>
      <c r="M5" s="2"/>
    </row>
    <row r="6" spans="1:13" x14ac:dyDescent="0.25">
      <c r="A6" s="2"/>
      <c r="B6" s="6"/>
      <c r="C6" s="6"/>
      <c r="D6" s="2"/>
      <c r="E6" s="8"/>
      <c r="F6" s="3"/>
      <c r="G6" s="3"/>
      <c r="H6" s="3"/>
      <c r="I6" s="3"/>
      <c r="J6" s="3"/>
      <c r="K6" s="3"/>
      <c r="L6" s="2"/>
      <c r="M6" s="2"/>
    </row>
    <row r="7" spans="1:13" ht="15.75" x14ac:dyDescent="0.25">
      <c r="A7" s="2"/>
      <c r="B7" s="1300" t="s">
        <v>175</v>
      </c>
      <c r="C7" s="1300"/>
      <c r="D7" s="1300"/>
      <c r="E7" s="1300"/>
      <c r="F7" s="1300"/>
      <c r="G7" s="202"/>
      <c r="H7" s="202"/>
      <c r="I7" s="202"/>
      <c r="J7" s="202"/>
      <c r="K7" s="202"/>
      <c r="L7" s="203" t="s">
        <v>41</v>
      </c>
      <c r="M7" s="204">
        <v>4.4999999999999998E-2</v>
      </c>
    </row>
    <row r="8" spans="1:13" ht="15.75" thickBot="1" x14ac:dyDescent="0.3">
      <c r="L8" s="203" t="s">
        <v>290</v>
      </c>
      <c r="M8" s="653">
        <v>0</v>
      </c>
    </row>
    <row r="9" spans="1:13" ht="15" customHeight="1" x14ac:dyDescent="0.25">
      <c r="B9" s="1301" t="s">
        <v>3</v>
      </c>
      <c r="C9" s="1303" t="s">
        <v>176</v>
      </c>
      <c r="D9" s="1305" t="s">
        <v>147</v>
      </c>
      <c r="E9" s="1305" t="s">
        <v>148</v>
      </c>
      <c r="F9" s="1291" t="s">
        <v>149</v>
      </c>
      <c r="G9" s="1291" t="s">
        <v>22</v>
      </c>
      <c r="H9" s="1291" t="s">
        <v>287</v>
      </c>
      <c r="I9" s="1291" t="s">
        <v>154</v>
      </c>
      <c r="J9" s="1293" t="s">
        <v>155</v>
      </c>
      <c r="K9" s="1299" t="s">
        <v>354</v>
      </c>
      <c r="L9" s="1295" t="s">
        <v>324</v>
      </c>
      <c r="M9" s="1297" t="s">
        <v>177</v>
      </c>
    </row>
    <row r="10" spans="1:13" ht="39" customHeight="1" thickBot="1" x14ac:dyDescent="0.3">
      <c r="B10" s="1302"/>
      <c r="C10" s="1304"/>
      <c r="D10" s="1306"/>
      <c r="E10" s="1306"/>
      <c r="F10" s="1292"/>
      <c r="G10" s="1292"/>
      <c r="H10" s="1292"/>
      <c r="I10" s="1292"/>
      <c r="J10" s="1294"/>
      <c r="K10" s="1292"/>
      <c r="L10" s="1296"/>
      <c r="M10" s="1298"/>
    </row>
    <row r="11" spans="1:13" x14ac:dyDescent="0.25">
      <c r="A11"/>
      <c r="B11" s="1282" t="str">
        <f>+'B) Reajuste Tarifas y Ocupación'!A12</f>
        <v>C. H. Hanga Roa</v>
      </c>
      <c r="C11" s="1284" t="s">
        <v>178</v>
      </c>
      <c r="D11" s="400" t="s">
        <v>370</v>
      </c>
      <c r="E11" s="210" t="s">
        <v>371</v>
      </c>
      <c r="F11" s="210" t="s">
        <v>305</v>
      </c>
      <c r="G11" s="609" t="s">
        <v>325</v>
      </c>
      <c r="H11" s="722">
        <v>9000000</v>
      </c>
      <c r="I11" s="722">
        <f>(109202+208400)/2</f>
        <v>158801</v>
      </c>
      <c r="J11" s="723">
        <f>(88166*2)/2</f>
        <v>88166</v>
      </c>
      <c r="K11" s="692">
        <f>SUM(H11:J11)</f>
        <v>9246967</v>
      </c>
      <c r="L11" s="689">
        <f>(H11*(1+M7))*(1+M8)+I11+J11</f>
        <v>9651967</v>
      </c>
      <c r="M11" s="1288">
        <f>SUM(L11:L30)</f>
        <v>19222089.66</v>
      </c>
    </row>
    <row r="12" spans="1:13" x14ac:dyDescent="0.25">
      <c r="A12"/>
      <c r="B12" s="1282"/>
      <c r="C12" s="1285"/>
      <c r="D12" s="610" t="s">
        <v>372</v>
      </c>
      <c r="E12" s="611" t="s">
        <v>373</v>
      </c>
      <c r="F12" s="697" t="s">
        <v>374</v>
      </c>
      <c r="G12" s="724" t="s">
        <v>325</v>
      </c>
      <c r="H12" s="698">
        <f>723779*12</f>
        <v>8685348</v>
      </c>
      <c r="I12" s="598">
        <f>(109202+208400)</f>
        <v>317602</v>
      </c>
      <c r="J12" s="550">
        <f>88166*2</f>
        <v>176332</v>
      </c>
      <c r="K12" s="693">
        <f t="shared" ref="K12:K75" si="0">SUM(H12:J12)</f>
        <v>9179282</v>
      </c>
      <c r="L12" s="690">
        <f t="shared" ref="L12:L19" si="1">+((H12*(1+$M$7))*(1+$M$8))+I12+J12</f>
        <v>9570122.6600000001</v>
      </c>
      <c r="M12" s="1288"/>
    </row>
    <row r="13" spans="1:13" x14ac:dyDescent="0.25">
      <c r="A13"/>
      <c r="B13" s="1282"/>
      <c r="C13" s="1285"/>
      <c r="D13" s="507"/>
      <c r="E13" s="597"/>
      <c r="F13" s="597"/>
      <c r="G13" s="725"/>
      <c r="H13" s="598"/>
      <c r="I13" s="598"/>
      <c r="J13" s="550"/>
      <c r="K13" s="693">
        <f t="shared" si="0"/>
        <v>0</v>
      </c>
      <c r="L13" s="690">
        <f t="shared" si="1"/>
        <v>0</v>
      </c>
      <c r="M13" s="1288"/>
    </row>
    <row r="14" spans="1:13" x14ac:dyDescent="0.25">
      <c r="A14"/>
      <c r="B14" s="1282"/>
      <c r="C14" s="1285"/>
      <c r="D14" s="613"/>
      <c r="E14" s="614"/>
      <c r="F14" s="614"/>
      <c r="G14" s="726"/>
      <c r="H14" s="615"/>
      <c r="I14" s="615"/>
      <c r="J14" s="727"/>
      <c r="K14" s="693">
        <f>SUM(H14:J14)</f>
        <v>0</v>
      </c>
      <c r="L14" s="690">
        <f t="shared" si="1"/>
        <v>0</v>
      </c>
      <c r="M14" s="1288"/>
    </row>
    <row r="15" spans="1:13" x14ac:dyDescent="0.25">
      <c r="A15"/>
      <c r="B15" s="1282"/>
      <c r="C15" s="1285"/>
      <c r="D15" s="507"/>
      <c r="E15" s="597"/>
      <c r="F15" s="597"/>
      <c r="G15" s="725"/>
      <c r="H15" s="598"/>
      <c r="I15" s="598"/>
      <c r="J15" s="550"/>
      <c r="K15" s="693">
        <f t="shared" si="0"/>
        <v>0</v>
      </c>
      <c r="L15" s="690">
        <f t="shared" si="1"/>
        <v>0</v>
      </c>
      <c r="M15" s="1288"/>
    </row>
    <row r="16" spans="1:13" x14ac:dyDescent="0.25">
      <c r="A16"/>
      <c r="B16" s="1282"/>
      <c r="C16" s="1285"/>
      <c r="D16" s="507"/>
      <c r="E16" s="597"/>
      <c r="F16" s="597"/>
      <c r="G16" s="725"/>
      <c r="H16" s="598"/>
      <c r="I16" s="598"/>
      <c r="J16" s="550"/>
      <c r="K16" s="693">
        <f t="shared" si="0"/>
        <v>0</v>
      </c>
      <c r="L16" s="690">
        <f t="shared" si="1"/>
        <v>0</v>
      </c>
      <c r="M16" s="1288"/>
    </row>
    <row r="17" spans="1:13" x14ac:dyDescent="0.25">
      <c r="A17"/>
      <c r="B17" s="1282"/>
      <c r="C17" s="1285"/>
      <c r="D17" s="507"/>
      <c r="E17" s="597"/>
      <c r="F17" s="597"/>
      <c r="G17" s="725"/>
      <c r="H17" s="598"/>
      <c r="I17" s="598"/>
      <c r="J17" s="550"/>
      <c r="K17" s="693">
        <f t="shared" si="0"/>
        <v>0</v>
      </c>
      <c r="L17" s="690">
        <f t="shared" si="1"/>
        <v>0</v>
      </c>
      <c r="M17" s="1288"/>
    </row>
    <row r="18" spans="1:13" x14ac:dyDescent="0.25">
      <c r="A18"/>
      <c r="B18" s="1282"/>
      <c r="C18" s="1285"/>
      <c r="D18" s="507"/>
      <c r="E18" s="597"/>
      <c r="F18" s="597"/>
      <c r="G18" s="725"/>
      <c r="H18" s="598"/>
      <c r="I18" s="598"/>
      <c r="J18" s="550"/>
      <c r="K18" s="693">
        <f t="shared" si="0"/>
        <v>0</v>
      </c>
      <c r="L18" s="690">
        <f t="shared" si="1"/>
        <v>0</v>
      </c>
      <c r="M18" s="1288"/>
    </row>
    <row r="19" spans="1:13" ht="15.75" thickBot="1" x14ac:dyDescent="0.3">
      <c r="A19"/>
      <c r="B19" s="1282"/>
      <c r="C19" s="1286"/>
      <c r="D19" s="547"/>
      <c r="E19" s="548"/>
      <c r="F19" s="548"/>
      <c r="G19" s="508"/>
      <c r="H19" s="549"/>
      <c r="I19" s="549"/>
      <c r="J19" s="551"/>
      <c r="K19" s="694">
        <f t="shared" si="0"/>
        <v>0</v>
      </c>
      <c r="L19" s="691">
        <f t="shared" si="1"/>
        <v>0</v>
      </c>
      <c r="M19" s="1288"/>
    </row>
    <row r="20" spans="1:13" x14ac:dyDescent="0.25">
      <c r="A20"/>
      <c r="B20" s="1282"/>
      <c r="C20" s="1284" t="s">
        <v>179</v>
      </c>
      <c r="D20" s="400"/>
      <c r="E20" s="600"/>
      <c r="F20" s="600"/>
      <c r="G20" s="609"/>
      <c r="H20" s="598"/>
      <c r="I20" s="601"/>
      <c r="J20" s="603"/>
      <c r="K20" s="692">
        <f>SUM(H20:J20)</f>
        <v>0</v>
      </c>
      <c r="L20" s="721">
        <f t="shared" ref="L20:L70" si="2">+(H20*(1+$M$7))+I20+J20</f>
        <v>0</v>
      </c>
      <c r="M20" s="1288"/>
    </row>
    <row r="21" spans="1:13" x14ac:dyDescent="0.25">
      <c r="A21"/>
      <c r="B21" s="1282"/>
      <c r="C21" s="1285"/>
      <c r="D21" s="507"/>
      <c r="E21" s="597"/>
      <c r="F21" s="597"/>
      <c r="G21" s="612"/>
      <c r="H21" s="598"/>
      <c r="I21" s="598"/>
      <c r="J21" s="550"/>
      <c r="K21" s="693">
        <f t="shared" si="0"/>
        <v>0</v>
      </c>
      <c r="L21" s="690">
        <f t="shared" si="2"/>
        <v>0</v>
      </c>
      <c r="M21" s="1288"/>
    </row>
    <row r="22" spans="1:13" x14ac:dyDescent="0.25">
      <c r="A22"/>
      <c r="B22" s="1282"/>
      <c r="C22" s="1285"/>
      <c r="D22" s="507"/>
      <c r="E22" s="597"/>
      <c r="F22" s="597"/>
      <c r="G22" s="612"/>
      <c r="H22" s="598"/>
      <c r="I22" s="598"/>
      <c r="J22" s="550"/>
      <c r="K22" s="695">
        <f t="shared" si="0"/>
        <v>0</v>
      </c>
      <c r="L22" s="690">
        <f t="shared" si="2"/>
        <v>0</v>
      </c>
      <c r="M22" s="1288"/>
    </row>
    <row r="23" spans="1:13" x14ac:dyDescent="0.25">
      <c r="A23"/>
      <c r="B23" s="1282"/>
      <c r="C23" s="1285"/>
      <c r="D23" s="507"/>
      <c r="E23" s="597"/>
      <c r="F23" s="597"/>
      <c r="G23" s="612"/>
      <c r="H23" s="598"/>
      <c r="I23" s="598"/>
      <c r="J23" s="550"/>
      <c r="K23" s="693">
        <f t="shared" si="0"/>
        <v>0</v>
      </c>
      <c r="L23" s="690">
        <f t="shared" si="2"/>
        <v>0</v>
      </c>
      <c r="M23" s="1288"/>
    </row>
    <row r="24" spans="1:13" x14ac:dyDescent="0.25">
      <c r="A24"/>
      <c r="B24" s="1282"/>
      <c r="C24" s="1285"/>
      <c r="D24" s="507"/>
      <c r="E24" s="597"/>
      <c r="F24" s="597"/>
      <c r="G24" s="612"/>
      <c r="H24" s="598"/>
      <c r="I24" s="598"/>
      <c r="J24" s="550"/>
      <c r="K24" s="693">
        <f t="shared" si="0"/>
        <v>0</v>
      </c>
      <c r="L24" s="690">
        <f t="shared" si="2"/>
        <v>0</v>
      </c>
      <c r="M24" s="1288"/>
    </row>
    <row r="25" spans="1:13" x14ac:dyDescent="0.25">
      <c r="A25"/>
      <c r="B25" s="1282"/>
      <c r="C25" s="1285"/>
      <c r="D25" s="507"/>
      <c r="E25" s="597"/>
      <c r="F25" s="597"/>
      <c r="G25" s="612"/>
      <c r="H25" s="598"/>
      <c r="I25" s="598"/>
      <c r="J25" s="550"/>
      <c r="K25" s="693">
        <f t="shared" si="0"/>
        <v>0</v>
      </c>
      <c r="L25" s="690">
        <f t="shared" si="2"/>
        <v>0</v>
      </c>
      <c r="M25" s="1288"/>
    </row>
    <row r="26" spans="1:13" x14ac:dyDescent="0.25">
      <c r="A26"/>
      <c r="B26" s="1282"/>
      <c r="C26" s="1285"/>
      <c r="D26" s="507"/>
      <c r="E26" s="597"/>
      <c r="F26" s="597"/>
      <c r="G26" s="612"/>
      <c r="H26" s="598"/>
      <c r="I26" s="598"/>
      <c r="J26" s="550"/>
      <c r="K26" s="693">
        <f t="shared" si="0"/>
        <v>0</v>
      </c>
      <c r="L26" s="690">
        <f t="shared" si="2"/>
        <v>0</v>
      </c>
      <c r="M26" s="1288"/>
    </row>
    <row r="27" spans="1:13" x14ac:dyDescent="0.25">
      <c r="A27"/>
      <c r="B27" s="1282"/>
      <c r="C27" s="1285"/>
      <c r="D27" s="507"/>
      <c r="E27" s="597"/>
      <c r="F27" s="597"/>
      <c r="G27" s="612"/>
      <c r="H27" s="598"/>
      <c r="I27" s="598"/>
      <c r="J27" s="550"/>
      <c r="K27" s="693">
        <f t="shared" si="0"/>
        <v>0</v>
      </c>
      <c r="L27" s="690">
        <f t="shared" si="2"/>
        <v>0</v>
      </c>
      <c r="M27" s="1288"/>
    </row>
    <row r="28" spans="1:13" x14ac:dyDescent="0.25">
      <c r="A28"/>
      <c r="B28" s="1282"/>
      <c r="C28" s="1285"/>
      <c r="D28" s="507"/>
      <c r="E28" s="597"/>
      <c r="F28" s="597"/>
      <c r="G28" s="612"/>
      <c r="H28" s="598"/>
      <c r="I28" s="598"/>
      <c r="J28" s="550"/>
      <c r="K28" s="693">
        <f t="shared" si="0"/>
        <v>0</v>
      </c>
      <c r="L28" s="690">
        <f t="shared" si="2"/>
        <v>0</v>
      </c>
      <c r="M28" s="1288"/>
    </row>
    <row r="29" spans="1:13" x14ac:dyDescent="0.25">
      <c r="A29"/>
      <c r="B29" s="1282"/>
      <c r="C29" s="1285"/>
      <c r="D29" s="507"/>
      <c r="E29" s="597"/>
      <c r="F29" s="597"/>
      <c r="G29" s="612"/>
      <c r="H29" s="598"/>
      <c r="I29" s="598"/>
      <c r="J29" s="550"/>
      <c r="K29" s="693">
        <f t="shared" si="0"/>
        <v>0</v>
      </c>
      <c r="L29" s="690">
        <f t="shared" si="2"/>
        <v>0</v>
      </c>
      <c r="M29" s="1288"/>
    </row>
    <row r="30" spans="1:13" ht="15.75" thickBot="1" x14ac:dyDescent="0.3">
      <c r="A30"/>
      <c r="B30" s="1282"/>
      <c r="C30" s="1286"/>
      <c r="D30" s="547"/>
      <c r="E30" s="548"/>
      <c r="F30" s="548"/>
      <c r="G30" s="508"/>
      <c r="H30" s="549"/>
      <c r="I30" s="549"/>
      <c r="J30" s="551"/>
      <c r="K30" s="694">
        <f t="shared" si="0"/>
        <v>0</v>
      </c>
      <c r="L30" s="691">
        <f t="shared" si="2"/>
        <v>0</v>
      </c>
      <c r="M30" s="1288"/>
    </row>
    <row r="31" spans="1:13" x14ac:dyDescent="0.25">
      <c r="B31" s="1290" t="e">
        <f>+'B) Reajuste Tarifas y Ocupación'!#REF!</f>
        <v>#REF!</v>
      </c>
      <c r="C31" s="1284" t="s">
        <v>178</v>
      </c>
      <c r="D31" s="400"/>
      <c r="E31" s="600"/>
      <c r="F31" s="600"/>
      <c r="G31" s="609"/>
      <c r="H31" s="601"/>
      <c r="I31" s="601"/>
      <c r="J31" s="602"/>
      <c r="K31" s="604">
        <f t="shared" si="0"/>
        <v>0</v>
      </c>
      <c r="L31" s="639">
        <f t="shared" si="2"/>
        <v>0</v>
      </c>
      <c r="M31" s="1287">
        <f>SUM(L31:L50)</f>
        <v>0</v>
      </c>
    </row>
    <row r="32" spans="1:13" x14ac:dyDescent="0.25">
      <c r="B32" s="1285"/>
      <c r="C32" s="1285"/>
      <c r="D32" s="507"/>
      <c r="E32" s="597"/>
      <c r="F32" s="597"/>
      <c r="G32" s="612"/>
      <c r="H32" s="598"/>
      <c r="I32" s="598"/>
      <c r="J32" s="599"/>
      <c r="K32" s="605">
        <f t="shared" si="0"/>
        <v>0</v>
      </c>
      <c r="L32" s="640">
        <f t="shared" si="2"/>
        <v>0</v>
      </c>
      <c r="M32" s="1288"/>
    </row>
    <row r="33" spans="2:13" x14ac:dyDescent="0.25">
      <c r="B33" s="1285"/>
      <c r="C33" s="1285"/>
      <c r="D33" s="507"/>
      <c r="E33" s="597"/>
      <c r="F33" s="597"/>
      <c r="G33" s="612"/>
      <c r="H33" s="598"/>
      <c r="I33" s="598"/>
      <c r="J33" s="599"/>
      <c r="K33" s="606">
        <f t="shared" si="0"/>
        <v>0</v>
      </c>
      <c r="L33" s="640">
        <f t="shared" si="2"/>
        <v>0</v>
      </c>
      <c r="M33" s="1288"/>
    </row>
    <row r="34" spans="2:13" x14ac:dyDescent="0.25">
      <c r="B34" s="1285"/>
      <c r="C34" s="1285"/>
      <c r="D34" s="507"/>
      <c r="E34" s="597"/>
      <c r="F34" s="597"/>
      <c r="G34" s="612"/>
      <c r="H34" s="598"/>
      <c r="I34" s="598"/>
      <c r="J34" s="599"/>
      <c r="K34" s="605">
        <f t="shared" si="0"/>
        <v>0</v>
      </c>
      <c r="L34" s="640">
        <f t="shared" si="2"/>
        <v>0</v>
      </c>
      <c r="M34" s="1288"/>
    </row>
    <row r="35" spans="2:13" x14ac:dyDescent="0.25">
      <c r="B35" s="1285"/>
      <c r="C35" s="1285"/>
      <c r="D35" s="507"/>
      <c r="E35" s="597"/>
      <c r="F35" s="597"/>
      <c r="G35" s="612"/>
      <c r="H35" s="598"/>
      <c r="I35" s="598"/>
      <c r="J35" s="599"/>
      <c r="K35" s="605">
        <f t="shared" si="0"/>
        <v>0</v>
      </c>
      <c r="L35" s="640">
        <f t="shared" si="2"/>
        <v>0</v>
      </c>
      <c r="M35" s="1288"/>
    </row>
    <row r="36" spans="2:13" x14ac:dyDescent="0.25">
      <c r="B36" s="1285"/>
      <c r="C36" s="1285"/>
      <c r="D36" s="507"/>
      <c r="E36" s="597"/>
      <c r="F36" s="597"/>
      <c r="G36" s="612"/>
      <c r="H36" s="598"/>
      <c r="I36" s="598"/>
      <c r="J36" s="599"/>
      <c r="K36" s="605">
        <f t="shared" si="0"/>
        <v>0</v>
      </c>
      <c r="L36" s="640">
        <f t="shared" si="2"/>
        <v>0</v>
      </c>
      <c r="M36" s="1288"/>
    </row>
    <row r="37" spans="2:13" x14ac:dyDescent="0.25">
      <c r="B37" s="1285"/>
      <c r="C37" s="1285"/>
      <c r="D37" s="507"/>
      <c r="E37" s="597"/>
      <c r="F37" s="597"/>
      <c r="G37" s="612"/>
      <c r="H37" s="598"/>
      <c r="I37" s="598"/>
      <c r="J37" s="599"/>
      <c r="K37" s="605">
        <f t="shared" si="0"/>
        <v>0</v>
      </c>
      <c r="L37" s="640">
        <f t="shared" si="2"/>
        <v>0</v>
      </c>
      <c r="M37" s="1288"/>
    </row>
    <row r="38" spans="2:13" x14ac:dyDescent="0.25">
      <c r="B38" s="1285"/>
      <c r="C38" s="1285"/>
      <c r="D38" s="507"/>
      <c r="E38" s="597"/>
      <c r="F38" s="597"/>
      <c r="G38" s="612"/>
      <c r="H38" s="598"/>
      <c r="I38" s="598"/>
      <c r="J38" s="599"/>
      <c r="K38" s="605">
        <f t="shared" si="0"/>
        <v>0</v>
      </c>
      <c r="L38" s="640">
        <f t="shared" si="2"/>
        <v>0</v>
      </c>
      <c r="M38" s="1288"/>
    </row>
    <row r="39" spans="2:13" ht="15.75" thickBot="1" x14ac:dyDescent="0.3">
      <c r="B39" s="1285"/>
      <c r="C39" s="1286"/>
      <c r="D39" s="547"/>
      <c r="E39" s="548"/>
      <c r="F39" s="548"/>
      <c r="G39" s="508"/>
      <c r="H39" s="549"/>
      <c r="I39" s="549"/>
      <c r="J39" s="407"/>
      <c r="K39" s="607">
        <f t="shared" si="0"/>
        <v>0</v>
      </c>
      <c r="L39" s="641">
        <f t="shared" si="2"/>
        <v>0</v>
      </c>
      <c r="M39" s="1288"/>
    </row>
    <row r="40" spans="2:13" x14ac:dyDescent="0.25">
      <c r="B40" s="1285"/>
      <c r="C40" s="1284" t="s">
        <v>179</v>
      </c>
      <c r="D40" s="400"/>
      <c r="E40" s="600"/>
      <c r="F40" s="600"/>
      <c r="G40" s="609"/>
      <c r="H40" s="601"/>
      <c r="I40" s="601"/>
      <c r="J40" s="602"/>
      <c r="K40" s="604">
        <f t="shared" si="0"/>
        <v>0</v>
      </c>
      <c r="L40" s="639">
        <f t="shared" si="2"/>
        <v>0</v>
      </c>
      <c r="M40" s="1288"/>
    </row>
    <row r="41" spans="2:13" x14ac:dyDescent="0.25">
      <c r="B41" s="1285"/>
      <c r="C41" s="1285"/>
      <c r="D41" s="507"/>
      <c r="E41" s="597"/>
      <c r="F41" s="597"/>
      <c r="G41" s="612"/>
      <c r="H41" s="598"/>
      <c r="I41" s="598"/>
      <c r="J41" s="599"/>
      <c r="K41" s="605">
        <f t="shared" si="0"/>
        <v>0</v>
      </c>
      <c r="L41" s="640">
        <f t="shared" si="2"/>
        <v>0</v>
      </c>
      <c r="M41" s="1288"/>
    </row>
    <row r="42" spans="2:13" x14ac:dyDescent="0.25">
      <c r="B42" s="1285"/>
      <c r="C42" s="1285"/>
      <c r="D42" s="507"/>
      <c r="E42" s="597"/>
      <c r="F42" s="597"/>
      <c r="G42" s="612"/>
      <c r="H42" s="598"/>
      <c r="I42" s="598"/>
      <c r="J42" s="599"/>
      <c r="K42" s="605">
        <f t="shared" si="0"/>
        <v>0</v>
      </c>
      <c r="L42" s="640">
        <f t="shared" si="2"/>
        <v>0</v>
      </c>
      <c r="M42" s="1288"/>
    </row>
    <row r="43" spans="2:13" x14ac:dyDescent="0.25">
      <c r="B43" s="1285"/>
      <c r="C43" s="1285"/>
      <c r="D43" s="507"/>
      <c r="E43" s="597"/>
      <c r="F43" s="597"/>
      <c r="G43" s="612"/>
      <c r="H43" s="598"/>
      <c r="I43" s="598"/>
      <c r="J43" s="599"/>
      <c r="K43" s="605">
        <f t="shared" si="0"/>
        <v>0</v>
      </c>
      <c r="L43" s="640">
        <f t="shared" si="2"/>
        <v>0</v>
      </c>
      <c r="M43" s="1288"/>
    </row>
    <row r="44" spans="2:13" x14ac:dyDescent="0.25">
      <c r="B44" s="1285"/>
      <c r="C44" s="1285"/>
      <c r="D44" s="507"/>
      <c r="E44" s="597"/>
      <c r="F44" s="597"/>
      <c r="G44" s="612"/>
      <c r="H44" s="598"/>
      <c r="I44" s="598"/>
      <c r="J44" s="599"/>
      <c r="K44" s="606">
        <f t="shared" si="0"/>
        <v>0</v>
      </c>
      <c r="L44" s="640">
        <f t="shared" si="2"/>
        <v>0</v>
      </c>
      <c r="M44" s="1288"/>
    </row>
    <row r="45" spans="2:13" x14ac:dyDescent="0.25">
      <c r="B45" s="1285"/>
      <c r="C45" s="1285"/>
      <c r="D45" s="507"/>
      <c r="E45" s="597"/>
      <c r="F45" s="597"/>
      <c r="G45" s="612"/>
      <c r="H45" s="598"/>
      <c r="I45" s="598"/>
      <c r="J45" s="599"/>
      <c r="K45" s="605">
        <f t="shared" si="0"/>
        <v>0</v>
      </c>
      <c r="L45" s="640">
        <f t="shared" si="2"/>
        <v>0</v>
      </c>
      <c r="M45" s="1288"/>
    </row>
    <row r="46" spans="2:13" x14ac:dyDescent="0.25">
      <c r="B46" s="1285"/>
      <c r="C46" s="1285"/>
      <c r="D46" s="507"/>
      <c r="E46" s="597"/>
      <c r="F46" s="597"/>
      <c r="G46" s="612"/>
      <c r="H46" s="598"/>
      <c r="I46" s="598"/>
      <c r="J46" s="599"/>
      <c r="K46" s="605">
        <f t="shared" si="0"/>
        <v>0</v>
      </c>
      <c r="L46" s="640">
        <f t="shared" si="2"/>
        <v>0</v>
      </c>
      <c r="M46" s="1288"/>
    </row>
    <row r="47" spans="2:13" x14ac:dyDescent="0.25">
      <c r="B47" s="1285"/>
      <c r="C47" s="1285"/>
      <c r="D47" s="507"/>
      <c r="E47" s="597"/>
      <c r="F47" s="597"/>
      <c r="G47" s="612"/>
      <c r="H47" s="598"/>
      <c r="I47" s="598"/>
      <c r="J47" s="599"/>
      <c r="K47" s="605">
        <f t="shared" si="0"/>
        <v>0</v>
      </c>
      <c r="L47" s="640">
        <f t="shared" si="2"/>
        <v>0</v>
      </c>
      <c r="M47" s="1288"/>
    </row>
    <row r="48" spans="2:13" x14ac:dyDescent="0.25">
      <c r="B48" s="1285"/>
      <c r="C48" s="1285"/>
      <c r="D48" s="507"/>
      <c r="E48" s="597"/>
      <c r="F48" s="597"/>
      <c r="G48" s="612"/>
      <c r="H48" s="598"/>
      <c r="I48" s="598"/>
      <c r="J48" s="599"/>
      <c r="K48" s="605">
        <f t="shared" si="0"/>
        <v>0</v>
      </c>
      <c r="L48" s="640">
        <f t="shared" si="2"/>
        <v>0</v>
      </c>
      <c r="M48" s="1288"/>
    </row>
    <row r="49" spans="2:13" x14ac:dyDescent="0.25">
      <c r="B49" s="1285"/>
      <c r="C49" s="1285"/>
      <c r="D49" s="507"/>
      <c r="E49" s="597"/>
      <c r="F49" s="597"/>
      <c r="G49" s="612"/>
      <c r="H49" s="598"/>
      <c r="I49" s="598"/>
      <c r="J49" s="599"/>
      <c r="K49" s="605">
        <f t="shared" si="0"/>
        <v>0</v>
      </c>
      <c r="L49" s="640">
        <f t="shared" si="2"/>
        <v>0</v>
      </c>
      <c r="M49" s="1288"/>
    </row>
    <row r="50" spans="2:13" ht="15.75" thickBot="1" x14ac:dyDescent="0.3">
      <c r="B50" s="1286"/>
      <c r="C50" s="1286"/>
      <c r="D50" s="547"/>
      <c r="E50" s="548"/>
      <c r="F50" s="548"/>
      <c r="G50" s="508"/>
      <c r="H50" s="549"/>
      <c r="I50" s="549"/>
      <c r="J50" s="407"/>
      <c r="K50" s="607">
        <f t="shared" si="0"/>
        <v>0</v>
      </c>
      <c r="L50" s="641">
        <f t="shared" si="2"/>
        <v>0</v>
      </c>
      <c r="M50" s="1289"/>
    </row>
    <row r="51" spans="2:13" x14ac:dyDescent="0.25">
      <c r="B51" s="1290" t="str">
        <f>+'B) Reajuste Tarifas y Ocupación'!A19</f>
        <v>Salon de Eventos y Quinchos</v>
      </c>
      <c r="C51" s="1284" t="s">
        <v>178</v>
      </c>
      <c r="D51" s="400"/>
      <c r="E51" s="600"/>
      <c r="F51" s="600"/>
      <c r="G51" s="609"/>
      <c r="H51" s="601"/>
      <c r="I51" s="601"/>
      <c r="J51" s="602"/>
      <c r="K51" s="604">
        <f t="shared" si="0"/>
        <v>0</v>
      </c>
      <c r="L51" s="639">
        <f t="shared" si="2"/>
        <v>0</v>
      </c>
      <c r="M51" s="1287">
        <f>SUM(L51:L70)</f>
        <v>0</v>
      </c>
    </row>
    <row r="52" spans="2:13" x14ac:dyDescent="0.25">
      <c r="B52" s="1285"/>
      <c r="C52" s="1285"/>
      <c r="D52" s="507"/>
      <c r="E52" s="597"/>
      <c r="F52" s="597"/>
      <c r="G52" s="612"/>
      <c r="H52" s="598"/>
      <c r="I52" s="598"/>
      <c r="J52" s="599"/>
      <c r="K52" s="605">
        <f t="shared" si="0"/>
        <v>0</v>
      </c>
      <c r="L52" s="640">
        <f t="shared" si="2"/>
        <v>0</v>
      </c>
      <c r="M52" s="1288"/>
    </row>
    <row r="53" spans="2:13" x14ac:dyDescent="0.25">
      <c r="B53" s="1285"/>
      <c r="C53" s="1285"/>
      <c r="D53" s="507"/>
      <c r="E53" s="597"/>
      <c r="F53" s="597"/>
      <c r="G53" s="612"/>
      <c r="H53" s="598"/>
      <c r="I53" s="598"/>
      <c r="J53" s="599"/>
      <c r="K53" s="605">
        <f t="shared" si="0"/>
        <v>0</v>
      </c>
      <c r="L53" s="640">
        <f t="shared" si="2"/>
        <v>0</v>
      </c>
      <c r="M53" s="1288"/>
    </row>
    <row r="54" spans="2:13" x14ac:dyDescent="0.25">
      <c r="B54" s="1285"/>
      <c r="C54" s="1285"/>
      <c r="D54" s="507"/>
      <c r="E54" s="597"/>
      <c r="F54" s="597"/>
      <c r="G54" s="612"/>
      <c r="H54" s="598"/>
      <c r="I54" s="598"/>
      <c r="J54" s="599"/>
      <c r="K54" s="605">
        <f t="shared" si="0"/>
        <v>0</v>
      </c>
      <c r="L54" s="640">
        <f t="shared" si="2"/>
        <v>0</v>
      </c>
      <c r="M54" s="1288"/>
    </row>
    <row r="55" spans="2:13" x14ac:dyDescent="0.25">
      <c r="B55" s="1285"/>
      <c r="C55" s="1285"/>
      <c r="D55" s="507"/>
      <c r="E55" s="597"/>
      <c r="F55" s="597"/>
      <c r="G55" s="612"/>
      <c r="H55" s="598"/>
      <c r="I55" s="598"/>
      <c r="J55" s="599"/>
      <c r="K55" s="606">
        <f t="shared" si="0"/>
        <v>0</v>
      </c>
      <c r="L55" s="640">
        <f t="shared" si="2"/>
        <v>0</v>
      </c>
      <c r="M55" s="1288"/>
    </row>
    <row r="56" spans="2:13" x14ac:dyDescent="0.25">
      <c r="B56" s="1285"/>
      <c r="C56" s="1285"/>
      <c r="D56" s="507"/>
      <c r="E56" s="597"/>
      <c r="F56" s="597"/>
      <c r="G56" s="612"/>
      <c r="H56" s="598"/>
      <c r="I56" s="598"/>
      <c r="J56" s="599"/>
      <c r="K56" s="605">
        <f t="shared" si="0"/>
        <v>0</v>
      </c>
      <c r="L56" s="640">
        <f t="shared" si="2"/>
        <v>0</v>
      </c>
      <c r="M56" s="1288"/>
    </row>
    <row r="57" spans="2:13" x14ac:dyDescent="0.25">
      <c r="B57" s="1285"/>
      <c r="C57" s="1285"/>
      <c r="D57" s="507"/>
      <c r="E57" s="597"/>
      <c r="F57" s="597"/>
      <c r="G57" s="612"/>
      <c r="H57" s="598"/>
      <c r="I57" s="598"/>
      <c r="J57" s="599"/>
      <c r="K57" s="605">
        <f t="shared" si="0"/>
        <v>0</v>
      </c>
      <c r="L57" s="640">
        <f t="shared" si="2"/>
        <v>0</v>
      </c>
      <c r="M57" s="1288"/>
    </row>
    <row r="58" spans="2:13" x14ac:dyDescent="0.25">
      <c r="B58" s="1285"/>
      <c r="C58" s="1285"/>
      <c r="D58" s="507"/>
      <c r="E58" s="597"/>
      <c r="F58" s="597"/>
      <c r="G58" s="612"/>
      <c r="H58" s="598"/>
      <c r="I58" s="598"/>
      <c r="J58" s="599"/>
      <c r="K58" s="605">
        <f t="shared" si="0"/>
        <v>0</v>
      </c>
      <c r="L58" s="640">
        <f t="shared" si="2"/>
        <v>0</v>
      </c>
      <c r="M58" s="1288"/>
    </row>
    <row r="59" spans="2:13" ht="15.75" thickBot="1" x14ac:dyDescent="0.3">
      <c r="B59" s="1285"/>
      <c r="C59" s="1286"/>
      <c r="D59" s="547"/>
      <c r="E59" s="548"/>
      <c r="F59" s="548"/>
      <c r="G59" s="508"/>
      <c r="H59" s="549"/>
      <c r="I59" s="549"/>
      <c r="J59" s="407"/>
      <c r="K59" s="607">
        <f t="shared" si="0"/>
        <v>0</v>
      </c>
      <c r="L59" s="641">
        <f t="shared" si="2"/>
        <v>0</v>
      </c>
      <c r="M59" s="1288"/>
    </row>
    <row r="60" spans="2:13" x14ac:dyDescent="0.25">
      <c r="B60" s="1285"/>
      <c r="C60" s="1284" t="s">
        <v>179</v>
      </c>
      <c r="D60" s="400"/>
      <c r="E60" s="600"/>
      <c r="F60" s="600"/>
      <c r="G60" s="609"/>
      <c r="H60" s="601"/>
      <c r="I60" s="601"/>
      <c r="J60" s="602"/>
      <c r="K60" s="604">
        <f t="shared" si="0"/>
        <v>0</v>
      </c>
      <c r="L60" s="639">
        <f t="shared" si="2"/>
        <v>0</v>
      </c>
      <c r="M60" s="1288"/>
    </row>
    <row r="61" spans="2:13" x14ac:dyDescent="0.25">
      <c r="B61" s="1285"/>
      <c r="C61" s="1285"/>
      <c r="D61" s="507"/>
      <c r="E61" s="597"/>
      <c r="F61" s="597"/>
      <c r="G61" s="612"/>
      <c r="H61" s="598"/>
      <c r="I61" s="598"/>
      <c r="J61" s="599"/>
      <c r="K61" s="605">
        <f t="shared" si="0"/>
        <v>0</v>
      </c>
      <c r="L61" s="640">
        <f t="shared" si="2"/>
        <v>0</v>
      </c>
      <c r="M61" s="1288"/>
    </row>
    <row r="62" spans="2:13" x14ac:dyDescent="0.25">
      <c r="B62" s="1285"/>
      <c r="C62" s="1285"/>
      <c r="D62" s="507"/>
      <c r="E62" s="597"/>
      <c r="F62" s="597"/>
      <c r="G62" s="612"/>
      <c r="H62" s="598"/>
      <c r="I62" s="598"/>
      <c r="J62" s="599"/>
      <c r="K62" s="605">
        <f t="shared" si="0"/>
        <v>0</v>
      </c>
      <c r="L62" s="640">
        <f t="shared" si="2"/>
        <v>0</v>
      </c>
      <c r="M62" s="1288"/>
    </row>
    <row r="63" spans="2:13" x14ac:dyDescent="0.25">
      <c r="B63" s="1285"/>
      <c r="C63" s="1285"/>
      <c r="D63" s="507"/>
      <c r="E63" s="597"/>
      <c r="F63" s="597"/>
      <c r="G63" s="612"/>
      <c r="H63" s="598"/>
      <c r="I63" s="598"/>
      <c r="J63" s="599"/>
      <c r="K63" s="605">
        <f t="shared" si="0"/>
        <v>0</v>
      </c>
      <c r="L63" s="640">
        <f t="shared" si="2"/>
        <v>0</v>
      </c>
      <c r="M63" s="1288"/>
    </row>
    <row r="64" spans="2:13" x14ac:dyDescent="0.25">
      <c r="B64" s="1285"/>
      <c r="C64" s="1285"/>
      <c r="D64" s="507"/>
      <c r="E64" s="597"/>
      <c r="F64" s="597"/>
      <c r="G64" s="612"/>
      <c r="H64" s="598"/>
      <c r="I64" s="598"/>
      <c r="J64" s="599"/>
      <c r="K64" s="605">
        <f t="shared" si="0"/>
        <v>0</v>
      </c>
      <c r="L64" s="640">
        <f t="shared" si="2"/>
        <v>0</v>
      </c>
      <c r="M64" s="1288"/>
    </row>
    <row r="65" spans="2:14" x14ac:dyDescent="0.25">
      <c r="B65" s="1285"/>
      <c r="C65" s="1285"/>
      <c r="D65" s="507"/>
      <c r="E65" s="597"/>
      <c r="F65" s="597"/>
      <c r="G65" s="612"/>
      <c r="H65" s="598"/>
      <c r="I65" s="598"/>
      <c r="J65" s="599"/>
      <c r="K65" s="605">
        <f t="shared" si="0"/>
        <v>0</v>
      </c>
      <c r="L65" s="640">
        <f t="shared" si="2"/>
        <v>0</v>
      </c>
      <c r="M65" s="1288"/>
    </row>
    <row r="66" spans="2:14" x14ac:dyDescent="0.25">
      <c r="B66" s="1285"/>
      <c r="C66" s="1285"/>
      <c r="D66" s="507"/>
      <c r="E66" s="597"/>
      <c r="F66" s="597"/>
      <c r="G66" s="612"/>
      <c r="H66" s="598"/>
      <c r="I66" s="598"/>
      <c r="J66" s="599"/>
      <c r="K66" s="606">
        <f t="shared" si="0"/>
        <v>0</v>
      </c>
      <c r="L66" s="640">
        <f t="shared" si="2"/>
        <v>0</v>
      </c>
      <c r="M66" s="1288"/>
    </row>
    <row r="67" spans="2:14" x14ac:dyDescent="0.25">
      <c r="B67" s="1285"/>
      <c r="C67" s="1285"/>
      <c r="D67" s="507"/>
      <c r="E67" s="597"/>
      <c r="F67" s="597"/>
      <c r="G67" s="612"/>
      <c r="H67" s="598"/>
      <c r="I67" s="598"/>
      <c r="J67" s="599"/>
      <c r="K67" s="605">
        <f t="shared" si="0"/>
        <v>0</v>
      </c>
      <c r="L67" s="640">
        <f t="shared" si="2"/>
        <v>0</v>
      </c>
      <c r="M67" s="1288"/>
    </row>
    <row r="68" spans="2:14" x14ac:dyDescent="0.25">
      <c r="B68" s="1285"/>
      <c r="C68" s="1285"/>
      <c r="D68" s="507"/>
      <c r="E68" s="597"/>
      <c r="F68" s="597"/>
      <c r="G68" s="612"/>
      <c r="H68" s="598"/>
      <c r="I68" s="598"/>
      <c r="J68" s="599"/>
      <c r="K68" s="605">
        <f t="shared" si="0"/>
        <v>0</v>
      </c>
      <c r="L68" s="640">
        <f t="shared" si="2"/>
        <v>0</v>
      </c>
      <c r="M68" s="1288"/>
    </row>
    <row r="69" spans="2:14" x14ac:dyDescent="0.25">
      <c r="B69" s="1285"/>
      <c r="C69" s="1285"/>
      <c r="D69" s="507"/>
      <c r="E69" s="597"/>
      <c r="F69" s="597"/>
      <c r="G69" s="612"/>
      <c r="H69" s="598"/>
      <c r="I69" s="598"/>
      <c r="J69" s="599"/>
      <c r="K69" s="605">
        <f t="shared" si="0"/>
        <v>0</v>
      </c>
      <c r="L69" s="640">
        <f t="shared" si="2"/>
        <v>0</v>
      </c>
      <c r="M69" s="1288"/>
    </row>
    <row r="70" spans="2:14" ht="15.75" thickBot="1" x14ac:dyDescent="0.3">
      <c r="B70" s="1286"/>
      <c r="C70" s="1286"/>
      <c r="D70" s="547"/>
      <c r="E70" s="548"/>
      <c r="F70" s="548"/>
      <c r="G70" s="508"/>
      <c r="H70" s="549"/>
      <c r="I70" s="549"/>
      <c r="J70" s="407"/>
      <c r="K70" s="607">
        <f t="shared" si="0"/>
        <v>0</v>
      </c>
      <c r="L70" s="720">
        <f t="shared" si="2"/>
        <v>0</v>
      </c>
      <c r="M70" s="1289"/>
    </row>
    <row r="71" spans="2:14" x14ac:dyDescent="0.25">
      <c r="B71" s="1290" t="str">
        <f>+'B) Reajuste Tarifas y Ocupación'!A23</f>
        <v>C.H. Archipielago Juan Fernandez</v>
      </c>
      <c r="C71" s="1284" t="s">
        <v>178</v>
      </c>
      <c r="D71" s="400"/>
      <c r="E71" s="600"/>
      <c r="F71" s="600" t="s">
        <v>305</v>
      </c>
      <c r="G71" s="609" t="s">
        <v>299</v>
      </c>
      <c r="H71" s="601">
        <v>9000000</v>
      </c>
      <c r="I71" s="722">
        <v>158801</v>
      </c>
      <c r="J71" s="599">
        <v>88166</v>
      </c>
      <c r="K71" s="692">
        <f>SUM(H71:J71)</f>
        <v>9246967</v>
      </c>
      <c r="L71" s="689">
        <f>+((H71*(1+$M$7))*(1+$M$8))+I71+J71</f>
        <v>9651967</v>
      </c>
      <c r="M71" s="1287">
        <f>SUM(L71:L90)</f>
        <v>9651967</v>
      </c>
      <c r="N71" s="965"/>
    </row>
    <row r="72" spans="2:14" x14ac:dyDescent="0.25">
      <c r="B72" s="1285"/>
      <c r="C72" s="1285"/>
      <c r="D72" s="507"/>
      <c r="E72" s="597"/>
      <c r="F72" s="597"/>
      <c r="G72" s="612"/>
      <c r="H72" s="598"/>
      <c r="I72" s="598"/>
      <c r="J72" s="599"/>
      <c r="K72" s="693">
        <f t="shared" si="0"/>
        <v>0</v>
      </c>
      <c r="L72" s="690">
        <f t="shared" ref="L72:L79" si="3">+((H72*(1+$M$7))*(1+$M$8))+I72+J72</f>
        <v>0</v>
      </c>
      <c r="M72" s="1288"/>
      <c r="N72" s="965"/>
    </row>
    <row r="73" spans="2:14" x14ac:dyDescent="0.25">
      <c r="B73" s="1285"/>
      <c r="C73" s="1285"/>
      <c r="D73" s="507"/>
      <c r="E73" s="597"/>
      <c r="F73" s="597"/>
      <c r="G73" s="612"/>
      <c r="H73" s="598"/>
      <c r="I73" s="598"/>
      <c r="J73" s="599"/>
      <c r="K73" s="693">
        <f t="shared" si="0"/>
        <v>0</v>
      </c>
      <c r="L73" s="690">
        <f t="shared" si="3"/>
        <v>0</v>
      </c>
      <c r="M73" s="1288"/>
      <c r="N73" s="965"/>
    </row>
    <row r="74" spans="2:14" x14ac:dyDescent="0.25">
      <c r="B74" s="1285"/>
      <c r="C74" s="1285"/>
      <c r="D74" s="507"/>
      <c r="E74" s="597"/>
      <c r="F74" s="597"/>
      <c r="G74" s="612"/>
      <c r="H74" s="598"/>
      <c r="I74" s="598"/>
      <c r="J74" s="599"/>
      <c r="K74" s="693">
        <f t="shared" si="0"/>
        <v>0</v>
      </c>
      <c r="L74" s="690">
        <f t="shared" si="3"/>
        <v>0</v>
      </c>
      <c r="M74" s="1288"/>
    </row>
    <row r="75" spans="2:14" x14ac:dyDescent="0.25">
      <c r="B75" s="1285"/>
      <c r="C75" s="1285"/>
      <c r="D75" s="507"/>
      <c r="E75" s="597"/>
      <c r="F75" s="597"/>
      <c r="G75" s="612"/>
      <c r="H75" s="598"/>
      <c r="I75" s="598"/>
      <c r="J75" s="599"/>
      <c r="K75" s="693">
        <f t="shared" si="0"/>
        <v>0</v>
      </c>
      <c r="L75" s="690">
        <f t="shared" si="3"/>
        <v>0</v>
      </c>
      <c r="M75" s="1288"/>
    </row>
    <row r="76" spans="2:14" x14ac:dyDescent="0.25">
      <c r="B76" s="1285"/>
      <c r="C76" s="1285"/>
      <c r="D76" s="507"/>
      <c r="E76" s="597"/>
      <c r="F76" s="597"/>
      <c r="G76" s="612"/>
      <c r="H76" s="598"/>
      <c r="I76" s="598"/>
      <c r="J76" s="599"/>
      <c r="K76" s="693">
        <f t="shared" ref="K76:K130" si="4">SUM(H76:J76)</f>
        <v>0</v>
      </c>
      <c r="L76" s="690">
        <f t="shared" si="3"/>
        <v>0</v>
      </c>
      <c r="M76" s="1288"/>
    </row>
    <row r="77" spans="2:14" x14ac:dyDescent="0.25">
      <c r="B77" s="1285"/>
      <c r="C77" s="1285"/>
      <c r="D77" s="507"/>
      <c r="E77" s="597"/>
      <c r="F77" s="597"/>
      <c r="G77" s="612"/>
      <c r="H77" s="598"/>
      <c r="I77" s="598"/>
      <c r="J77" s="599"/>
      <c r="K77" s="695">
        <f t="shared" si="4"/>
        <v>0</v>
      </c>
      <c r="L77" s="690">
        <f t="shared" si="3"/>
        <v>0</v>
      </c>
      <c r="M77" s="1288"/>
    </row>
    <row r="78" spans="2:14" x14ac:dyDescent="0.25">
      <c r="B78" s="1285"/>
      <c r="C78" s="1285"/>
      <c r="D78" s="507"/>
      <c r="E78" s="597"/>
      <c r="F78" s="597"/>
      <c r="G78" s="612"/>
      <c r="H78" s="598"/>
      <c r="I78" s="598"/>
      <c r="J78" s="599"/>
      <c r="K78" s="693">
        <f t="shared" si="4"/>
        <v>0</v>
      </c>
      <c r="L78" s="690">
        <f t="shared" si="3"/>
        <v>0</v>
      </c>
      <c r="M78" s="1288"/>
    </row>
    <row r="79" spans="2:14" ht="15.75" thickBot="1" x14ac:dyDescent="0.3">
      <c r="B79" s="1285"/>
      <c r="C79" s="1286"/>
      <c r="D79" s="547"/>
      <c r="E79" s="548"/>
      <c r="F79" s="548"/>
      <c r="G79" s="508"/>
      <c r="H79" s="549"/>
      <c r="I79" s="549"/>
      <c r="J79" s="407"/>
      <c r="K79" s="694">
        <f t="shared" si="4"/>
        <v>0</v>
      </c>
      <c r="L79" s="691">
        <f t="shared" si="3"/>
        <v>0</v>
      </c>
      <c r="M79" s="1288"/>
    </row>
    <row r="80" spans="2:14" x14ac:dyDescent="0.25">
      <c r="B80" s="1285"/>
      <c r="C80" s="1284" t="s">
        <v>179</v>
      </c>
      <c r="D80" s="400"/>
      <c r="E80" s="600"/>
      <c r="F80" s="600"/>
      <c r="G80" s="609"/>
      <c r="H80" s="601"/>
      <c r="I80" s="601"/>
      <c r="J80" s="602"/>
      <c r="K80" s="604">
        <f t="shared" si="4"/>
        <v>0</v>
      </c>
      <c r="L80" s="642">
        <f t="shared" ref="L80:L130" si="5">+(H80*(1+$M$7))+I80+J80</f>
        <v>0</v>
      </c>
      <c r="M80" s="1288"/>
    </row>
    <row r="81" spans="2:13" x14ac:dyDescent="0.25">
      <c r="B81" s="1285"/>
      <c r="C81" s="1285"/>
      <c r="D81" s="507"/>
      <c r="E81" s="597"/>
      <c r="F81" s="597"/>
      <c r="G81" s="612"/>
      <c r="H81" s="598"/>
      <c r="I81" s="598"/>
      <c r="J81" s="599"/>
      <c r="K81" s="605">
        <f t="shared" si="4"/>
        <v>0</v>
      </c>
      <c r="L81" s="640">
        <f t="shared" si="5"/>
        <v>0</v>
      </c>
      <c r="M81" s="1288"/>
    </row>
    <row r="82" spans="2:13" x14ac:dyDescent="0.25">
      <c r="B82" s="1285"/>
      <c r="C82" s="1285"/>
      <c r="D82" s="507"/>
      <c r="E82" s="597"/>
      <c r="F82" s="597"/>
      <c r="G82" s="612"/>
      <c r="H82" s="598"/>
      <c r="I82" s="598"/>
      <c r="J82" s="599"/>
      <c r="K82" s="605">
        <f t="shared" si="4"/>
        <v>0</v>
      </c>
      <c r="L82" s="640">
        <f t="shared" si="5"/>
        <v>0</v>
      </c>
      <c r="M82" s="1288"/>
    </row>
    <row r="83" spans="2:13" x14ac:dyDescent="0.25">
      <c r="B83" s="1285"/>
      <c r="C83" s="1285"/>
      <c r="D83" s="507"/>
      <c r="E83" s="597"/>
      <c r="F83" s="597"/>
      <c r="G83" s="612"/>
      <c r="H83" s="598"/>
      <c r="I83" s="598"/>
      <c r="J83" s="599"/>
      <c r="K83" s="605">
        <f t="shared" si="4"/>
        <v>0</v>
      </c>
      <c r="L83" s="640">
        <f t="shared" si="5"/>
        <v>0</v>
      </c>
      <c r="M83" s="1288"/>
    </row>
    <row r="84" spans="2:13" x14ac:dyDescent="0.25">
      <c r="B84" s="1285"/>
      <c r="C84" s="1285"/>
      <c r="D84" s="507"/>
      <c r="E84" s="597"/>
      <c r="F84" s="597"/>
      <c r="G84" s="612"/>
      <c r="H84" s="598"/>
      <c r="I84" s="598"/>
      <c r="J84" s="599"/>
      <c r="K84" s="605">
        <f t="shared" si="4"/>
        <v>0</v>
      </c>
      <c r="L84" s="640">
        <f t="shared" si="5"/>
        <v>0</v>
      </c>
      <c r="M84" s="1288"/>
    </row>
    <row r="85" spans="2:13" x14ac:dyDescent="0.25">
      <c r="B85" s="1285"/>
      <c r="C85" s="1285"/>
      <c r="D85" s="507"/>
      <c r="E85" s="597"/>
      <c r="F85" s="597"/>
      <c r="G85" s="612"/>
      <c r="H85" s="598"/>
      <c r="I85" s="598"/>
      <c r="J85" s="599"/>
      <c r="K85" s="605">
        <f t="shared" si="4"/>
        <v>0</v>
      </c>
      <c r="L85" s="640">
        <f t="shared" si="5"/>
        <v>0</v>
      </c>
      <c r="M85" s="1288"/>
    </row>
    <row r="86" spans="2:13" x14ac:dyDescent="0.25">
      <c r="B86" s="1285"/>
      <c r="C86" s="1285"/>
      <c r="D86" s="507"/>
      <c r="E86" s="597"/>
      <c r="F86" s="597"/>
      <c r="G86" s="612"/>
      <c r="H86" s="598"/>
      <c r="I86" s="598"/>
      <c r="J86" s="599"/>
      <c r="K86" s="605">
        <f t="shared" si="4"/>
        <v>0</v>
      </c>
      <c r="L86" s="640">
        <f t="shared" si="5"/>
        <v>0</v>
      </c>
      <c r="M86" s="1288"/>
    </row>
    <row r="87" spans="2:13" x14ac:dyDescent="0.25">
      <c r="B87" s="1285"/>
      <c r="C87" s="1285"/>
      <c r="D87" s="507"/>
      <c r="E87" s="597"/>
      <c r="F87" s="597"/>
      <c r="G87" s="612"/>
      <c r="H87" s="598"/>
      <c r="I87" s="598"/>
      <c r="J87" s="599"/>
      <c r="K87" s="605">
        <f>SUM(H87:J87)</f>
        <v>0</v>
      </c>
      <c r="L87" s="640">
        <f t="shared" si="5"/>
        <v>0</v>
      </c>
      <c r="M87" s="1288"/>
    </row>
    <row r="88" spans="2:13" x14ac:dyDescent="0.25">
      <c r="B88" s="1285"/>
      <c r="C88" s="1285"/>
      <c r="D88" s="507"/>
      <c r="E88" s="597"/>
      <c r="F88" s="597"/>
      <c r="G88" s="612"/>
      <c r="H88" s="598"/>
      <c r="I88" s="598"/>
      <c r="J88" s="599"/>
      <c r="K88" s="606">
        <f t="shared" si="4"/>
        <v>0</v>
      </c>
      <c r="L88" s="640">
        <f t="shared" si="5"/>
        <v>0</v>
      </c>
      <c r="M88" s="1288"/>
    </row>
    <row r="89" spans="2:13" x14ac:dyDescent="0.25">
      <c r="B89" s="1285"/>
      <c r="C89" s="1285"/>
      <c r="D89" s="507"/>
      <c r="E89" s="597"/>
      <c r="F89" s="597"/>
      <c r="G89" s="612"/>
      <c r="H89" s="598"/>
      <c r="I89" s="598"/>
      <c r="J89" s="599"/>
      <c r="K89" s="605">
        <f t="shared" si="4"/>
        <v>0</v>
      </c>
      <c r="L89" s="640">
        <f t="shared" si="5"/>
        <v>0</v>
      </c>
      <c r="M89" s="1288"/>
    </row>
    <row r="90" spans="2:13" ht="15.75" thickBot="1" x14ac:dyDescent="0.3">
      <c r="B90" s="1286"/>
      <c r="C90" s="1286"/>
      <c r="D90" s="547"/>
      <c r="E90" s="548"/>
      <c r="F90" s="548"/>
      <c r="G90" s="508"/>
      <c r="H90" s="549"/>
      <c r="I90" s="549"/>
      <c r="J90" s="407"/>
      <c r="K90" s="607">
        <f t="shared" si="4"/>
        <v>0</v>
      </c>
      <c r="L90" s="705">
        <f t="shared" si="5"/>
        <v>0</v>
      </c>
      <c r="M90" s="1289"/>
    </row>
    <row r="91" spans="2:13" x14ac:dyDescent="0.25">
      <c r="B91" s="1281" t="str">
        <f>+'B) Reajuste Tarifas y Ocupación'!A32</f>
        <v>Piscina</v>
      </c>
      <c r="C91" s="1284" t="s">
        <v>178</v>
      </c>
      <c r="D91" s="400"/>
      <c r="E91" s="600"/>
      <c r="F91" s="600" t="s">
        <v>300</v>
      </c>
      <c r="G91" s="609" t="s">
        <v>304</v>
      </c>
      <c r="H91" s="601">
        <v>1895947</v>
      </c>
      <c r="I91" s="601">
        <v>0</v>
      </c>
      <c r="J91" s="603">
        <v>0</v>
      </c>
      <c r="K91" s="692">
        <f t="shared" si="4"/>
        <v>1895947</v>
      </c>
      <c r="L91" s="689">
        <f>+((H91*(1+$M$7))*(1+$M$8))+I91+J91</f>
        <v>1981264.6149999998</v>
      </c>
      <c r="M91" s="1287">
        <f>SUM(L91:L110)</f>
        <v>11438836.475</v>
      </c>
    </row>
    <row r="92" spans="2:13" x14ac:dyDescent="0.25">
      <c r="B92" s="1282"/>
      <c r="C92" s="1285"/>
      <c r="D92" s="507"/>
      <c r="E92" s="597"/>
      <c r="F92" s="597" t="s">
        <v>301</v>
      </c>
      <c r="G92" s="612" t="s">
        <v>304</v>
      </c>
      <c r="H92" s="598">
        <v>1892418</v>
      </c>
      <c r="I92" s="598">
        <v>0</v>
      </c>
      <c r="J92" s="550">
        <v>0</v>
      </c>
      <c r="K92" s="693">
        <f t="shared" si="4"/>
        <v>1892418</v>
      </c>
      <c r="L92" s="690">
        <f t="shared" ref="L92:L99" si="6">+((H92*(1+$M$7))*(1+$M$8))+I92+J92</f>
        <v>1977576.8099999998</v>
      </c>
      <c r="M92" s="1288"/>
    </row>
    <row r="93" spans="2:13" x14ac:dyDescent="0.25">
      <c r="B93" s="1282"/>
      <c r="C93" s="1285"/>
      <c r="D93" s="507"/>
      <c r="E93" s="597"/>
      <c r="F93" s="597" t="s">
        <v>302</v>
      </c>
      <c r="G93" s="612" t="s">
        <v>304</v>
      </c>
      <c r="H93" s="598">
        <v>3086227</v>
      </c>
      <c r="I93" s="598">
        <v>0</v>
      </c>
      <c r="J93" s="550">
        <v>0</v>
      </c>
      <c r="K93" s="693">
        <f t="shared" si="4"/>
        <v>3086227</v>
      </c>
      <c r="L93" s="690">
        <f t="shared" si="6"/>
        <v>3225107.2149999999</v>
      </c>
      <c r="M93" s="1288"/>
    </row>
    <row r="94" spans="2:13" x14ac:dyDescent="0.25">
      <c r="B94" s="1282"/>
      <c r="C94" s="1285"/>
      <c r="D94" s="507"/>
      <c r="E94" s="597"/>
      <c r="F94" s="597" t="s">
        <v>303</v>
      </c>
      <c r="G94" s="612" t="s">
        <v>304</v>
      </c>
      <c r="H94" s="598">
        <v>2179245</v>
      </c>
      <c r="I94" s="598">
        <v>0</v>
      </c>
      <c r="J94" s="550">
        <v>0</v>
      </c>
      <c r="K94" s="693">
        <f t="shared" si="4"/>
        <v>2179245</v>
      </c>
      <c r="L94" s="690">
        <f t="shared" si="6"/>
        <v>2277311.0249999999</v>
      </c>
      <c r="M94" s="1288"/>
    </row>
    <row r="95" spans="2:13" x14ac:dyDescent="0.25">
      <c r="B95" s="1282"/>
      <c r="C95" s="1285"/>
      <c r="D95" s="507"/>
      <c r="E95" s="597"/>
      <c r="F95" s="597" t="s">
        <v>375</v>
      </c>
      <c r="G95" s="612" t="s">
        <v>304</v>
      </c>
      <c r="H95" s="598">
        <v>1892418</v>
      </c>
      <c r="I95" s="598">
        <v>0</v>
      </c>
      <c r="J95" s="599">
        <v>0</v>
      </c>
      <c r="K95" s="693">
        <f t="shared" si="4"/>
        <v>1892418</v>
      </c>
      <c r="L95" s="690">
        <f t="shared" si="6"/>
        <v>1977576.8099999998</v>
      </c>
      <c r="M95" s="1288"/>
    </row>
    <row r="96" spans="2:13" x14ac:dyDescent="0.25">
      <c r="B96" s="1282"/>
      <c r="C96" s="1285"/>
      <c r="D96" s="507"/>
      <c r="E96" s="597"/>
      <c r="F96" s="597"/>
      <c r="G96" s="612"/>
      <c r="H96" s="598"/>
      <c r="I96" s="598"/>
      <c r="J96" s="599"/>
      <c r="K96" s="693">
        <f t="shared" si="4"/>
        <v>0</v>
      </c>
      <c r="L96" s="690">
        <f t="shared" si="6"/>
        <v>0</v>
      </c>
      <c r="M96" s="1288"/>
    </row>
    <row r="97" spans="2:13" x14ac:dyDescent="0.25">
      <c r="B97" s="1282"/>
      <c r="C97" s="1285"/>
      <c r="D97" s="507"/>
      <c r="E97" s="597"/>
      <c r="F97" s="597"/>
      <c r="G97" s="612"/>
      <c r="H97" s="598"/>
      <c r="I97" s="598"/>
      <c r="J97" s="599"/>
      <c r="K97" s="693">
        <f t="shared" si="4"/>
        <v>0</v>
      </c>
      <c r="L97" s="690">
        <f t="shared" si="6"/>
        <v>0</v>
      </c>
      <c r="M97" s="1288"/>
    </row>
    <row r="98" spans="2:13" x14ac:dyDescent="0.25">
      <c r="B98" s="1282"/>
      <c r="C98" s="1285"/>
      <c r="D98" s="507"/>
      <c r="E98" s="597"/>
      <c r="F98" s="597"/>
      <c r="G98" s="612"/>
      <c r="H98" s="598"/>
      <c r="I98" s="598"/>
      <c r="J98" s="599"/>
      <c r="K98" s="693">
        <f t="shared" si="4"/>
        <v>0</v>
      </c>
      <c r="L98" s="690">
        <f t="shared" si="6"/>
        <v>0</v>
      </c>
      <c r="M98" s="1288"/>
    </row>
    <row r="99" spans="2:13" ht="15.75" thickBot="1" x14ac:dyDescent="0.3">
      <c r="B99" s="1282"/>
      <c r="C99" s="1286"/>
      <c r="D99" s="547"/>
      <c r="E99" s="548"/>
      <c r="F99" s="548"/>
      <c r="G99" s="508"/>
      <c r="H99" s="549"/>
      <c r="I99" s="549"/>
      <c r="J99" s="407"/>
      <c r="K99" s="696">
        <f t="shared" si="4"/>
        <v>0</v>
      </c>
      <c r="L99" s="691">
        <f t="shared" si="6"/>
        <v>0</v>
      </c>
      <c r="M99" s="1288"/>
    </row>
    <row r="100" spans="2:13" x14ac:dyDescent="0.25">
      <c r="B100" s="1282"/>
      <c r="C100" s="1284" t="s">
        <v>179</v>
      </c>
      <c r="D100" s="600"/>
      <c r="E100" s="600"/>
      <c r="F100" s="600"/>
      <c r="G100" s="609"/>
      <c r="H100" s="601"/>
      <c r="I100" s="601"/>
      <c r="J100" s="602"/>
      <c r="K100" s="604">
        <f t="shared" si="4"/>
        <v>0</v>
      </c>
      <c r="L100" s="642">
        <f t="shared" si="5"/>
        <v>0</v>
      </c>
      <c r="M100" s="1288"/>
    </row>
    <row r="101" spans="2:13" x14ac:dyDescent="0.25">
      <c r="B101" s="1282"/>
      <c r="C101" s="1285"/>
      <c r="D101" s="597"/>
      <c r="E101" s="597"/>
      <c r="F101" s="597"/>
      <c r="G101" s="612"/>
      <c r="H101" s="598"/>
      <c r="I101" s="598"/>
      <c r="J101" s="599"/>
      <c r="K101" s="605">
        <f t="shared" si="4"/>
        <v>0</v>
      </c>
      <c r="L101" s="640">
        <f t="shared" si="5"/>
        <v>0</v>
      </c>
      <c r="M101" s="1288"/>
    </row>
    <row r="102" spans="2:13" x14ac:dyDescent="0.25">
      <c r="B102" s="1282"/>
      <c r="C102" s="1285"/>
      <c r="D102" s="597"/>
      <c r="E102" s="597"/>
      <c r="F102" s="597"/>
      <c r="G102" s="612"/>
      <c r="H102" s="598"/>
      <c r="I102" s="598"/>
      <c r="J102" s="599"/>
      <c r="K102" s="605">
        <f t="shared" si="4"/>
        <v>0</v>
      </c>
      <c r="L102" s="640">
        <f t="shared" si="5"/>
        <v>0</v>
      </c>
      <c r="M102" s="1288"/>
    </row>
    <row r="103" spans="2:13" x14ac:dyDescent="0.25">
      <c r="B103" s="1282"/>
      <c r="C103" s="1285"/>
      <c r="D103" s="597"/>
      <c r="E103" s="597"/>
      <c r="F103" s="597"/>
      <c r="G103" s="612"/>
      <c r="H103" s="598"/>
      <c r="I103" s="598"/>
      <c r="J103" s="599"/>
      <c r="K103" s="605">
        <f t="shared" si="4"/>
        <v>0</v>
      </c>
      <c r="L103" s="640">
        <f t="shared" si="5"/>
        <v>0</v>
      </c>
      <c r="M103" s="1288"/>
    </row>
    <row r="104" spans="2:13" x14ac:dyDescent="0.25">
      <c r="B104" s="1282"/>
      <c r="C104" s="1285"/>
      <c r="D104" s="507"/>
      <c r="E104" s="507"/>
      <c r="F104" s="597"/>
      <c r="G104" s="612"/>
      <c r="H104" s="598"/>
      <c r="I104" s="598"/>
      <c r="J104" s="599"/>
      <c r="K104" s="605">
        <f t="shared" si="4"/>
        <v>0</v>
      </c>
      <c r="L104" s="640">
        <f t="shared" si="5"/>
        <v>0</v>
      </c>
      <c r="M104" s="1288"/>
    </row>
    <row r="105" spans="2:13" x14ac:dyDescent="0.25">
      <c r="B105" s="1282"/>
      <c r="C105" s="1285"/>
      <c r="D105" s="507"/>
      <c r="E105" s="597"/>
      <c r="F105" s="616"/>
      <c r="G105" s="616"/>
      <c r="H105" s="617"/>
      <c r="I105" s="598"/>
      <c r="J105" s="599"/>
      <c r="K105" s="605">
        <f t="shared" si="4"/>
        <v>0</v>
      </c>
      <c r="L105" s="640">
        <f t="shared" si="5"/>
        <v>0</v>
      </c>
      <c r="M105" s="1288"/>
    </row>
    <row r="106" spans="2:13" x14ac:dyDescent="0.25">
      <c r="B106" s="1282"/>
      <c r="C106" s="1285"/>
      <c r="D106" s="507"/>
      <c r="E106" s="597"/>
      <c r="F106" s="618"/>
      <c r="G106" s="616"/>
      <c r="H106" s="617"/>
      <c r="I106" s="598"/>
      <c r="J106" s="599"/>
      <c r="K106" s="605">
        <f t="shared" si="4"/>
        <v>0</v>
      </c>
      <c r="L106" s="640">
        <f t="shared" si="5"/>
        <v>0</v>
      </c>
      <c r="M106" s="1288"/>
    </row>
    <row r="107" spans="2:13" x14ac:dyDescent="0.25">
      <c r="B107" s="1282"/>
      <c r="C107" s="1285"/>
      <c r="D107" s="507"/>
      <c r="E107" s="597"/>
      <c r="F107" s="616"/>
      <c r="G107" s="616"/>
      <c r="H107" s="617"/>
      <c r="I107" s="598"/>
      <c r="J107" s="599"/>
      <c r="K107" s="605">
        <f t="shared" si="4"/>
        <v>0</v>
      </c>
      <c r="L107" s="640">
        <f t="shared" si="5"/>
        <v>0</v>
      </c>
      <c r="M107" s="1288"/>
    </row>
    <row r="108" spans="2:13" x14ac:dyDescent="0.25">
      <c r="B108" s="1282"/>
      <c r="C108" s="1285"/>
      <c r="D108" s="507"/>
      <c r="E108" s="597"/>
      <c r="F108" s="616"/>
      <c r="G108" s="616"/>
      <c r="H108" s="617"/>
      <c r="I108" s="598"/>
      <c r="J108" s="599"/>
      <c r="K108" s="605">
        <f t="shared" si="4"/>
        <v>0</v>
      </c>
      <c r="L108" s="640">
        <f t="shared" si="5"/>
        <v>0</v>
      </c>
      <c r="M108" s="1288"/>
    </row>
    <row r="109" spans="2:13" x14ac:dyDescent="0.25">
      <c r="B109" s="1282"/>
      <c r="C109" s="1285"/>
      <c r="D109" s="507"/>
      <c r="E109" s="597"/>
      <c r="F109" s="616"/>
      <c r="G109" s="616"/>
      <c r="H109" s="617"/>
      <c r="I109" s="598"/>
      <c r="J109" s="599"/>
      <c r="K109" s="605">
        <f t="shared" si="4"/>
        <v>0</v>
      </c>
      <c r="L109" s="640">
        <f t="shared" si="5"/>
        <v>0</v>
      </c>
      <c r="M109" s="1288"/>
    </row>
    <row r="110" spans="2:13" ht="15.75" thickBot="1" x14ac:dyDescent="0.3">
      <c r="B110" s="1283"/>
      <c r="C110" s="1286"/>
      <c r="D110" s="547"/>
      <c r="E110" s="548"/>
      <c r="F110" s="548"/>
      <c r="G110" s="508"/>
      <c r="H110" s="549"/>
      <c r="I110" s="549"/>
      <c r="J110" s="407"/>
      <c r="K110" s="608">
        <f t="shared" si="4"/>
        <v>0</v>
      </c>
      <c r="L110" s="641">
        <f t="shared" si="5"/>
        <v>0</v>
      </c>
      <c r="M110" s="1289"/>
    </row>
    <row r="111" spans="2:13" x14ac:dyDescent="0.25">
      <c r="B111" s="1281" t="str">
        <f>+'B) Reajuste Tarifas y Ocupación'!A34</f>
        <v>Departamento Superior</v>
      </c>
      <c r="C111" s="1284" t="s">
        <v>178</v>
      </c>
      <c r="D111" s="400"/>
      <c r="E111" s="600"/>
      <c r="F111" s="600"/>
      <c r="G111" s="609"/>
      <c r="H111" s="601"/>
      <c r="I111" s="601"/>
      <c r="J111" s="602"/>
      <c r="K111" s="604">
        <f t="shared" si="4"/>
        <v>0</v>
      </c>
      <c r="L111" s="639">
        <f t="shared" si="5"/>
        <v>0</v>
      </c>
      <c r="M111" s="1287">
        <v>0</v>
      </c>
    </row>
    <row r="112" spans="2:13" x14ac:dyDescent="0.25">
      <c r="B112" s="1282"/>
      <c r="C112" s="1285"/>
      <c r="D112" s="507"/>
      <c r="E112" s="597"/>
      <c r="F112" s="597"/>
      <c r="G112" s="612"/>
      <c r="H112" s="598"/>
      <c r="I112" s="598"/>
      <c r="J112" s="599"/>
      <c r="K112" s="605">
        <f t="shared" si="4"/>
        <v>0</v>
      </c>
      <c r="L112" s="640">
        <f t="shared" si="5"/>
        <v>0</v>
      </c>
      <c r="M112" s="1288"/>
    </row>
    <row r="113" spans="2:13" x14ac:dyDescent="0.25">
      <c r="B113" s="1282"/>
      <c r="C113" s="1285"/>
      <c r="D113" s="507"/>
      <c r="E113" s="597"/>
      <c r="F113" s="597"/>
      <c r="G113" s="612"/>
      <c r="H113" s="598"/>
      <c r="I113" s="598"/>
      <c r="J113" s="599"/>
      <c r="K113" s="605">
        <f t="shared" si="4"/>
        <v>0</v>
      </c>
      <c r="L113" s="640">
        <f t="shared" si="5"/>
        <v>0</v>
      </c>
      <c r="M113" s="1288"/>
    </row>
    <row r="114" spans="2:13" x14ac:dyDescent="0.25">
      <c r="B114" s="1282"/>
      <c r="C114" s="1285"/>
      <c r="D114" s="507"/>
      <c r="E114" s="597"/>
      <c r="F114" s="597"/>
      <c r="G114" s="612"/>
      <c r="H114" s="598"/>
      <c r="I114" s="598"/>
      <c r="J114" s="599"/>
      <c r="K114" s="605">
        <f t="shared" si="4"/>
        <v>0</v>
      </c>
      <c r="L114" s="640">
        <f t="shared" si="5"/>
        <v>0</v>
      </c>
      <c r="M114" s="1288"/>
    </row>
    <row r="115" spans="2:13" x14ac:dyDescent="0.25">
      <c r="B115" s="1282"/>
      <c r="C115" s="1285"/>
      <c r="D115" s="507"/>
      <c r="E115" s="597"/>
      <c r="F115" s="597"/>
      <c r="G115" s="612"/>
      <c r="H115" s="598"/>
      <c r="I115" s="598"/>
      <c r="J115" s="599"/>
      <c r="K115" s="605">
        <f t="shared" si="4"/>
        <v>0</v>
      </c>
      <c r="L115" s="640">
        <f t="shared" si="5"/>
        <v>0</v>
      </c>
      <c r="M115" s="1288"/>
    </row>
    <row r="116" spans="2:13" x14ac:dyDescent="0.25">
      <c r="B116" s="1282"/>
      <c r="C116" s="1285"/>
      <c r="D116" s="507"/>
      <c r="E116" s="597"/>
      <c r="F116" s="597"/>
      <c r="G116" s="612"/>
      <c r="H116" s="598"/>
      <c r="I116" s="598"/>
      <c r="J116" s="599"/>
      <c r="K116" s="605">
        <f t="shared" si="4"/>
        <v>0</v>
      </c>
      <c r="L116" s="640">
        <f t="shared" si="5"/>
        <v>0</v>
      </c>
      <c r="M116" s="1288"/>
    </row>
    <row r="117" spans="2:13" x14ac:dyDescent="0.25">
      <c r="B117" s="1282"/>
      <c r="C117" s="1285"/>
      <c r="D117" s="507"/>
      <c r="E117" s="597"/>
      <c r="F117" s="597"/>
      <c r="G117" s="612"/>
      <c r="H117" s="598"/>
      <c r="I117" s="598"/>
      <c r="J117" s="599"/>
      <c r="K117" s="605">
        <f t="shared" si="4"/>
        <v>0</v>
      </c>
      <c r="L117" s="640">
        <f t="shared" si="5"/>
        <v>0</v>
      </c>
      <c r="M117" s="1288"/>
    </row>
    <row r="118" spans="2:13" x14ac:dyDescent="0.25">
      <c r="B118" s="1282"/>
      <c r="C118" s="1285"/>
      <c r="D118" s="507"/>
      <c r="E118" s="597"/>
      <c r="F118" s="597"/>
      <c r="G118" s="612"/>
      <c r="H118" s="598"/>
      <c r="I118" s="598"/>
      <c r="J118" s="599"/>
      <c r="K118" s="605">
        <f t="shared" si="4"/>
        <v>0</v>
      </c>
      <c r="L118" s="640">
        <f t="shared" si="5"/>
        <v>0</v>
      </c>
      <c r="M118" s="1288"/>
    </row>
    <row r="119" spans="2:13" ht="15.75" thickBot="1" x14ac:dyDescent="0.3">
      <c r="B119" s="1282"/>
      <c r="C119" s="1286"/>
      <c r="D119" s="547"/>
      <c r="E119" s="548"/>
      <c r="F119" s="548"/>
      <c r="G119" s="508"/>
      <c r="H119" s="549"/>
      <c r="I119" s="549"/>
      <c r="J119" s="407"/>
      <c r="K119" s="607">
        <f t="shared" si="4"/>
        <v>0</v>
      </c>
      <c r="L119" s="641">
        <f t="shared" si="5"/>
        <v>0</v>
      </c>
      <c r="M119" s="1288"/>
    </row>
    <row r="120" spans="2:13" x14ac:dyDescent="0.25">
      <c r="B120" s="1282"/>
      <c r="C120" s="1284" t="s">
        <v>179</v>
      </c>
      <c r="D120" s="400"/>
      <c r="E120" s="600"/>
      <c r="F120" s="600"/>
      <c r="G120" s="609"/>
      <c r="H120" s="601"/>
      <c r="I120" s="601"/>
      <c r="J120" s="602"/>
      <c r="K120" s="604">
        <f t="shared" si="4"/>
        <v>0</v>
      </c>
      <c r="L120" s="642">
        <f t="shared" si="5"/>
        <v>0</v>
      </c>
      <c r="M120" s="1288"/>
    </row>
    <row r="121" spans="2:13" x14ac:dyDescent="0.25">
      <c r="B121" s="1282"/>
      <c r="C121" s="1285"/>
      <c r="D121" s="507"/>
      <c r="E121" s="597"/>
      <c r="F121" s="597"/>
      <c r="G121" s="612"/>
      <c r="H121" s="598"/>
      <c r="I121" s="598"/>
      <c r="J121" s="599"/>
      <c r="K121" s="606">
        <f t="shared" si="4"/>
        <v>0</v>
      </c>
      <c r="L121" s="640">
        <f t="shared" si="5"/>
        <v>0</v>
      </c>
      <c r="M121" s="1288"/>
    </row>
    <row r="122" spans="2:13" x14ac:dyDescent="0.25">
      <c r="B122" s="1282"/>
      <c r="C122" s="1285"/>
      <c r="D122" s="507"/>
      <c r="E122" s="597"/>
      <c r="F122" s="597"/>
      <c r="G122" s="612"/>
      <c r="H122" s="598"/>
      <c r="I122" s="598"/>
      <c r="J122" s="599"/>
      <c r="K122" s="605">
        <f t="shared" si="4"/>
        <v>0</v>
      </c>
      <c r="L122" s="640">
        <f t="shared" si="5"/>
        <v>0</v>
      </c>
      <c r="M122" s="1288"/>
    </row>
    <row r="123" spans="2:13" x14ac:dyDescent="0.25">
      <c r="B123" s="1282"/>
      <c r="C123" s="1285"/>
      <c r="D123" s="507"/>
      <c r="E123" s="597"/>
      <c r="F123" s="597"/>
      <c r="G123" s="612"/>
      <c r="H123" s="598"/>
      <c r="I123" s="598"/>
      <c r="J123" s="599"/>
      <c r="K123" s="605">
        <f t="shared" si="4"/>
        <v>0</v>
      </c>
      <c r="L123" s="640">
        <f t="shared" si="5"/>
        <v>0</v>
      </c>
      <c r="M123" s="1288"/>
    </row>
    <row r="124" spans="2:13" x14ac:dyDescent="0.25">
      <c r="B124" s="1282"/>
      <c r="C124" s="1285"/>
      <c r="D124" s="507"/>
      <c r="E124" s="597"/>
      <c r="F124" s="597"/>
      <c r="G124" s="612"/>
      <c r="H124" s="598"/>
      <c r="I124" s="598"/>
      <c r="J124" s="599"/>
      <c r="K124" s="605">
        <f t="shared" si="4"/>
        <v>0</v>
      </c>
      <c r="L124" s="640">
        <f t="shared" si="5"/>
        <v>0</v>
      </c>
      <c r="M124" s="1288"/>
    </row>
    <row r="125" spans="2:13" x14ac:dyDescent="0.25">
      <c r="B125" s="1282"/>
      <c r="C125" s="1285"/>
      <c r="D125" s="507"/>
      <c r="E125" s="597"/>
      <c r="F125" s="597"/>
      <c r="G125" s="612"/>
      <c r="H125" s="598"/>
      <c r="I125" s="598"/>
      <c r="J125" s="599"/>
      <c r="K125" s="605">
        <f t="shared" si="4"/>
        <v>0</v>
      </c>
      <c r="L125" s="640">
        <f t="shared" si="5"/>
        <v>0</v>
      </c>
      <c r="M125" s="1288"/>
    </row>
    <row r="126" spans="2:13" x14ac:dyDescent="0.25">
      <c r="B126" s="1282"/>
      <c r="C126" s="1285"/>
      <c r="D126" s="507"/>
      <c r="E126" s="597"/>
      <c r="F126" s="597"/>
      <c r="G126" s="612"/>
      <c r="H126" s="598"/>
      <c r="I126" s="598"/>
      <c r="J126" s="599"/>
      <c r="K126" s="605">
        <f t="shared" si="4"/>
        <v>0</v>
      </c>
      <c r="L126" s="640">
        <f t="shared" si="5"/>
        <v>0</v>
      </c>
      <c r="M126" s="1288"/>
    </row>
    <row r="127" spans="2:13" x14ac:dyDescent="0.25">
      <c r="B127" s="1282"/>
      <c r="C127" s="1285"/>
      <c r="D127" s="507"/>
      <c r="E127" s="597"/>
      <c r="F127" s="597"/>
      <c r="G127" s="612"/>
      <c r="H127" s="598"/>
      <c r="I127" s="598"/>
      <c r="J127" s="599"/>
      <c r="K127" s="605">
        <f t="shared" si="4"/>
        <v>0</v>
      </c>
      <c r="L127" s="640">
        <f t="shared" si="5"/>
        <v>0</v>
      </c>
      <c r="M127" s="1288"/>
    </row>
    <row r="128" spans="2:13" x14ac:dyDescent="0.25">
      <c r="B128" s="1282"/>
      <c r="C128" s="1285"/>
      <c r="D128" s="507"/>
      <c r="E128" s="597"/>
      <c r="F128" s="597"/>
      <c r="G128" s="612"/>
      <c r="H128" s="598"/>
      <c r="I128" s="598"/>
      <c r="J128" s="599"/>
      <c r="K128" s="605">
        <f t="shared" si="4"/>
        <v>0</v>
      </c>
      <c r="L128" s="640">
        <f t="shared" si="5"/>
        <v>0</v>
      </c>
      <c r="M128" s="1288"/>
    </row>
    <row r="129" spans="2:13" x14ac:dyDescent="0.25">
      <c r="B129" s="1282"/>
      <c r="C129" s="1285"/>
      <c r="D129" s="507"/>
      <c r="E129" s="597"/>
      <c r="F129" s="597"/>
      <c r="G129" s="612"/>
      <c r="H129" s="598"/>
      <c r="I129" s="598"/>
      <c r="J129" s="599"/>
      <c r="K129" s="605">
        <f t="shared" si="4"/>
        <v>0</v>
      </c>
      <c r="L129" s="640">
        <f t="shared" si="5"/>
        <v>0</v>
      </c>
      <c r="M129" s="1288"/>
    </row>
    <row r="130" spans="2:13" ht="15.75" thickBot="1" x14ac:dyDescent="0.3">
      <c r="B130" s="1283"/>
      <c r="C130" s="1286"/>
      <c r="D130" s="547"/>
      <c r="E130" s="548"/>
      <c r="F130" s="548"/>
      <c r="G130" s="508"/>
      <c r="H130" s="549"/>
      <c r="I130" s="549"/>
      <c r="J130" s="407"/>
      <c r="K130" s="607">
        <f t="shared" si="4"/>
        <v>0</v>
      </c>
      <c r="L130" s="641">
        <f t="shared" si="5"/>
        <v>0</v>
      </c>
      <c r="M130" s="1289"/>
    </row>
    <row r="131" spans="2:13" x14ac:dyDescent="0.25">
      <c r="K131" s="546"/>
    </row>
    <row r="132" spans="2:13" x14ac:dyDescent="0.25">
      <c r="H132" s="707"/>
      <c r="K132" s="546"/>
      <c r="M132" s="718"/>
    </row>
    <row r="133" spans="2:13" x14ac:dyDescent="0.25">
      <c r="H133" s="707"/>
      <c r="K133" s="546"/>
    </row>
    <row r="134" spans="2:13" x14ac:dyDescent="0.25">
      <c r="G134" s="966"/>
      <c r="H134" s="967"/>
      <c r="K134" s="546"/>
    </row>
    <row r="135" spans="2:13" x14ac:dyDescent="0.25">
      <c r="K135" s="546"/>
    </row>
    <row r="136" spans="2:13" x14ac:dyDescent="0.25">
      <c r="K136" s="546"/>
    </row>
    <row r="137" spans="2:13" x14ac:dyDescent="0.25">
      <c r="K137" s="546"/>
    </row>
    <row r="138" spans="2:13" x14ac:dyDescent="0.25">
      <c r="K138" s="546"/>
    </row>
    <row r="139" spans="2:13" x14ac:dyDescent="0.25">
      <c r="K139" s="546"/>
    </row>
    <row r="140" spans="2:13" x14ac:dyDescent="0.25">
      <c r="K140" s="546"/>
    </row>
    <row r="141" spans="2:13" x14ac:dyDescent="0.25">
      <c r="K141" s="546"/>
    </row>
    <row r="142" spans="2:13" x14ac:dyDescent="0.25">
      <c r="K142" s="546"/>
    </row>
    <row r="143" spans="2:13" x14ac:dyDescent="0.25">
      <c r="K143" s="546"/>
    </row>
    <row r="144" spans="2:13" x14ac:dyDescent="0.25">
      <c r="K144" s="546"/>
    </row>
    <row r="145" spans="11:11" x14ac:dyDescent="0.25">
      <c r="K145" s="546"/>
    </row>
    <row r="146" spans="11:11" x14ac:dyDescent="0.25">
      <c r="K146" s="546"/>
    </row>
    <row r="147" spans="11:11" x14ac:dyDescent="0.25">
      <c r="K147" s="546"/>
    </row>
    <row r="148" spans="11:11" x14ac:dyDescent="0.25">
      <c r="K148" s="546"/>
    </row>
    <row r="149" spans="11:11" x14ac:dyDescent="0.25">
      <c r="K149" s="546"/>
    </row>
    <row r="150" spans="11:11" x14ac:dyDescent="0.25">
      <c r="K150" s="546"/>
    </row>
    <row r="151" spans="11:11" x14ac:dyDescent="0.25">
      <c r="K151" s="546"/>
    </row>
    <row r="152" spans="11:11" x14ac:dyDescent="0.25">
      <c r="K152" s="546"/>
    </row>
    <row r="153" spans="11:11" x14ac:dyDescent="0.25">
      <c r="K153" s="546"/>
    </row>
    <row r="154" spans="11:11" x14ac:dyDescent="0.25">
      <c r="K154" s="546"/>
    </row>
    <row r="155" spans="11:11" x14ac:dyDescent="0.25">
      <c r="K155" s="546"/>
    </row>
    <row r="156" spans="11:11" x14ac:dyDescent="0.25">
      <c r="K156" s="546"/>
    </row>
    <row r="157" spans="11:11" x14ac:dyDescent="0.25">
      <c r="K157" s="546"/>
    </row>
    <row r="158" spans="11:11" x14ac:dyDescent="0.25">
      <c r="K158" s="546"/>
    </row>
    <row r="159" spans="11:11" x14ac:dyDescent="0.25">
      <c r="K159" s="546"/>
    </row>
    <row r="160" spans="11:11" x14ac:dyDescent="0.25">
      <c r="K160" s="546"/>
    </row>
    <row r="161" spans="11:11" x14ac:dyDescent="0.25">
      <c r="K161" s="546"/>
    </row>
    <row r="162" spans="11:11" x14ac:dyDescent="0.25">
      <c r="K162" s="546"/>
    </row>
    <row r="163" spans="11:11" x14ac:dyDescent="0.25">
      <c r="K163" s="546"/>
    </row>
    <row r="164" spans="11:11" x14ac:dyDescent="0.25">
      <c r="K164" s="546"/>
    </row>
    <row r="165" spans="11:11" x14ac:dyDescent="0.25">
      <c r="K165" s="546"/>
    </row>
    <row r="166" spans="11:11" x14ac:dyDescent="0.25">
      <c r="K166" s="546"/>
    </row>
    <row r="167" spans="11:11" x14ac:dyDescent="0.25">
      <c r="K167" s="546"/>
    </row>
    <row r="168" spans="11:11" x14ac:dyDescent="0.25">
      <c r="K168" s="546"/>
    </row>
    <row r="169" spans="11:11" x14ac:dyDescent="0.25">
      <c r="K169" s="546"/>
    </row>
    <row r="170" spans="11:11" x14ac:dyDescent="0.25">
      <c r="K170" s="546"/>
    </row>
    <row r="171" spans="11:11" x14ac:dyDescent="0.25">
      <c r="K171" s="546"/>
    </row>
    <row r="172" spans="11:11" x14ac:dyDescent="0.25">
      <c r="K172" s="546"/>
    </row>
    <row r="173" spans="11:11" x14ac:dyDescent="0.25">
      <c r="K173" s="546"/>
    </row>
    <row r="174" spans="11:11" x14ac:dyDescent="0.25">
      <c r="K174" s="546"/>
    </row>
    <row r="175" spans="11:11" x14ac:dyDescent="0.25">
      <c r="K175" s="546"/>
    </row>
    <row r="176" spans="11:11" x14ac:dyDescent="0.25">
      <c r="K176" s="546"/>
    </row>
    <row r="177" spans="11:11" x14ac:dyDescent="0.25">
      <c r="K177" s="546"/>
    </row>
    <row r="178" spans="11:11" x14ac:dyDescent="0.25">
      <c r="K178" s="546"/>
    </row>
    <row r="179" spans="11:11" x14ac:dyDescent="0.25">
      <c r="K179" s="546"/>
    </row>
    <row r="180" spans="11:11" x14ac:dyDescent="0.25">
      <c r="K180" s="546"/>
    </row>
    <row r="181" spans="11:11" x14ac:dyDescent="0.25">
      <c r="K181" s="546"/>
    </row>
    <row r="182" spans="11:11" x14ac:dyDescent="0.25">
      <c r="K182" s="546"/>
    </row>
    <row r="183" spans="11:11" x14ac:dyDescent="0.25">
      <c r="K183" s="546"/>
    </row>
    <row r="184" spans="11:11" x14ac:dyDescent="0.25">
      <c r="K184" s="546"/>
    </row>
    <row r="185" spans="11:11" x14ac:dyDescent="0.25">
      <c r="K185" s="546"/>
    </row>
    <row r="186" spans="11:11" x14ac:dyDescent="0.25">
      <c r="K186" s="546"/>
    </row>
    <row r="187" spans="11:11" x14ac:dyDescent="0.25">
      <c r="K187"/>
    </row>
    <row r="188" spans="11:11" x14ac:dyDescent="0.25">
      <c r="K188"/>
    </row>
    <row r="189" spans="11:11" x14ac:dyDescent="0.25">
      <c r="K189"/>
    </row>
    <row r="190" spans="11:11" x14ac:dyDescent="0.25">
      <c r="K190"/>
    </row>
    <row r="191" spans="11:11" x14ac:dyDescent="0.25">
      <c r="K191"/>
    </row>
    <row r="192" spans="11:11" x14ac:dyDescent="0.25">
      <c r="K192"/>
    </row>
    <row r="193" spans="11:11" x14ac:dyDescent="0.25">
      <c r="K193"/>
    </row>
    <row r="194" spans="11:11" x14ac:dyDescent="0.25">
      <c r="K194"/>
    </row>
    <row r="195" spans="11:11" x14ac:dyDescent="0.25">
      <c r="K195"/>
    </row>
    <row r="196" spans="11:11" x14ac:dyDescent="0.25">
      <c r="K196"/>
    </row>
    <row r="197" spans="11:11" x14ac:dyDescent="0.25">
      <c r="K197"/>
    </row>
    <row r="198" spans="11:11" x14ac:dyDescent="0.25">
      <c r="K198"/>
    </row>
    <row r="199" spans="11:11" x14ac:dyDescent="0.25">
      <c r="K199"/>
    </row>
    <row r="200" spans="11:11" x14ac:dyDescent="0.25">
      <c r="K200"/>
    </row>
    <row r="201" spans="11:11" x14ac:dyDescent="0.25">
      <c r="K201"/>
    </row>
    <row r="202" spans="11:11" x14ac:dyDescent="0.25">
      <c r="K202"/>
    </row>
    <row r="203" spans="11:11" x14ac:dyDescent="0.25">
      <c r="K203"/>
    </row>
    <row r="204" spans="11:11" x14ac:dyDescent="0.25">
      <c r="K204"/>
    </row>
    <row r="205" spans="11:11" x14ac:dyDescent="0.25">
      <c r="K205"/>
    </row>
    <row r="206" spans="11:11" x14ac:dyDescent="0.25">
      <c r="K206"/>
    </row>
    <row r="207" spans="11:11" x14ac:dyDescent="0.25">
      <c r="K207"/>
    </row>
    <row r="208" spans="11:11" x14ac:dyDescent="0.25">
      <c r="K208"/>
    </row>
    <row r="209" spans="11:11" x14ac:dyDescent="0.25">
      <c r="K209"/>
    </row>
    <row r="210" spans="11:11" x14ac:dyDescent="0.25">
      <c r="K210"/>
    </row>
    <row r="211" spans="11:11" x14ac:dyDescent="0.25">
      <c r="K211"/>
    </row>
    <row r="212" spans="11:11" x14ac:dyDescent="0.25">
      <c r="K212"/>
    </row>
    <row r="213" spans="11:11" x14ac:dyDescent="0.25">
      <c r="K213"/>
    </row>
    <row r="214" spans="11:11" x14ac:dyDescent="0.25">
      <c r="K214"/>
    </row>
    <row r="215" spans="11:11" x14ac:dyDescent="0.25">
      <c r="K215"/>
    </row>
    <row r="216" spans="11:11" x14ac:dyDescent="0.25">
      <c r="K216"/>
    </row>
    <row r="217" spans="11:11" x14ac:dyDescent="0.25">
      <c r="K217"/>
    </row>
    <row r="218" spans="11:11" x14ac:dyDescent="0.25">
      <c r="K218"/>
    </row>
    <row r="219" spans="11:11" x14ac:dyDescent="0.25">
      <c r="K219"/>
    </row>
    <row r="220" spans="11:11" x14ac:dyDescent="0.25">
      <c r="K220"/>
    </row>
    <row r="221" spans="11:11" x14ac:dyDescent="0.25">
      <c r="K221"/>
    </row>
    <row r="222" spans="11:11" x14ac:dyDescent="0.25">
      <c r="K222"/>
    </row>
    <row r="223" spans="11:11" x14ac:dyDescent="0.25">
      <c r="K223"/>
    </row>
    <row r="224" spans="11:11" x14ac:dyDescent="0.25">
      <c r="K224"/>
    </row>
    <row r="225" spans="11:11" x14ac:dyDescent="0.25">
      <c r="K225"/>
    </row>
    <row r="226" spans="11:11" x14ac:dyDescent="0.25">
      <c r="K226"/>
    </row>
    <row r="227" spans="11:11" x14ac:dyDescent="0.25">
      <c r="K227"/>
    </row>
    <row r="228" spans="11:11" x14ac:dyDescent="0.25">
      <c r="K228"/>
    </row>
    <row r="229" spans="11:11" x14ac:dyDescent="0.25">
      <c r="K229"/>
    </row>
    <row r="230" spans="11:11" x14ac:dyDescent="0.25">
      <c r="K230"/>
    </row>
    <row r="231" spans="11:11" x14ac:dyDescent="0.25">
      <c r="K231"/>
    </row>
    <row r="232" spans="11:11" x14ac:dyDescent="0.25">
      <c r="K232"/>
    </row>
    <row r="233" spans="11:11" x14ac:dyDescent="0.25">
      <c r="K233"/>
    </row>
    <row r="234" spans="11:11" x14ac:dyDescent="0.25">
      <c r="K234"/>
    </row>
    <row r="235" spans="11:11" x14ac:dyDescent="0.25">
      <c r="K235"/>
    </row>
    <row r="236" spans="11:11" x14ac:dyDescent="0.25">
      <c r="K236"/>
    </row>
    <row r="237" spans="11:11" x14ac:dyDescent="0.25">
      <c r="K237"/>
    </row>
    <row r="238" spans="11:11" x14ac:dyDescent="0.25">
      <c r="K238"/>
    </row>
    <row r="239" spans="11:11" x14ac:dyDescent="0.25">
      <c r="K239"/>
    </row>
    <row r="240" spans="11:11" x14ac:dyDescent="0.25">
      <c r="K240"/>
    </row>
    <row r="241" spans="11:11" x14ac:dyDescent="0.25">
      <c r="K241"/>
    </row>
    <row r="242" spans="11:11" x14ac:dyDescent="0.25">
      <c r="K242"/>
    </row>
    <row r="243" spans="11:11" x14ac:dyDescent="0.25">
      <c r="K243"/>
    </row>
    <row r="244" spans="11:11" x14ac:dyDescent="0.25">
      <c r="K244"/>
    </row>
    <row r="245" spans="11:11" x14ac:dyDescent="0.25">
      <c r="K245"/>
    </row>
    <row r="246" spans="11:11" x14ac:dyDescent="0.25">
      <c r="K246"/>
    </row>
    <row r="247" spans="11:11" x14ac:dyDescent="0.25">
      <c r="K247"/>
    </row>
    <row r="248" spans="11:11" x14ac:dyDescent="0.25">
      <c r="K248"/>
    </row>
    <row r="249" spans="11:11" x14ac:dyDescent="0.25">
      <c r="K249"/>
    </row>
    <row r="250" spans="11:11" x14ac:dyDescent="0.25">
      <c r="K250"/>
    </row>
    <row r="251" spans="11:11" x14ac:dyDescent="0.25">
      <c r="K251"/>
    </row>
    <row r="252" spans="11:11" x14ac:dyDescent="0.25">
      <c r="K252"/>
    </row>
    <row r="253" spans="11:11" x14ac:dyDescent="0.25">
      <c r="K253"/>
    </row>
    <row r="254" spans="11:11" x14ac:dyDescent="0.25">
      <c r="K254"/>
    </row>
    <row r="255" spans="11:11" x14ac:dyDescent="0.25">
      <c r="K255"/>
    </row>
    <row r="256" spans="11:11" x14ac:dyDescent="0.25">
      <c r="K256"/>
    </row>
    <row r="257" spans="11:11" x14ac:dyDescent="0.25">
      <c r="K257"/>
    </row>
    <row r="258" spans="11:11" x14ac:dyDescent="0.25">
      <c r="K258"/>
    </row>
    <row r="259" spans="11:11" x14ac:dyDescent="0.25">
      <c r="K259"/>
    </row>
    <row r="260" spans="11:11" x14ac:dyDescent="0.25">
      <c r="K260"/>
    </row>
    <row r="261" spans="11:11" x14ac:dyDescent="0.25">
      <c r="K261"/>
    </row>
    <row r="262" spans="11:11" x14ac:dyDescent="0.25">
      <c r="K262"/>
    </row>
    <row r="263" spans="11:11" x14ac:dyDescent="0.25">
      <c r="K263"/>
    </row>
    <row r="264" spans="11:11" x14ac:dyDescent="0.25">
      <c r="K264"/>
    </row>
    <row r="265" spans="11:11" x14ac:dyDescent="0.25">
      <c r="K265"/>
    </row>
    <row r="266" spans="11:11" x14ac:dyDescent="0.25">
      <c r="K266"/>
    </row>
    <row r="267" spans="11:11" x14ac:dyDescent="0.25">
      <c r="K267"/>
    </row>
    <row r="268" spans="11:11" x14ac:dyDescent="0.25">
      <c r="K268"/>
    </row>
    <row r="269" spans="11:11" x14ac:dyDescent="0.25">
      <c r="K269"/>
    </row>
    <row r="270" spans="11:11" x14ac:dyDescent="0.25">
      <c r="K270"/>
    </row>
    <row r="271" spans="11:11" x14ac:dyDescent="0.25">
      <c r="K271"/>
    </row>
    <row r="272" spans="11:11" x14ac:dyDescent="0.25">
      <c r="K272"/>
    </row>
    <row r="273" spans="11:11" x14ac:dyDescent="0.25">
      <c r="K273"/>
    </row>
    <row r="274" spans="11:11" x14ac:dyDescent="0.25">
      <c r="K274"/>
    </row>
    <row r="275" spans="11:11" x14ac:dyDescent="0.25">
      <c r="K275"/>
    </row>
    <row r="276" spans="11:11" x14ac:dyDescent="0.25">
      <c r="K276"/>
    </row>
    <row r="277" spans="11:11" x14ac:dyDescent="0.25">
      <c r="K277"/>
    </row>
    <row r="278" spans="11:11" x14ac:dyDescent="0.25">
      <c r="K278"/>
    </row>
    <row r="279" spans="11:11" x14ac:dyDescent="0.25">
      <c r="K279"/>
    </row>
    <row r="280" spans="11:11" x14ac:dyDescent="0.25">
      <c r="K280"/>
    </row>
    <row r="281" spans="11:11" x14ac:dyDescent="0.25">
      <c r="K281"/>
    </row>
    <row r="282" spans="11:11" x14ac:dyDescent="0.25">
      <c r="K282"/>
    </row>
    <row r="283" spans="11:11" x14ac:dyDescent="0.25">
      <c r="K283"/>
    </row>
    <row r="284" spans="11:11" x14ac:dyDescent="0.25">
      <c r="K284"/>
    </row>
    <row r="285" spans="11:11" x14ac:dyDescent="0.25">
      <c r="K285"/>
    </row>
    <row r="286" spans="11:11" x14ac:dyDescent="0.25">
      <c r="K286"/>
    </row>
    <row r="287" spans="11:11" x14ac:dyDescent="0.25">
      <c r="K287"/>
    </row>
    <row r="288" spans="11:11" x14ac:dyDescent="0.25">
      <c r="K288"/>
    </row>
    <row r="289" spans="11:11" x14ac:dyDescent="0.25">
      <c r="K289"/>
    </row>
    <row r="290" spans="11:11" x14ac:dyDescent="0.25">
      <c r="K290"/>
    </row>
    <row r="291" spans="11:11" x14ac:dyDescent="0.25">
      <c r="K291"/>
    </row>
    <row r="292" spans="11:11" x14ac:dyDescent="0.25">
      <c r="K292"/>
    </row>
    <row r="293" spans="11:11" x14ac:dyDescent="0.25">
      <c r="K293"/>
    </row>
    <row r="294" spans="11:11" x14ac:dyDescent="0.25">
      <c r="K294"/>
    </row>
    <row r="295" spans="11:11" x14ac:dyDescent="0.25">
      <c r="K295"/>
    </row>
    <row r="296" spans="11:11" x14ac:dyDescent="0.25">
      <c r="K296"/>
    </row>
    <row r="297" spans="11:11" x14ac:dyDescent="0.25">
      <c r="K297"/>
    </row>
    <row r="298" spans="11:11" x14ac:dyDescent="0.25">
      <c r="K298"/>
    </row>
    <row r="299" spans="11:11" x14ac:dyDescent="0.25">
      <c r="K299"/>
    </row>
    <row r="300" spans="11:11" x14ac:dyDescent="0.25">
      <c r="K300"/>
    </row>
    <row r="301" spans="11:11" x14ac:dyDescent="0.25">
      <c r="K301"/>
    </row>
    <row r="302" spans="11:11" x14ac:dyDescent="0.25">
      <c r="K302"/>
    </row>
    <row r="303" spans="11:11" x14ac:dyDescent="0.25">
      <c r="K303"/>
    </row>
    <row r="304" spans="11:11" x14ac:dyDescent="0.25">
      <c r="K304"/>
    </row>
    <row r="305" spans="11:11" x14ac:dyDescent="0.25">
      <c r="K305"/>
    </row>
    <row r="306" spans="11:11" x14ac:dyDescent="0.25">
      <c r="K306"/>
    </row>
    <row r="307" spans="11:11" x14ac:dyDescent="0.25">
      <c r="K307"/>
    </row>
    <row r="308" spans="11:11" x14ac:dyDescent="0.25">
      <c r="K308"/>
    </row>
    <row r="309" spans="11:11" x14ac:dyDescent="0.25">
      <c r="K309"/>
    </row>
    <row r="310" spans="11:11" x14ac:dyDescent="0.25">
      <c r="K310"/>
    </row>
    <row r="311" spans="11:11" x14ac:dyDescent="0.25">
      <c r="K311"/>
    </row>
    <row r="312" spans="11:11" x14ac:dyDescent="0.25">
      <c r="K312"/>
    </row>
    <row r="313" spans="11:11" x14ac:dyDescent="0.25">
      <c r="K313"/>
    </row>
    <row r="314" spans="11:11" x14ac:dyDescent="0.25">
      <c r="K314"/>
    </row>
    <row r="315" spans="11:11" x14ac:dyDescent="0.25">
      <c r="K315"/>
    </row>
    <row r="316" spans="11:11" x14ac:dyDescent="0.25">
      <c r="K316"/>
    </row>
    <row r="317" spans="11:11" x14ac:dyDescent="0.25">
      <c r="K317"/>
    </row>
    <row r="318" spans="11:11" x14ac:dyDescent="0.25">
      <c r="K318"/>
    </row>
    <row r="319" spans="11:11" x14ac:dyDescent="0.25">
      <c r="K319"/>
    </row>
    <row r="320" spans="11:11" x14ac:dyDescent="0.25">
      <c r="K320"/>
    </row>
    <row r="321" spans="11:11" x14ac:dyDescent="0.25">
      <c r="K321"/>
    </row>
    <row r="322" spans="11:11" x14ac:dyDescent="0.25">
      <c r="K322"/>
    </row>
    <row r="323" spans="11:11" x14ac:dyDescent="0.25">
      <c r="K323"/>
    </row>
    <row r="324" spans="11:11" x14ac:dyDescent="0.25">
      <c r="K324"/>
    </row>
    <row r="325" spans="11:11" x14ac:dyDescent="0.25">
      <c r="K325"/>
    </row>
    <row r="326" spans="11:11" x14ac:dyDescent="0.25">
      <c r="K326"/>
    </row>
    <row r="327" spans="11:11" x14ac:dyDescent="0.25">
      <c r="K327"/>
    </row>
    <row r="328" spans="11:11" x14ac:dyDescent="0.25">
      <c r="K328"/>
    </row>
    <row r="329" spans="11:11" x14ac:dyDescent="0.25">
      <c r="K329"/>
    </row>
    <row r="330" spans="11:11" x14ac:dyDescent="0.25">
      <c r="K330"/>
    </row>
    <row r="331" spans="11:11" x14ac:dyDescent="0.25">
      <c r="K331"/>
    </row>
    <row r="332" spans="11:11" x14ac:dyDescent="0.25">
      <c r="K332"/>
    </row>
    <row r="333" spans="11:11" x14ac:dyDescent="0.25">
      <c r="K333"/>
    </row>
    <row r="334" spans="11:11" x14ac:dyDescent="0.25">
      <c r="K334"/>
    </row>
    <row r="335" spans="11:11" x14ac:dyDescent="0.25">
      <c r="K335"/>
    </row>
    <row r="336" spans="11:11" x14ac:dyDescent="0.25">
      <c r="K336"/>
    </row>
    <row r="337" spans="11:11" x14ac:dyDescent="0.25">
      <c r="K337"/>
    </row>
    <row r="338" spans="11:11" x14ac:dyDescent="0.25">
      <c r="K338"/>
    </row>
    <row r="339" spans="11:11" x14ac:dyDescent="0.25">
      <c r="K339"/>
    </row>
    <row r="340" spans="11:11" x14ac:dyDescent="0.25">
      <c r="K340"/>
    </row>
    <row r="341" spans="11:11" x14ac:dyDescent="0.25">
      <c r="K341"/>
    </row>
    <row r="342" spans="11:11" x14ac:dyDescent="0.25">
      <c r="K342"/>
    </row>
    <row r="343" spans="11:11" x14ac:dyDescent="0.25">
      <c r="K343"/>
    </row>
    <row r="344" spans="11:11" x14ac:dyDescent="0.25">
      <c r="K344"/>
    </row>
    <row r="345" spans="11:11" x14ac:dyDescent="0.25">
      <c r="K345"/>
    </row>
    <row r="346" spans="11:11" x14ac:dyDescent="0.25">
      <c r="K346"/>
    </row>
    <row r="347" spans="11:11" x14ac:dyDescent="0.25">
      <c r="K347"/>
    </row>
    <row r="348" spans="11:11" x14ac:dyDescent="0.25">
      <c r="K348"/>
    </row>
    <row r="349" spans="11:11" x14ac:dyDescent="0.25">
      <c r="K349"/>
    </row>
    <row r="350" spans="11:11" x14ac:dyDescent="0.25">
      <c r="K350"/>
    </row>
    <row r="351" spans="11:11" x14ac:dyDescent="0.25">
      <c r="K351"/>
    </row>
    <row r="352" spans="11:11" x14ac:dyDescent="0.25">
      <c r="K352"/>
    </row>
    <row r="353" spans="11:11" x14ac:dyDescent="0.25">
      <c r="K353"/>
    </row>
    <row r="354" spans="11:11" x14ac:dyDescent="0.25">
      <c r="K354"/>
    </row>
    <row r="355" spans="11:11" x14ac:dyDescent="0.25">
      <c r="K355"/>
    </row>
    <row r="356" spans="11:11" x14ac:dyDescent="0.25">
      <c r="K356"/>
    </row>
    <row r="357" spans="11:11" x14ac:dyDescent="0.25">
      <c r="K357"/>
    </row>
    <row r="358" spans="11:11" x14ac:dyDescent="0.25">
      <c r="K358"/>
    </row>
    <row r="359" spans="11:11" x14ac:dyDescent="0.25">
      <c r="K359"/>
    </row>
    <row r="360" spans="11:11" x14ac:dyDescent="0.25">
      <c r="K360"/>
    </row>
    <row r="361" spans="11:11" x14ac:dyDescent="0.25">
      <c r="K361"/>
    </row>
    <row r="362" spans="11:11" x14ac:dyDescent="0.25">
      <c r="K362"/>
    </row>
    <row r="363" spans="11:11" x14ac:dyDescent="0.25">
      <c r="K363"/>
    </row>
    <row r="364" spans="11:11" x14ac:dyDescent="0.25">
      <c r="K364"/>
    </row>
    <row r="365" spans="11:11" x14ac:dyDescent="0.25">
      <c r="K365"/>
    </row>
    <row r="366" spans="11:11" x14ac:dyDescent="0.25">
      <c r="K366"/>
    </row>
    <row r="367" spans="11:11" x14ac:dyDescent="0.25">
      <c r="K367"/>
    </row>
    <row r="368" spans="11:11" x14ac:dyDescent="0.25">
      <c r="K368"/>
    </row>
    <row r="369" spans="11:11" x14ac:dyDescent="0.25">
      <c r="K369"/>
    </row>
    <row r="370" spans="11:11" x14ac:dyDescent="0.25">
      <c r="K370"/>
    </row>
    <row r="371" spans="11:11" x14ac:dyDescent="0.25">
      <c r="K371"/>
    </row>
    <row r="372" spans="11:11" x14ac:dyDescent="0.25">
      <c r="K372"/>
    </row>
    <row r="373" spans="11:11" x14ac:dyDescent="0.25">
      <c r="K373"/>
    </row>
    <row r="374" spans="11:11" x14ac:dyDescent="0.25">
      <c r="K374"/>
    </row>
    <row r="375" spans="11:11" x14ac:dyDescent="0.25">
      <c r="K375"/>
    </row>
    <row r="376" spans="11:11" x14ac:dyDescent="0.25">
      <c r="K376"/>
    </row>
    <row r="377" spans="11:11" x14ac:dyDescent="0.25">
      <c r="K377"/>
    </row>
    <row r="378" spans="11:11" x14ac:dyDescent="0.25">
      <c r="K378"/>
    </row>
    <row r="379" spans="11:11" x14ac:dyDescent="0.25">
      <c r="K379"/>
    </row>
    <row r="380" spans="11:11" x14ac:dyDescent="0.25">
      <c r="K380"/>
    </row>
    <row r="381" spans="11:11" x14ac:dyDescent="0.25">
      <c r="K381"/>
    </row>
    <row r="382" spans="11:11" x14ac:dyDescent="0.25">
      <c r="K382"/>
    </row>
    <row r="383" spans="11:11" x14ac:dyDescent="0.25">
      <c r="K383"/>
    </row>
    <row r="384" spans="11:11" x14ac:dyDescent="0.25">
      <c r="K384"/>
    </row>
    <row r="385" spans="11:11" x14ac:dyDescent="0.25">
      <c r="K385"/>
    </row>
    <row r="386" spans="11:11" x14ac:dyDescent="0.25">
      <c r="K386"/>
    </row>
    <row r="387" spans="11:11" x14ac:dyDescent="0.25">
      <c r="K387"/>
    </row>
    <row r="388" spans="11:11" x14ac:dyDescent="0.25">
      <c r="K388"/>
    </row>
    <row r="389" spans="11:11" x14ac:dyDescent="0.25">
      <c r="K389"/>
    </row>
    <row r="390" spans="11:11" x14ac:dyDescent="0.25">
      <c r="K390"/>
    </row>
    <row r="391" spans="11:11" x14ac:dyDescent="0.25">
      <c r="K391"/>
    </row>
    <row r="392" spans="11:11" x14ac:dyDescent="0.25">
      <c r="K392"/>
    </row>
    <row r="393" spans="11:11" x14ac:dyDescent="0.25">
      <c r="K393"/>
    </row>
    <row r="394" spans="11:11" x14ac:dyDescent="0.25">
      <c r="K394"/>
    </row>
    <row r="395" spans="11:11" x14ac:dyDescent="0.25">
      <c r="K395"/>
    </row>
    <row r="396" spans="11:11" x14ac:dyDescent="0.25">
      <c r="K396"/>
    </row>
    <row r="397" spans="11:11" x14ac:dyDescent="0.25">
      <c r="K397"/>
    </row>
    <row r="398" spans="11:11" x14ac:dyDescent="0.25">
      <c r="K398"/>
    </row>
    <row r="399" spans="11:11" x14ac:dyDescent="0.25">
      <c r="K399"/>
    </row>
    <row r="400" spans="11:11" x14ac:dyDescent="0.25">
      <c r="K400"/>
    </row>
    <row r="401" spans="11:11" x14ac:dyDescent="0.25">
      <c r="K401"/>
    </row>
    <row r="402" spans="11:11" x14ac:dyDescent="0.25">
      <c r="K402"/>
    </row>
    <row r="403" spans="11:11" x14ac:dyDescent="0.25">
      <c r="K403"/>
    </row>
    <row r="404" spans="11:11" x14ac:dyDescent="0.25">
      <c r="K404"/>
    </row>
    <row r="405" spans="11:11" x14ac:dyDescent="0.25">
      <c r="K405"/>
    </row>
    <row r="406" spans="11:11" x14ac:dyDescent="0.25">
      <c r="K406"/>
    </row>
    <row r="407" spans="11:11" x14ac:dyDescent="0.25">
      <c r="K407"/>
    </row>
    <row r="408" spans="11:11" x14ac:dyDescent="0.25">
      <c r="K408"/>
    </row>
    <row r="409" spans="11:11" x14ac:dyDescent="0.25">
      <c r="K409"/>
    </row>
    <row r="410" spans="11:11" x14ac:dyDescent="0.25">
      <c r="K410"/>
    </row>
    <row r="411" spans="11:11" x14ac:dyDescent="0.25">
      <c r="K411"/>
    </row>
    <row r="412" spans="11:11" x14ac:dyDescent="0.25">
      <c r="K412"/>
    </row>
    <row r="413" spans="11:11" x14ac:dyDescent="0.25">
      <c r="K413"/>
    </row>
    <row r="414" spans="11:11" x14ac:dyDescent="0.25">
      <c r="K414"/>
    </row>
    <row r="415" spans="11:11" x14ac:dyDescent="0.25">
      <c r="K415"/>
    </row>
    <row r="416" spans="11:11" x14ac:dyDescent="0.25">
      <c r="K416"/>
    </row>
    <row r="417" spans="11:11" x14ac:dyDescent="0.25">
      <c r="K417"/>
    </row>
    <row r="418" spans="11:11" x14ac:dyDescent="0.25">
      <c r="K418"/>
    </row>
    <row r="419" spans="11:11" x14ac:dyDescent="0.25">
      <c r="K419"/>
    </row>
    <row r="420" spans="11:11" x14ac:dyDescent="0.25">
      <c r="K420"/>
    </row>
    <row r="421" spans="11:11" x14ac:dyDescent="0.25">
      <c r="K421"/>
    </row>
    <row r="422" spans="11:11" x14ac:dyDescent="0.25">
      <c r="K422"/>
    </row>
    <row r="423" spans="11:11" x14ac:dyDescent="0.25">
      <c r="K423"/>
    </row>
    <row r="424" spans="11:11" x14ac:dyDescent="0.25">
      <c r="K424"/>
    </row>
    <row r="425" spans="11:11" x14ac:dyDescent="0.25">
      <c r="K425"/>
    </row>
    <row r="426" spans="11:11" x14ac:dyDescent="0.25">
      <c r="K426"/>
    </row>
    <row r="427" spans="11:11" x14ac:dyDescent="0.25">
      <c r="K427"/>
    </row>
    <row r="428" spans="11:11" x14ac:dyDescent="0.25">
      <c r="K428"/>
    </row>
    <row r="429" spans="11:11" x14ac:dyDescent="0.25">
      <c r="K429"/>
    </row>
    <row r="430" spans="11:11" x14ac:dyDescent="0.25">
      <c r="K430"/>
    </row>
    <row r="431" spans="11:11" x14ac:dyDescent="0.25">
      <c r="K431"/>
    </row>
    <row r="432" spans="11:11" x14ac:dyDescent="0.25">
      <c r="K432"/>
    </row>
    <row r="433" spans="11:11" x14ac:dyDescent="0.25">
      <c r="K433"/>
    </row>
    <row r="434" spans="11:11" x14ac:dyDescent="0.25">
      <c r="K434"/>
    </row>
    <row r="435" spans="11:11" x14ac:dyDescent="0.25">
      <c r="K435"/>
    </row>
    <row r="436" spans="11:11" x14ac:dyDescent="0.25">
      <c r="K436"/>
    </row>
    <row r="437" spans="11:11" x14ac:dyDescent="0.25">
      <c r="K437"/>
    </row>
    <row r="438" spans="11:11" x14ac:dyDescent="0.25">
      <c r="K438"/>
    </row>
    <row r="439" spans="11:11" x14ac:dyDescent="0.25">
      <c r="K439"/>
    </row>
    <row r="440" spans="11:11" x14ac:dyDescent="0.25">
      <c r="K440"/>
    </row>
    <row r="441" spans="11:11" x14ac:dyDescent="0.25">
      <c r="K441"/>
    </row>
    <row r="442" spans="11:11" x14ac:dyDescent="0.25">
      <c r="K442"/>
    </row>
    <row r="443" spans="11:11" x14ac:dyDescent="0.25">
      <c r="K443"/>
    </row>
    <row r="444" spans="11:11" x14ac:dyDescent="0.25">
      <c r="K444"/>
    </row>
    <row r="445" spans="11:11" x14ac:dyDescent="0.25">
      <c r="K445"/>
    </row>
    <row r="446" spans="11:11" x14ac:dyDescent="0.25">
      <c r="K446"/>
    </row>
    <row r="447" spans="11:11" x14ac:dyDescent="0.25">
      <c r="K447"/>
    </row>
    <row r="448" spans="11:11" x14ac:dyDescent="0.25">
      <c r="K448"/>
    </row>
    <row r="449" spans="11:11" x14ac:dyDescent="0.25">
      <c r="K449"/>
    </row>
    <row r="450" spans="11:11" x14ac:dyDescent="0.25">
      <c r="K450"/>
    </row>
    <row r="451" spans="11:11" x14ac:dyDescent="0.25">
      <c r="K451"/>
    </row>
    <row r="452" spans="11:11" x14ac:dyDescent="0.25">
      <c r="K452"/>
    </row>
    <row r="453" spans="11:11" x14ac:dyDescent="0.25">
      <c r="K453"/>
    </row>
    <row r="454" spans="11:11" x14ac:dyDescent="0.25">
      <c r="K454"/>
    </row>
    <row r="455" spans="11:11" x14ac:dyDescent="0.25">
      <c r="K455"/>
    </row>
    <row r="456" spans="11:11" x14ac:dyDescent="0.25">
      <c r="K456"/>
    </row>
    <row r="457" spans="11:11" x14ac:dyDescent="0.25">
      <c r="K457"/>
    </row>
    <row r="458" spans="11:11" x14ac:dyDescent="0.25">
      <c r="K458"/>
    </row>
    <row r="459" spans="11:11" x14ac:dyDescent="0.25">
      <c r="K459"/>
    </row>
    <row r="460" spans="11:11" x14ac:dyDescent="0.25">
      <c r="K460"/>
    </row>
    <row r="461" spans="11:11" x14ac:dyDescent="0.25">
      <c r="K461"/>
    </row>
    <row r="462" spans="11:11" x14ac:dyDescent="0.25">
      <c r="K462"/>
    </row>
    <row r="463" spans="11:11" x14ac:dyDescent="0.25">
      <c r="K463"/>
    </row>
    <row r="464" spans="11:11" x14ac:dyDescent="0.25">
      <c r="K464"/>
    </row>
    <row r="465" spans="11:11" x14ac:dyDescent="0.25">
      <c r="K465"/>
    </row>
    <row r="466" spans="11:11" x14ac:dyDescent="0.25">
      <c r="K466"/>
    </row>
    <row r="467" spans="11:11" x14ac:dyDescent="0.25">
      <c r="K467"/>
    </row>
    <row r="468" spans="11:11" x14ac:dyDescent="0.25">
      <c r="K468"/>
    </row>
    <row r="469" spans="11:11" x14ac:dyDescent="0.25">
      <c r="K469"/>
    </row>
    <row r="470" spans="11:11" x14ac:dyDescent="0.25">
      <c r="K470"/>
    </row>
    <row r="471" spans="11:11" x14ac:dyDescent="0.25">
      <c r="K471"/>
    </row>
    <row r="472" spans="11:11" x14ac:dyDescent="0.25">
      <c r="K472"/>
    </row>
    <row r="473" spans="11:11" x14ac:dyDescent="0.25">
      <c r="K473"/>
    </row>
    <row r="474" spans="11:11" x14ac:dyDescent="0.25">
      <c r="K474"/>
    </row>
    <row r="475" spans="11:11" x14ac:dyDescent="0.25">
      <c r="K475"/>
    </row>
    <row r="476" spans="11:11" x14ac:dyDescent="0.25">
      <c r="K476"/>
    </row>
    <row r="477" spans="11:11" x14ac:dyDescent="0.25">
      <c r="K477"/>
    </row>
    <row r="478" spans="11:11" x14ac:dyDescent="0.25">
      <c r="K478"/>
    </row>
    <row r="479" spans="11:11" x14ac:dyDescent="0.25">
      <c r="K479"/>
    </row>
    <row r="480" spans="11:11" x14ac:dyDescent="0.25">
      <c r="K480"/>
    </row>
    <row r="481" spans="11:11" x14ac:dyDescent="0.25">
      <c r="K481"/>
    </row>
    <row r="482" spans="11:11" x14ac:dyDescent="0.25">
      <c r="K482"/>
    </row>
    <row r="483" spans="11:11" x14ac:dyDescent="0.25">
      <c r="K483"/>
    </row>
    <row r="484" spans="11:11" x14ac:dyDescent="0.25">
      <c r="K484"/>
    </row>
    <row r="485" spans="11:11" x14ac:dyDescent="0.25">
      <c r="K485"/>
    </row>
    <row r="486" spans="11:11" x14ac:dyDescent="0.25">
      <c r="K486"/>
    </row>
    <row r="487" spans="11:11" x14ac:dyDescent="0.25">
      <c r="K487"/>
    </row>
    <row r="488" spans="11:11" x14ac:dyDescent="0.25">
      <c r="K488"/>
    </row>
    <row r="489" spans="11:11" x14ac:dyDescent="0.25">
      <c r="K489"/>
    </row>
    <row r="490" spans="11:11" x14ac:dyDescent="0.25">
      <c r="K490"/>
    </row>
    <row r="491" spans="11:11" x14ac:dyDescent="0.25">
      <c r="K491"/>
    </row>
    <row r="492" spans="11:11" x14ac:dyDescent="0.25">
      <c r="K492"/>
    </row>
    <row r="493" spans="11:11" x14ac:dyDescent="0.25">
      <c r="K493"/>
    </row>
    <row r="494" spans="11:11" x14ac:dyDescent="0.25">
      <c r="K494"/>
    </row>
    <row r="495" spans="11:11" x14ac:dyDescent="0.25">
      <c r="K495"/>
    </row>
    <row r="496" spans="11:11" x14ac:dyDescent="0.25">
      <c r="K496"/>
    </row>
    <row r="497" spans="11:11" x14ac:dyDescent="0.25">
      <c r="K497"/>
    </row>
    <row r="498" spans="11:11" x14ac:dyDescent="0.25">
      <c r="K498"/>
    </row>
    <row r="499" spans="11:11" x14ac:dyDescent="0.25">
      <c r="K499"/>
    </row>
    <row r="500" spans="11:11" x14ac:dyDescent="0.25">
      <c r="K500"/>
    </row>
    <row r="501" spans="11:11" x14ac:dyDescent="0.25">
      <c r="K501"/>
    </row>
    <row r="502" spans="11:11" x14ac:dyDescent="0.25">
      <c r="K502"/>
    </row>
    <row r="503" spans="11:11" x14ac:dyDescent="0.25">
      <c r="K503"/>
    </row>
    <row r="504" spans="11:11" x14ac:dyDescent="0.25">
      <c r="K504"/>
    </row>
    <row r="505" spans="11:11" x14ac:dyDescent="0.25">
      <c r="K505"/>
    </row>
    <row r="506" spans="11:11" x14ac:dyDescent="0.25">
      <c r="K506"/>
    </row>
    <row r="507" spans="11:11" x14ac:dyDescent="0.25">
      <c r="K507"/>
    </row>
    <row r="508" spans="11:11" x14ac:dyDescent="0.25">
      <c r="K508"/>
    </row>
    <row r="509" spans="11:11" x14ac:dyDescent="0.25">
      <c r="K509"/>
    </row>
    <row r="510" spans="11:11" x14ac:dyDescent="0.25">
      <c r="K510"/>
    </row>
    <row r="511" spans="11:11" x14ac:dyDescent="0.25">
      <c r="K511"/>
    </row>
    <row r="512" spans="11:11" x14ac:dyDescent="0.25">
      <c r="K512"/>
    </row>
    <row r="513" spans="11:11" x14ac:dyDescent="0.25">
      <c r="K513"/>
    </row>
    <row r="514" spans="11:11" x14ac:dyDescent="0.25">
      <c r="K514"/>
    </row>
    <row r="515" spans="11:11" x14ac:dyDescent="0.25">
      <c r="K515"/>
    </row>
    <row r="516" spans="11:11" x14ac:dyDescent="0.25">
      <c r="K516"/>
    </row>
    <row r="517" spans="11:11" x14ac:dyDescent="0.25">
      <c r="K517"/>
    </row>
    <row r="518" spans="11:11" x14ac:dyDescent="0.25">
      <c r="K518"/>
    </row>
    <row r="519" spans="11:11" x14ac:dyDescent="0.25">
      <c r="K519"/>
    </row>
    <row r="520" spans="11:11" x14ac:dyDescent="0.25">
      <c r="K520"/>
    </row>
    <row r="521" spans="11:11" x14ac:dyDescent="0.25">
      <c r="K521"/>
    </row>
    <row r="522" spans="11:11" x14ac:dyDescent="0.25">
      <c r="K522"/>
    </row>
    <row r="523" spans="11:11" x14ac:dyDescent="0.25">
      <c r="K523"/>
    </row>
    <row r="524" spans="11:11" x14ac:dyDescent="0.25">
      <c r="K524"/>
    </row>
    <row r="525" spans="11:11" x14ac:dyDescent="0.25">
      <c r="K525"/>
    </row>
    <row r="526" spans="11:11" x14ac:dyDescent="0.25">
      <c r="K526"/>
    </row>
    <row r="527" spans="11:11" x14ac:dyDescent="0.25">
      <c r="K527"/>
    </row>
    <row r="528" spans="11:11" x14ac:dyDescent="0.25">
      <c r="K528"/>
    </row>
    <row r="529" spans="11:11" x14ac:dyDescent="0.25">
      <c r="K529"/>
    </row>
    <row r="530" spans="11:11" x14ac:dyDescent="0.25">
      <c r="K530"/>
    </row>
    <row r="531" spans="11:11" x14ac:dyDescent="0.25">
      <c r="K531"/>
    </row>
    <row r="532" spans="11:11" x14ac:dyDescent="0.25">
      <c r="K532"/>
    </row>
    <row r="533" spans="11:11" x14ac:dyDescent="0.25">
      <c r="K533"/>
    </row>
    <row r="534" spans="11:11" x14ac:dyDescent="0.25">
      <c r="K534"/>
    </row>
    <row r="535" spans="11:11" x14ac:dyDescent="0.25">
      <c r="K535"/>
    </row>
    <row r="536" spans="11:11" x14ac:dyDescent="0.25">
      <c r="K536"/>
    </row>
    <row r="537" spans="11:11" x14ac:dyDescent="0.25">
      <c r="K537"/>
    </row>
    <row r="538" spans="11:11" x14ac:dyDescent="0.25">
      <c r="K538"/>
    </row>
    <row r="539" spans="11:11" x14ac:dyDescent="0.25">
      <c r="K539"/>
    </row>
    <row r="540" spans="11:11" x14ac:dyDescent="0.25">
      <c r="K540"/>
    </row>
    <row r="541" spans="11:11" x14ac:dyDescent="0.25">
      <c r="K541"/>
    </row>
    <row r="542" spans="11:11" x14ac:dyDescent="0.25">
      <c r="K542"/>
    </row>
    <row r="543" spans="11:11" x14ac:dyDescent="0.25">
      <c r="K543"/>
    </row>
    <row r="544" spans="11:11" x14ac:dyDescent="0.25">
      <c r="K544"/>
    </row>
    <row r="545" spans="11:11" x14ac:dyDescent="0.25">
      <c r="K545"/>
    </row>
    <row r="546" spans="11:11" x14ac:dyDescent="0.25">
      <c r="K546"/>
    </row>
    <row r="547" spans="11:11" x14ac:dyDescent="0.25">
      <c r="K547"/>
    </row>
    <row r="548" spans="11:11" x14ac:dyDescent="0.25">
      <c r="K548"/>
    </row>
    <row r="549" spans="11:11" x14ac:dyDescent="0.25">
      <c r="K549"/>
    </row>
    <row r="550" spans="11:11" x14ac:dyDescent="0.25">
      <c r="K550"/>
    </row>
    <row r="551" spans="11:11" x14ac:dyDescent="0.25">
      <c r="K551"/>
    </row>
    <row r="552" spans="11:11" x14ac:dyDescent="0.25">
      <c r="K552"/>
    </row>
    <row r="553" spans="11:11" x14ac:dyDescent="0.25">
      <c r="K553"/>
    </row>
    <row r="554" spans="11:11" x14ac:dyDescent="0.25">
      <c r="K554"/>
    </row>
    <row r="555" spans="11:11" x14ac:dyDescent="0.25">
      <c r="K555"/>
    </row>
    <row r="556" spans="11:11" x14ac:dyDescent="0.25">
      <c r="K556"/>
    </row>
    <row r="557" spans="11:11" x14ac:dyDescent="0.25">
      <c r="K557"/>
    </row>
    <row r="558" spans="11:11" x14ac:dyDescent="0.25">
      <c r="K558"/>
    </row>
    <row r="559" spans="11:11" x14ac:dyDescent="0.25">
      <c r="K559"/>
    </row>
    <row r="560" spans="11:11" x14ac:dyDescent="0.25">
      <c r="K560"/>
    </row>
    <row r="561" spans="11:11" x14ac:dyDescent="0.25">
      <c r="K561"/>
    </row>
    <row r="562" spans="11:11" x14ac:dyDescent="0.25">
      <c r="K562"/>
    </row>
    <row r="563" spans="11:11" x14ac:dyDescent="0.25">
      <c r="K563"/>
    </row>
    <row r="564" spans="11:11" x14ac:dyDescent="0.25">
      <c r="K564"/>
    </row>
    <row r="565" spans="11:11" x14ac:dyDescent="0.25">
      <c r="K565"/>
    </row>
    <row r="566" spans="11:11" x14ac:dyDescent="0.25">
      <c r="K566"/>
    </row>
    <row r="567" spans="11:11" x14ac:dyDescent="0.25">
      <c r="K567"/>
    </row>
    <row r="568" spans="11:11" x14ac:dyDescent="0.25">
      <c r="K568"/>
    </row>
    <row r="569" spans="11:11" x14ac:dyDescent="0.25">
      <c r="K569"/>
    </row>
    <row r="570" spans="11:11" x14ac:dyDescent="0.25">
      <c r="K570"/>
    </row>
    <row r="571" spans="11:11" x14ac:dyDescent="0.25">
      <c r="K571"/>
    </row>
    <row r="572" spans="11:11" x14ac:dyDescent="0.25">
      <c r="K572"/>
    </row>
    <row r="573" spans="11:11" x14ac:dyDescent="0.25">
      <c r="K573"/>
    </row>
    <row r="574" spans="11:11" x14ac:dyDescent="0.25">
      <c r="K574"/>
    </row>
    <row r="575" spans="11:11" x14ac:dyDescent="0.25">
      <c r="K575"/>
    </row>
    <row r="576" spans="11:11" x14ac:dyDescent="0.25">
      <c r="K576"/>
    </row>
    <row r="577" spans="11:11" x14ac:dyDescent="0.25">
      <c r="K577"/>
    </row>
    <row r="578" spans="11:11" x14ac:dyDescent="0.25">
      <c r="K578"/>
    </row>
    <row r="579" spans="11:11" x14ac:dyDescent="0.25">
      <c r="K579"/>
    </row>
    <row r="580" spans="11:11" x14ac:dyDescent="0.25">
      <c r="K580"/>
    </row>
    <row r="581" spans="11:11" x14ac:dyDescent="0.25">
      <c r="K581"/>
    </row>
    <row r="582" spans="11:11" x14ac:dyDescent="0.25">
      <c r="K582"/>
    </row>
    <row r="583" spans="11:11" x14ac:dyDescent="0.25">
      <c r="K583"/>
    </row>
    <row r="584" spans="11:11" x14ac:dyDescent="0.25">
      <c r="K584"/>
    </row>
    <row r="585" spans="11:11" x14ac:dyDescent="0.25">
      <c r="K585"/>
    </row>
    <row r="586" spans="11:11" x14ac:dyDescent="0.25">
      <c r="K586"/>
    </row>
    <row r="587" spans="11:11" x14ac:dyDescent="0.25">
      <c r="K587"/>
    </row>
    <row r="588" spans="11:11" x14ac:dyDescent="0.25">
      <c r="K588"/>
    </row>
    <row r="589" spans="11:11" x14ac:dyDescent="0.25">
      <c r="K589"/>
    </row>
    <row r="590" spans="11:11" x14ac:dyDescent="0.25">
      <c r="K590"/>
    </row>
    <row r="591" spans="11:11" x14ac:dyDescent="0.25">
      <c r="K591"/>
    </row>
    <row r="592" spans="11:11" x14ac:dyDescent="0.25">
      <c r="K592"/>
    </row>
    <row r="593" spans="11:11" x14ac:dyDescent="0.25">
      <c r="K593"/>
    </row>
    <row r="594" spans="11:11" x14ac:dyDescent="0.25">
      <c r="K594"/>
    </row>
    <row r="595" spans="11:11" x14ac:dyDescent="0.25">
      <c r="K595"/>
    </row>
    <row r="596" spans="11:11" x14ac:dyDescent="0.25">
      <c r="K596"/>
    </row>
    <row r="597" spans="11:11" x14ac:dyDescent="0.25">
      <c r="K597"/>
    </row>
    <row r="598" spans="11:11" x14ac:dyDescent="0.25">
      <c r="K598"/>
    </row>
    <row r="599" spans="11:11" x14ac:dyDescent="0.25">
      <c r="K599"/>
    </row>
    <row r="600" spans="11:11" x14ac:dyDescent="0.25">
      <c r="K600"/>
    </row>
    <row r="601" spans="11:11" x14ac:dyDescent="0.25">
      <c r="K601"/>
    </row>
    <row r="602" spans="11:11" x14ac:dyDescent="0.25">
      <c r="K602"/>
    </row>
    <row r="603" spans="11:11" x14ac:dyDescent="0.25">
      <c r="K603"/>
    </row>
    <row r="604" spans="11:11" x14ac:dyDescent="0.25">
      <c r="K604"/>
    </row>
    <row r="605" spans="11:11" x14ac:dyDescent="0.25">
      <c r="K605"/>
    </row>
    <row r="606" spans="11:11" x14ac:dyDescent="0.25">
      <c r="K606"/>
    </row>
    <row r="607" spans="11:11" x14ac:dyDescent="0.25">
      <c r="K607"/>
    </row>
    <row r="608" spans="11:11" x14ac:dyDescent="0.25">
      <c r="K608"/>
    </row>
    <row r="609" spans="11:11" x14ac:dyDescent="0.25">
      <c r="K609"/>
    </row>
    <row r="610" spans="11:11" x14ac:dyDescent="0.25">
      <c r="K610"/>
    </row>
    <row r="611" spans="11:11" x14ac:dyDescent="0.25">
      <c r="K611"/>
    </row>
    <row r="612" spans="11:11" x14ac:dyDescent="0.25">
      <c r="K612"/>
    </row>
    <row r="613" spans="11:11" x14ac:dyDescent="0.25">
      <c r="K613"/>
    </row>
    <row r="614" spans="11:11" x14ac:dyDescent="0.25">
      <c r="K614"/>
    </row>
    <row r="615" spans="11:11" x14ac:dyDescent="0.25">
      <c r="K615"/>
    </row>
    <row r="616" spans="11:11" x14ac:dyDescent="0.25">
      <c r="K616"/>
    </row>
    <row r="617" spans="11:11" x14ac:dyDescent="0.25">
      <c r="K617"/>
    </row>
    <row r="618" spans="11:11" x14ac:dyDescent="0.25">
      <c r="K618"/>
    </row>
    <row r="619" spans="11:11" x14ac:dyDescent="0.25">
      <c r="K619"/>
    </row>
    <row r="620" spans="11:11" x14ac:dyDescent="0.25">
      <c r="K620"/>
    </row>
    <row r="621" spans="11:11" x14ac:dyDescent="0.25">
      <c r="K621"/>
    </row>
    <row r="622" spans="11:11" x14ac:dyDescent="0.25">
      <c r="K622"/>
    </row>
    <row r="623" spans="11:11" x14ac:dyDescent="0.25">
      <c r="K623"/>
    </row>
    <row r="624" spans="11:11" x14ac:dyDescent="0.25">
      <c r="K624"/>
    </row>
    <row r="625" spans="11:11" x14ac:dyDescent="0.25">
      <c r="K625"/>
    </row>
    <row r="626" spans="11:11" x14ac:dyDescent="0.25">
      <c r="K626"/>
    </row>
    <row r="627" spans="11:11" x14ac:dyDescent="0.25">
      <c r="K627"/>
    </row>
    <row r="628" spans="11:11" x14ac:dyDescent="0.25">
      <c r="K628"/>
    </row>
    <row r="629" spans="11:11" x14ac:dyDescent="0.25">
      <c r="K629"/>
    </row>
    <row r="630" spans="11:11" x14ac:dyDescent="0.25">
      <c r="K630"/>
    </row>
    <row r="631" spans="11:11" x14ac:dyDescent="0.25">
      <c r="K631"/>
    </row>
    <row r="632" spans="11:11" x14ac:dyDescent="0.25">
      <c r="K632"/>
    </row>
  </sheetData>
  <mergeCells count="37">
    <mergeCell ref="B7:F7"/>
    <mergeCell ref="B9:B10"/>
    <mergeCell ref="C9:C10"/>
    <mergeCell ref="D9:D10"/>
    <mergeCell ref="E9:E10"/>
    <mergeCell ref="F9:F10"/>
    <mergeCell ref="B31:B50"/>
    <mergeCell ref="C31:C39"/>
    <mergeCell ref="M31:M50"/>
    <mergeCell ref="C40:C50"/>
    <mergeCell ref="G9:G10"/>
    <mergeCell ref="H9:H10"/>
    <mergeCell ref="I9:I10"/>
    <mergeCell ref="J9:J10"/>
    <mergeCell ref="L9:L10"/>
    <mergeCell ref="M9:M10"/>
    <mergeCell ref="B11:B30"/>
    <mergeCell ref="C11:C19"/>
    <mergeCell ref="M11:M30"/>
    <mergeCell ref="C20:C30"/>
    <mergeCell ref="K9:K10"/>
    <mergeCell ref="B51:B70"/>
    <mergeCell ref="C51:C59"/>
    <mergeCell ref="M51:M70"/>
    <mergeCell ref="C60:C70"/>
    <mergeCell ref="B71:B90"/>
    <mergeCell ref="C71:C79"/>
    <mergeCell ref="M71:M90"/>
    <mergeCell ref="C80:C90"/>
    <mergeCell ref="B91:B110"/>
    <mergeCell ref="C91:C99"/>
    <mergeCell ref="M91:M110"/>
    <mergeCell ref="C100:C110"/>
    <mergeCell ref="B111:B130"/>
    <mergeCell ref="C111:C119"/>
    <mergeCell ref="M111:M130"/>
    <mergeCell ref="C120:C130"/>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Instructivo</vt:lpstr>
      <vt:lpstr>Tabla Indice</vt:lpstr>
      <vt:lpstr>A) Resumen Ingresos y Egresos</vt:lpstr>
      <vt:lpstr>B) Reajuste Tarifas y Ocupación</vt:lpstr>
      <vt:lpstr>% Reajuste</vt:lpstr>
      <vt:lpstr>C) Estimación Costos Directos</vt:lpstr>
      <vt:lpstr>D) Costos Indirectos </vt:lpstr>
      <vt:lpstr>E) Resumen Tarifado</vt:lpstr>
      <vt:lpstr>F) Remuneraciones</vt:lpstr>
      <vt:lpstr>G) Comparación Mercado</vt:lpstr>
      <vt:lpstr>H) Detalle Datos</vt:lpstr>
      <vt:lpstr>I) Costo Desayuno</vt:lpstr>
      <vt:lpstr>J)Estructura Económica Mensual</vt:lpstr>
      <vt:lpstr>Hoja1</vt:lpstr>
      <vt:lpstr>K) </vt:lpstr>
      <vt:lpstr>J)</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352 Joaquin Rodrigo</dc:creator>
  <cp:lastModifiedBy>130 Carolina Vera</cp:lastModifiedBy>
  <cp:lastPrinted>2023-05-16T21:48:46Z</cp:lastPrinted>
  <dcterms:created xsi:type="dcterms:W3CDTF">2022-05-03T15:02:05Z</dcterms:created>
  <dcterms:modified xsi:type="dcterms:W3CDTF">2025-10-29T19:03:28Z</dcterms:modified>
</cp:coreProperties>
</file>