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ncRecreativa\Desktop\Tarifas 2026\BIENTALC\"/>
    </mc:Choice>
  </mc:AlternateContent>
  <xr:revisionPtr revIDLastSave="0" documentId="13_ncr:1_{2D163150-BD86-49FE-A024-BBA26EA6917D}" xr6:coauthVersionLast="47" xr6:coauthVersionMax="47" xr10:uidLastSave="{00000000-0000-0000-0000-000000000000}"/>
  <bookViews>
    <workbookView xWindow="-110" yWindow="-110" windowWidth="19420" windowHeight="11500" tabRatio="803" firstSheet="1" activeTab="2" xr2:uid="{00000000-000D-0000-FFFF-FFFF00000000}"/>
  </bookViews>
  <sheets>
    <sheet name="Instructivo" sheetId="14" r:id="rId1"/>
    <sheet name="Índice Tablas" sheetId="13" r:id="rId2"/>
    <sheet name="A) Resumen Ingresos y Egresos" sheetId="1" r:id="rId3"/>
    <sheet name="B) Reajuste Tarifas y Ocupación" sheetId="2" r:id="rId4"/>
    <sheet name="IVA" sheetId="16" r:id="rId5"/>
    <sheet name="% Reajuste" sheetId="15" state="hidden" r:id="rId6"/>
    <sheet name="C) Estimación Costos Directos" sheetId="3" r:id="rId7"/>
    <sheet name="D) Costos Indirectos " sheetId="4" r:id="rId8"/>
    <sheet name="F) Remuneraciones" sheetId="6" r:id="rId9"/>
    <sheet name="E) Resumen Tarifado " sheetId="5" r:id="rId10"/>
    <sheet name="G) Comparación Mercado" sheetId="7" r:id="rId11"/>
    <sheet name="H) Detalle Datos" sheetId="10" r:id="rId12"/>
    <sheet name="I) Costo Desayuno" sheetId="8" r:id="rId13"/>
    <sheet name="J) ESTRUCTURA ECONÓMICA MENS" sheetId="9" r:id="rId14"/>
    <sheet name="K)" sheetId="11" state="hidden" r:id="rId15"/>
    <sheet name="L)" sheetId="12" state="hidden" r:id="rId16"/>
  </sheets>
  <externalReferences>
    <externalReference r:id="rId17"/>
    <externalReference r:id="rId18"/>
    <externalReference r:id="rId19"/>
    <externalReference r:id="rId20"/>
  </externalReferences>
  <calcPr calcId="191029"/>
</workbook>
</file>

<file path=xl/calcChain.xml><?xml version="1.0" encoding="utf-8"?>
<calcChain xmlns="http://schemas.openxmlformats.org/spreadsheetml/2006/main">
  <c r="I20" i="1" l="1"/>
  <c r="E22" i="1"/>
  <c r="H182" i="6"/>
  <c r="H181" i="6"/>
  <c r="H180" i="6"/>
  <c r="K33" i="6"/>
  <c r="H164" i="1"/>
  <c r="H159" i="1"/>
  <c r="Z14" i="2"/>
  <c r="M11" i="6"/>
  <c r="L12" i="6"/>
  <c r="L13" i="6"/>
  <c r="L14" i="6"/>
  <c r="L15" i="6"/>
  <c r="L16" i="6"/>
  <c r="L11" i="6"/>
  <c r="K11" i="6"/>
  <c r="D511" i="3"/>
  <c r="H108" i="6"/>
  <c r="D485" i="3"/>
  <c r="H175" i="6"/>
  <c r="H173" i="6"/>
  <c r="D232" i="3"/>
  <c r="W22" i="2"/>
  <c r="V22" i="2"/>
  <c r="U22" i="2"/>
  <c r="W26" i="2"/>
  <c r="V26" i="2"/>
  <c r="W25" i="2"/>
  <c r="V25" i="2"/>
  <c r="W24" i="2"/>
  <c r="V24" i="2"/>
  <c r="W21" i="2"/>
  <c r="V21" i="2"/>
  <c r="U21" i="2"/>
  <c r="H176" i="6"/>
  <c r="H174" i="6"/>
  <c r="H172" i="6"/>
  <c r="H171" i="6"/>
  <c r="H170" i="6"/>
  <c r="H169" i="6"/>
  <c r="H107" i="6"/>
  <c r="H106" i="6"/>
  <c r="H105" i="6"/>
  <c r="H104" i="6"/>
  <c r="H103" i="6"/>
  <c r="D457" i="3"/>
  <c r="J181" i="6"/>
  <c r="M50" i="7"/>
  <c r="M49" i="7"/>
  <c r="M48" i="7"/>
  <c r="M47" i="7"/>
  <c r="M46" i="7"/>
  <c r="M45" i="7"/>
  <c r="M44" i="7"/>
  <c r="M43" i="7"/>
  <c r="M42" i="7"/>
  <c r="M41" i="7"/>
  <c r="M39" i="7"/>
  <c r="M36" i="7"/>
  <c r="M35" i="7"/>
  <c r="M32" i="7"/>
  <c r="M28" i="7"/>
  <c r="M27" i="7"/>
  <c r="M26" i="7"/>
  <c r="M20" i="7"/>
  <c r="M19" i="7"/>
  <c r="M18" i="7"/>
  <c r="M17" i="7"/>
  <c r="M16" i="10"/>
  <c r="M25" i="10"/>
  <c r="N25" i="10" s="1"/>
  <c r="X21" i="2"/>
  <c r="J182" i="6"/>
  <c r="D578" i="3"/>
  <c r="D529" i="3"/>
  <c r="E537" i="3"/>
  <c r="E101" i="3"/>
  <c r="G162" i="1"/>
  <c r="U27" i="2" l="1"/>
  <c r="E465" i="3" l="1"/>
  <c r="E464" i="3"/>
  <c r="E248" i="3"/>
  <c r="E825" i="3"/>
  <c r="D855" i="3"/>
  <c r="E29" i="10"/>
  <c r="G29" i="10" s="1"/>
  <c r="I29" i="10" s="1"/>
  <c r="J29" i="10" s="1"/>
  <c r="L29" i="10" s="1"/>
  <c r="M29" i="10"/>
  <c r="N29" i="10" s="1"/>
  <c r="O29" i="10" s="1"/>
  <c r="D63" i="10" l="1"/>
  <c r="D64" i="10"/>
  <c r="D65" i="10"/>
  <c r="D66" i="10"/>
  <c r="D67" i="10"/>
  <c r="D68" i="10"/>
  <c r="D69" i="10"/>
  <c r="D70" i="10"/>
  <c r="D71" i="10"/>
  <c r="D72" i="10"/>
  <c r="D73" i="10"/>
  <c r="D62" i="10"/>
  <c r="D61" i="10"/>
  <c r="H55" i="10"/>
  <c r="H54" i="10"/>
  <c r="I54" i="10" s="1"/>
  <c r="H51" i="10"/>
  <c r="I51" i="10" s="1"/>
  <c r="G43" i="10"/>
  <c r="H42" i="10"/>
  <c r="I42" i="10" s="1"/>
  <c r="H41" i="10"/>
  <c r="I41" i="10" s="1"/>
  <c r="H40" i="10"/>
  <c r="I40" i="10" s="1"/>
  <c r="H39" i="10"/>
  <c r="I39" i="10" s="1"/>
  <c r="H37" i="10"/>
  <c r="I37" i="10" s="1"/>
  <c r="G36" i="10"/>
  <c r="M28" i="10"/>
  <c r="E28" i="10"/>
  <c r="G28" i="10" s="1"/>
  <c r="I28" i="10" s="1"/>
  <c r="J28" i="10" s="1"/>
  <c r="L28" i="10" s="1"/>
  <c r="M27" i="10"/>
  <c r="E27" i="10"/>
  <c r="G27" i="10" s="1"/>
  <c r="I27" i="10" s="1"/>
  <c r="J27" i="10" s="1"/>
  <c r="L27" i="10" s="1"/>
  <c r="M26" i="10"/>
  <c r="N26" i="10" s="1"/>
  <c r="E26" i="10"/>
  <c r="G26" i="10" s="1"/>
  <c r="I26" i="10" s="1"/>
  <c r="J26" i="10" s="1"/>
  <c r="L26" i="10" s="1"/>
  <c r="O26" i="10" s="1"/>
  <c r="E25" i="10"/>
  <c r="G25" i="10" s="1"/>
  <c r="I25" i="10" s="1"/>
  <c r="J25" i="10" s="1"/>
  <c r="L25" i="10" s="1"/>
  <c r="O25" i="10" s="1"/>
  <c r="M24" i="10"/>
  <c r="E24" i="10"/>
  <c r="G24" i="10" s="1"/>
  <c r="I24" i="10" s="1"/>
  <c r="J24" i="10" s="1"/>
  <c r="L24" i="10" s="1"/>
  <c r="M23" i="10"/>
  <c r="N23" i="10" s="1"/>
  <c r="E23" i="10"/>
  <c r="G23" i="10" s="1"/>
  <c r="I23" i="10" s="1"/>
  <c r="J23" i="10" s="1"/>
  <c r="L23" i="10" s="1"/>
  <c r="O23" i="10" s="1"/>
  <c r="M22" i="10"/>
  <c r="N22" i="10" s="1"/>
  <c r="E22" i="10"/>
  <c r="G22" i="10" s="1"/>
  <c r="I22" i="10" s="1"/>
  <c r="J22" i="10" s="1"/>
  <c r="L22" i="10" s="1"/>
  <c r="O22" i="10" s="1"/>
  <c r="M21" i="10"/>
  <c r="E21" i="10"/>
  <c r="G21" i="10" s="1"/>
  <c r="I21" i="10" s="1"/>
  <c r="J21" i="10" s="1"/>
  <c r="L21" i="10" s="1"/>
  <c r="M20" i="10"/>
  <c r="E20" i="10"/>
  <c r="G20" i="10" s="1"/>
  <c r="I20" i="10" s="1"/>
  <c r="J20" i="10" s="1"/>
  <c r="L20" i="10" s="1"/>
  <c r="M19" i="10"/>
  <c r="E19" i="10"/>
  <c r="G19" i="10" s="1"/>
  <c r="I19" i="10" s="1"/>
  <c r="J19" i="10" s="1"/>
  <c r="L19" i="10" s="1"/>
  <c r="M18" i="10"/>
  <c r="N18" i="10" s="1"/>
  <c r="E18" i="10"/>
  <c r="G18" i="10" s="1"/>
  <c r="I18" i="10" s="1"/>
  <c r="J18" i="10" s="1"/>
  <c r="L18" i="10" s="1"/>
  <c r="O18" i="10" s="1"/>
  <c r="M17" i="10"/>
  <c r="N17" i="10" s="1"/>
  <c r="E17" i="10"/>
  <c r="G17" i="10" s="1"/>
  <c r="I17" i="10" s="1"/>
  <c r="J17" i="10" s="1"/>
  <c r="L17" i="10" s="1"/>
  <c r="O17" i="10" s="1"/>
  <c r="N16" i="10"/>
  <c r="E16" i="10"/>
  <c r="G16" i="10" s="1"/>
  <c r="I16" i="10" s="1"/>
  <c r="J16" i="10" s="1"/>
  <c r="L16" i="10" s="1"/>
  <c r="O16" i="10" s="1"/>
  <c r="M15" i="10"/>
  <c r="N15" i="10" s="1"/>
  <c r="E15" i="10"/>
  <c r="G15" i="10" s="1"/>
  <c r="I15" i="10" s="1"/>
  <c r="J15" i="10" s="1"/>
  <c r="L15" i="10" s="1"/>
  <c r="O15" i="10" s="1"/>
  <c r="M14" i="10"/>
  <c r="N14" i="10" s="1"/>
  <c r="E14" i="10"/>
  <c r="G14" i="10" s="1"/>
  <c r="I14" i="10" s="1"/>
  <c r="J14" i="10" s="1"/>
  <c r="L14" i="10" s="1"/>
  <c r="O14" i="10" s="1"/>
  <c r="L4" i="10"/>
  <c r="E393" i="3"/>
  <c r="E177" i="3"/>
  <c r="E135" i="3"/>
  <c r="E105" i="3"/>
  <c r="E33" i="3"/>
  <c r="E32" i="3"/>
  <c r="W79" i="4"/>
  <c r="G80" i="4"/>
  <c r="G79" i="4"/>
  <c r="N20" i="10" l="1"/>
  <c r="O20" i="10" s="1"/>
  <c r="H38" i="10"/>
  <c r="I38" i="10" s="1"/>
  <c r="G54" i="10"/>
  <c r="H43" i="10"/>
  <c r="I43" i="10" s="1"/>
  <c r="H53" i="10"/>
  <c r="I53" i="10" s="1"/>
  <c r="G53" i="10"/>
  <c r="G41" i="10"/>
  <c r="G50" i="10"/>
  <c r="G39" i="10"/>
  <c r="H50" i="10"/>
  <c r="I50" i="10" s="1"/>
  <c r="H52" i="10"/>
  <c r="I52" i="10" s="1"/>
  <c r="H36" i="10"/>
  <c r="I36" i="10" s="1"/>
  <c r="G42" i="10"/>
  <c r="G37" i="10"/>
  <c r="G40" i="10"/>
  <c r="G51" i="10"/>
  <c r="I55" i="10"/>
  <c r="G52" i="10"/>
  <c r="G55" i="10"/>
  <c r="D75" i="10"/>
  <c r="D77" i="10" s="1"/>
  <c r="G23" i="4"/>
  <c r="G22" i="4"/>
  <c r="I44" i="10" l="1"/>
  <c r="G38" i="10"/>
  <c r="I56" i="10"/>
  <c r="O94" i="9"/>
  <c r="O95" i="9"/>
  <c r="O127" i="9"/>
  <c r="O128" i="9"/>
  <c r="O116" i="9"/>
  <c r="O117" i="9"/>
  <c r="O126" i="9"/>
  <c r="O115" i="9"/>
  <c r="O93" i="9"/>
  <c r="O83" i="9"/>
  <c r="O84" i="9"/>
  <c r="O82" i="9"/>
  <c r="O61" i="9"/>
  <c r="O62" i="9"/>
  <c r="O60" i="9"/>
  <c r="O28" i="9"/>
  <c r="O29" i="9"/>
  <c r="O27" i="9"/>
  <c r="O17" i="9"/>
  <c r="O18" i="9"/>
  <c r="O16" i="9"/>
  <c r="G25" i="5"/>
  <c r="M28" i="16" l="1"/>
  <c r="M30" i="16"/>
  <c r="L19" i="16"/>
  <c r="L21" i="16"/>
  <c r="L28" i="16"/>
  <c r="L31" i="16"/>
  <c r="I3" i="16"/>
  <c r="L3" i="16" s="1"/>
  <c r="J4" i="16"/>
  <c r="M4" i="16" s="1"/>
  <c r="J5" i="16"/>
  <c r="M5" i="16" s="1"/>
  <c r="J6" i="16"/>
  <c r="M6" i="16" s="1"/>
  <c r="J8" i="16"/>
  <c r="M8" i="16" s="1"/>
  <c r="J9" i="16"/>
  <c r="M9" i="16" s="1"/>
  <c r="J10" i="16"/>
  <c r="M10" i="16" s="1"/>
  <c r="J11" i="16"/>
  <c r="M11" i="16" s="1"/>
  <c r="J12" i="16"/>
  <c r="M12" i="16" s="1"/>
  <c r="J13" i="16"/>
  <c r="M13" i="16" s="1"/>
  <c r="J14" i="16"/>
  <c r="M14" i="16" s="1"/>
  <c r="J15" i="16"/>
  <c r="M15" i="16" s="1"/>
  <c r="J16" i="16"/>
  <c r="M16" i="16" s="1"/>
  <c r="J17" i="16"/>
  <c r="M17" i="16" s="1"/>
  <c r="J18" i="16"/>
  <c r="M18" i="16" s="1"/>
  <c r="J19" i="16"/>
  <c r="M19" i="16" s="1"/>
  <c r="J21" i="16"/>
  <c r="M21" i="16" s="1"/>
  <c r="J22" i="16"/>
  <c r="M22" i="16" s="1"/>
  <c r="J23" i="16"/>
  <c r="M23" i="16" s="1"/>
  <c r="J24" i="16"/>
  <c r="M24" i="16" s="1"/>
  <c r="J25" i="16"/>
  <c r="M25" i="16" s="1"/>
  <c r="J26" i="16"/>
  <c r="M26" i="16" s="1"/>
  <c r="J28" i="16"/>
  <c r="J29" i="16"/>
  <c r="M29" i="16" s="1"/>
  <c r="J30" i="16"/>
  <c r="J31" i="16"/>
  <c r="M31" i="16" s="1"/>
  <c r="J32" i="16"/>
  <c r="M32" i="16" s="1"/>
  <c r="J33" i="16"/>
  <c r="M33" i="16" s="1"/>
  <c r="J34" i="16"/>
  <c r="M34" i="16" s="1"/>
  <c r="J35" i="16"/>
  <c r="M35" i="16" s="1"/>
  <c r="J36" i="16"/>
  <c r="M36" i="16" s="1"/>
  <c r="J37" i="16"/>
  <c r="M37" i="16" s="1"/>
  <c r="J38" i="16"/>
  <c r="M38" i="16" s="1"/>
  <c r="J39" i="16"/>
  <c r="M39" i="16" s="1"/>
  <c r="J3" i="16"/>
  <c r="M3" i="16" s="1"/>
  <c r="I8" i="16"/>
  <c r="L8" i="16" s="1"/>
  <c r="I9" i="16"/>
  <c r="L9" i="16" s="1"/>
  <c r="I10" i="16"/>
  <c r="L10" i="16" s="1"/>
  <c r="I11" i="16"/>
  <c r="L11" i="16" s="1"/>
  <c r="I12" i="16"/>
  <c r="L12" i="16" s="1"/>
  <c r="I13" i="16"/>
  <c r="L13" i="16" s="1"/>
  <c r="I14" i="16"/>
  <c r="L14" i="16" s="1"/>
  <c r="I15" i="16"/>
  <c r="L15" i="16" s="1"/>
  <c r="I16" i="16"/>
  <c r="L16" i="16" s="1"/>
  <c r="I17" i="16"/>
  <c r="L17" i="16" s="1"/>
  <c r="I18" i="16"/>
  <c r="L18" i="16" s="1"/>
  <c r="I19" i="16"/>
  <c r="I21" i="16"/>
  <c r="I22" i="16"/>
  <c r="L22" i="16" s="1"/>
  <c r="I23" i="16"/>
  <c r="L23" i="16" s="1"/>
  <c r="I24" i="16"/>
  <c r="L24" i="16" s="1"/>
  <c r="I25" i="16"/>
  <c r="L25" i="16" s="1"/>
  <c r="I26" i="16"/>
  <c r="L26" i="16" s="1"/>
  <c r="I28" i="16"/>
  <c r="I29" i="16"/>
  <c r="L29" i="16" s="1"/>
  <c r="I30" i="16"/>
  <c r="L30" i="16" s="1"/>
  <c r="I31" i="16"/>
  <c r="I32" i="16"/>
  <c r="L32" i="16" s="1"/>
  <c r="I33" i="16"/>
  <c r="L33" i="16" s="1"/>
  <c r="I34" i="16"/>
  <c r="L34" i="16" s="1"/>
  <c r="I35" i="16"/>
  <c r="L35" i="16" s="1"/>
  <c r="I36" i="16"/>
  <c r="L36" i="16" s="1"/>
  <c r="I37" i="16"/>
  <c r="L37" i="16" s="1"/>
  <c r="I38" i="16"/>
  <c r="L38" i="16" s="1"/>
  <c r="I39" i="16"/>
  <c r="L39" i="16" s="1"/>
  <c r="I4" i="16"/>
  <c r="L4" i="16" s="1"/>
  <c r="I5" i="16"/>
  <c r="L5" i="16" s="1"/>
  <c r="I6" i="16"/>
  <c r="L6" i="16" s="1"/>
  <c r="M40" i="2"/>
  <c r="L40" i="2"/>
  <c r="K40" i="2"/>
  <c r="M27" i="2"/>
  <c r="L27" i="2"/>
  <c r="K27" i="2"/>
  <c r="J27" i="2" s="1"/>
  <c r="M21" i="2"/>
  <c r="L21" i="2"/>
  <c r="K21" i="2"/>
  <c r="D189" i="3"/>
  <c r="M46" i="2"/>
  <c r="L46" i="2"/>
  <c r="M44" i="2"/>
  <c r="L44" i="2"/>
  <c r="L41" i="2"/>
  <c r="L42" i="2"/>
  <c r="M42" i="2"/>
  <c r="K42" i="2"/>
  <c r="M28" i="2"/>
  <c r="L28" i="2"/>
  <c r="K28" i="2"/>
  <c r="K30" i="2" s="1"/>
  <c r="M22" i="2"/>
  <c r="K134" i="9" l="1"/>
  <c r="C134" i="9"/>
  <c r="K100" i="9"/>
  <c r="O105" i="9"/>
  <c r="O106" i="9"/>
  <c r="O104" i="9"/>
  <c r="C78" i="9"/>
  <c r="K67" i="9"/>
  <c r="C67" i="9"/>
  <c r="D235" i="3"/>
  <c r="O140" i="9"/>
  <c r="O139" i="9"/>
  <c r="O138" i="9"/>
  <c r="O72" i="9"/>
  <c r="O73" i="9"/>
  <c r="O71" i="9"/>
  <c r="O50" i="9"/>
  <c r="O51" i="9"/>
  <c r="O49" i="9"/>
  <c r="O39" i="9"/>
  <c r="O40" i="9"/>
  <c r="O38" i="9"/>
  <c r="K34" i="9"/>
  <c r="C34" i="9"/>
  <c r="L70" i="6"/>
  <c r="D25" i="5"/>
  <c r="H25" i="5"/>
  <c r="I25" i="5"/>
  <c r="J25" i="5"/>
  <c r="P25" i="5"/>
  <c r="O25" i="5" s="1"/>
  <c r="Q25" i="5"/>
  <c r="R25" i="5"/>
  <c r="B25" i="5"/>
  <c r="E77" i="1"/>
  <c r="Y27" i="2"/>
  <c r="M30" i="2"/>
  <c r="D44" i="7"/>
  <c r="G44" i="7" s="1"/>
  <c r="P21" i="2"/>
  <c r="J19" i="15"/>
  <c r="M19" i="15"/>
  <c r="I19" i="15"/>
  <c r="L19" i="15" s="1"/>
  <c r="G77" i="1"/>
  <c r="C25" i="5"/>
  <c r="K25" i="5" s="1"/>
  <c r="D78" i="1"/>
  <c r="F78" i="1"/>
  <c r="G78" i="1"/>
  <c r="E78" i="1"/>
  <c r="B77" i="1"/>
  <c r="T27" i="2"/>
  <c r="L12" i="2"/>
  <c r="D17" i="7" s="1"/>
  <c r="G17" i="7" s="1"/>
  <c r="L25" i="2"/>
  <c r="P25" i="2" s="1"/>
  <c r="R37" i="5"/>
  <c r="Q38" i="5"/>
  <c r="Q42" i="5"/>
  <c r="L45" i="2"/>
  <c r="P45" i="2" s="1"/>
  <c r="Q44" i="5"/>
  <c r="L47" i="2"/>
  <c r="E45" i="5" s="1"/>
  <c r="I4" i="15"/>
  <c r="L4" i="15" s="1"/>
  <c r="R40" i="5"/>
  <c r="I5" i="15"/>
  <c r="L5" i="15" s="1"/>
  <c r="L13" i="2" s="1"/>
  <c r="P13" i="2" s="1"/>
  <c r="J5" i="15"/>
  <c r="M5" i="15" s="1"/>
  <c r="I6" i="15"/>
  <c r="L6" i="15" s="1"/>
  <c r="Q12" i="5" s="1"/>
  <c r="J6" i="15"/>
  <c r="M6" i="15" s="1"/>
  <c r="I7" i="15"/>
  <c r="L7" i="15" s="1"/>
  <c r="J7" i="15"/>
  <c r="M7" i="15" s="1"/>
  <c r="M15" i="2" s="1"/>
  <c r="I8" i="15"/>
  <c r="J8" i="15"/>
  <c r="I9" i="15"/>
  <c r="L9" i="15" s="1"/>
  <c r="J9" i="15"/>
  <c r="M9" i="15" s="1"/>
  <c r="I10" i="15"/>
  <c r="L10" i="15"/>
  <c r="J10" i="15"/>
  <c r="M10" i="15" s="1"/>
  <c r="I11" i="15"/>
  <c r="L11" i="15" s="1"/>
  <c r="J11" i="15"/>
  <c r="M11" i="15" s="1"/>
  <c r="I12" i="15"/>
  <c r="L12" i="15" s="1"/>
  <c r="J12" i="15"/>
  <c r="M12" i="15" s="1"/>
  <c r="I13" i="15"/>
  <c r="L13" i="15"/>
  <c r="J13" i="15"/>
  <c r="M13" i="15" s="1"/>
  <c r="I14" i="15"/>
  <c r="L14" i="15" s="1"/>
  <c r="J14" i="15"/>
  <c r="M14" i="15" s="1"/>
  <c r="Q22" i="2" s="1"/>
  <c r="I15" i="15"/>
  <c r="L15" i="15" s="1"/>
  <c r="J15" i="15"/>
  <c r="M15" i="15" s="1"/>
  <c r="I16" i="15"/>
  <c r="L16" i="15" s="1"/>
  <c r="J16" i="15"/>
  <c r="M16" i="15" s="1"/>
  <c r="R22" i="5" s="1"/>
  <c r="I17" i="15"/>
  <c r="L17" i="15" s="1"/>
  <c r="J17" i="15"/>
  <c r="M17" i="15"/>
  <c r="R23" i="5"/>
  <c r="I18" i="15"/>
  <c r="L18" i="15" s="1"/>
  <c r="J18" i="15"/>
  <c r="M18" i="15" s="1"/>
  <c r="R24" i="5" s="1"/>
  <c r="I20" i="15"/>
  <c r="J20" i="15"/>
  <c r="I21" i="15"/>
  <c r="L21" i="15" s="1"/>
  <c r="J21" i="15"/>
  <c r="M21" i="15" s="1"/>
  <c r="I22" i="15"/>
  <c r="L22" i="15" s="1"/>
  <c r="L31" i="2" s="1"/>
  <c r="P31" i="2" s="1"/>
  <c r="J22" i="15"/>
  <c r="M22" i="15" s="1"/>
  <c r="I23" i="15"/>
  <c r="L23" i="15" s="1"/>
  <c r="L32" i="2" s="1"/>
  <c r="E30" i="5" s="1"/>
  <c r="J23" i="15"/>
  <c r="M23" i="15" s="1"/>
  <c r="I24" i="15"/>
  <c r="L24" i="15" s="1"/>
  <c r="Q31" i="5" s="1"/>
  <c r="J24" i="15"/>
  <c r="M24" i="15" s="1"/>
  <c r="M33" i="2" s="1"/>
  <c r="E37" i="7" s="1"/>
  <c r="I25" i="15"/>
  <c r="L25" i="15" s="1"/>
  <c r="Q32" i="5" s="1"/>
  <c r="J25" i="15"/>
  <c r="M25" i="15" s="1"/>
  <c r="R32" i="5" s="1"/>
  <c r="I26" i="15"/>
  <c r="L26" i="15" s="1"/>
  <c r="Q33" i="5" s="1"/>
  <c r="J26" i="15"/>
  <c r="M26" i="15" s="1"/>
  <c r="R33" i="5" s="1"/>
  <c r="I27" i="15"/>
  <c r="J27" i="15"/>
  <c r="I28" i="15"/>
  <c r="L28" i="15" s="1"/>
  <c r="H37" i="2" s="1"/>
  <c r="J28" i="15"/>
  <c r="M28" i="15" s="1"/>
  <c r="I37" i="2" s="1"/>
  <c r="I29" i="15"/>
  <c r="L29" i="15"/>
  <c r="Q36" i="5" s="1"/>
  <c r="J29" i="15"/>
  <c r="M29" i="15" s="1"/>
  <c r="R36" i="5" s="1"/>
  <c r="I30" i="15"/>
  <c r="L30" i="15" s="1"/>
  <c r="L39" i="2" s="1"/>
  <c r="F118" i="1" s="1"/>
  <c r="J30" i="15"/>
  <c r="M30" i="15" s="1"/>
  <c r="I31" i="15"/>
  <c r="L31" i="15"/>
  <c r="J31" i="15"/>
  <c r="M31" i="15" s="1"/>
  <c r="I32" i="15"/>
  <c r="L32" i="15" s="1"/>
  <c r="Q39" i="5" s="1"/>
  <c r="J32" i="15"/>
  <c r="M32" i="15" s="1"/>
  <c r="M41" i="2" s="1"/>
  <c r="I33" i="15"/>
  <c r="L33" i="15" s="1"/>
  <c r="J33" i="15"/>
  <c r="M33" i="15" s="1"/>
  <c r="I34" i="15"/>
  <c r="L34" i="15" s="1"/>
  <c r="Q41" i="5" s="1"/>
  <c r="J34" i="15"/>
  <c r="M34" i="15"/>
  <c r="I35" i="15"/>
  <c r="L35" i="15" s="1"/>
  <c r="J35" i="15"/>
  <c r="M35" i="15" s="1"/>
  <c r="I36" i="15"/>
  <c r="L36" i="15" s="1"/>
  <c r="J36" i="15"/>
  <c r="M36" i="15" s="1"/>
  <c r="R43" i="5" s="1"/>
  <c r="I37" i="15"/>
  <c r="L37" i="15"/>
  <c r="J37" i="15"/>
  <c r="M37" i="15" s="1"/>
  <c r="I38" i="15"/>
  <c r="L38" i="15" s="1"/>
  <c r="J38" i="15"/>
  <c r="M38" i="15"/>
  <c r="I39" i="15"/>
  <c r="L39" i="15" s="1"/>
  <c r="Q46" i="5" s="1"/>
  <c r="J39" i="15"/>
  <c r="M39" i="15" s="1"/>
  <c r="M48" i="2" s="1"/>
  <c r="Q48" i="2" s="1"/>
  <c r="J4" i="15"/>
  <c r="M4" i="15" s="1"/>
  <c r="K83" i="4"/>
  <c r="J83" i="4"/>
  <c r="K82" i="4"/>
  <c r="J82" i="4"/>
  <c r="K81" i="4"/>
  <c r="J81" i="4"/>
  <c r="K80" i="4"/>
  <c r="K79" i="4"/>
  <c r="W78" i="4"/>
  <c r="J76" i="4"/>
  <c r="K76" i="4" s="1"/>
  <c r="J75" i="4"/>
  <c r="K75" i="4" s="1"/>
  <c r="J74" i="4"/>
  <c r="K74" i="4" s="1"/>
  <c r="J73" i="4"/>
  <c r="K73" i="4" s="1"/>
  <c r="J72" i="4"/>
  <c r="K72" i="4" s="1"/>
  <c r="W70" i="4"/>
  <c r="J69" i="4"/>
  <c r="K69" i="4" s="1"/>
  <c r="J68" i="4"/>
  <c r="K68" i="4" s="1"/>
  <c r="J67" i="4"/>
  <c r="K67" i="4" s="1"/>
  <c r="J66" i="4"/>
  <c r="K66" i="4" s="1"/>
  <c r="J65" i="4"/>
  <c r="K65" i="4" s="1"/>
  <c r="S61" i="4"/>
  <c r="J61" i="4"/>
  <c r="K61" i="4" s="1"/>
  <c r="N61" i="4" s="1"/>
  <c r="W60" i="4"/>
  <c r="S60" i="4"/>
  <c r="J60" i="4"/>
  <c r="K60" i="4" s="1"/>
  <c r="S59" i="4"/>
  <c r="S58" i="4"/>
  <c r="J58" i="4"/>
  <c r="K58" i="4" s="1"/>
  <c r="P58" i="4" s="1"/>
  <c r="S57" i="4"/>
  <c r="J57" i="4"/>
  <c r="K57" i="4" s="1"/>
  <c r="S56" i="4"/>
  <c r="J56" i="4"/>
  <c r="K56" i="4" s="1"/>
  <c r="P56" i="4" s="1"/>
  <c r="S55" i="4"/>
  <c r="J55" i="4"/>
  <c r="K55" i="4" s="1"/>
  <c r="S54" i="4"/>
  <c r="J54" i="4"/>
  <c r="K54" i="4" s="1"/>
  <c r="P54" i="4" s="1"/>
  <c r="S53" i="4"/>
  <c r="J53" i="4"/>
  <c r="K53" i="4" s="1"/>
  <c r="R53" i="4" s="1"/>
  <c r="S52" i="4"/>
  <c r="J52" i="4"/>
  <c r="K52" i="4" s="1"/>
  <c r="R52" i="4" s="1"/>
  <c r="S51" i="4"/>
  <c r="J51" i="4"/>
  <c r="K51" i="4" s="1"/>
  <c r="P51" i="4" s="1"/>
  <c r="S50" i="4"/>
  <c r="J50" i="4"/>
  <c r="K50" i="4" s="1"/>
  <c r="R50" i="4" s="1"/>
  <c r="W49" i="4"/>
  <c r="S49" i="4"/>
  <c r="J49" i="4"/>
  <c r="K49" i="4" s="1"/>
  <c r="S48" i="4"/>
  <c r="J48" i="4"/>
  <c r="K48" i="4" s="1"/>
  <c r="N48" i="4" s="1"/>
  <c r="S47" i="4"/>
  <c r="J47" i="4"/>
  <c r="K47" i="4" s="1"/>
  <c r="P47" i="4" s="1"/>
  <c r="W46" i="4"/>
  <c r="S46" i="4"/>
  <c r="J46" i="4"/>
  <c r="K46" i="4" s="1"/>
  <c r="P46" i="4" s="1"/>
  <c r="S45" i="4"/>
  <c r="J45" i="4"/>
  <c r="K45" i="4" s="1"/>
  <c r="S44" i="4"/>
  <c r="J44" i="4"/>
  <c r="K44" i="4" s="1"/>
  <c r="S43" i="4"/>
  <c r="S42" i="4"/>
  <c r="J42" i="4"/>
  <c r="K42" i="4" s="1"/>
  <c r="W41" i="4"/>
  <c r="S41" i="4"/>
  <c r="J41" i="4"/>
  <c r="K41" i="4" s="1"/>
  <c r="S40" i="4"/>
  <c r="J40" i="4"/>
  <c r="K40" i="4" s="1"/>
  <c r="S39" i="4"/>
  <c r="J39" i="4"/>
  <c r="K39" i="4" s="1"/>
  <c r="S38" i="4"/>
  <c r="J38" i="4"/>
  <c r="K38" i="4" s="1"/>
  <c r="N38" i="4" s="1"/>
  <c r="S37" i="4"/>
  <c r="J37" i="4"/>
  <c r="K37" i="4" s="1"/>
  <c r="S36" i="4"/>
  <c r="J36" i="4"/>
  <c r="K36" i="4" s="1"/>
  <c r="S35" i="4"/>
  <c r="J35" i="4"/>
  <c r="K35" i="4" s="1"/>
  <c r="R35" i="4" s="1"/>
  <c r="S34" i="4"/>
  <c r="J34" i="4"/>
  <c r="K34" i="4" s="1"/>
  <c r="P34" i="4" s="1"/>
  <c r="S33" i="4"/>
  <c r="J33" i="4"/>
  <c r="K33" i="4" s="1"/>
  <c r="N33" i="4" s="1"/>
  <c r="S32" i="4"/>
  <c r="J32" i="4"/>
  <c r="K32" i="4" s="1"/>
  <c r="P32" i="4" s="1"/>
  <c r="S31" i="4"/>
  <c r="J31" i="4"/>
  <c r="K31" i="4" s="1"/>
  <c r="P31" i="4" s="1"/>
  <c r="S30" i="4"/>
  <c r="J30" i="4"/>
  <c r="K30" i="4" s="1"/>
  <c r="N30" i="4" s="1"/>
  <c r="S29" i="4"/>
  <c r="J29" i="4"/>
  <c r="K29" i="4" s="1"/>
  <c r="R29" i="4" s="1"/>
  <c r="S28" i="4"/>
  <c r="J28" i="4"/>
  <c r="K28" i="4" s="1"/>
  <c r="S27" i="4"/>
  <c r="J27" i="4"/>
  <c r="K27" i="4" s="1"/>
  <c r="S26" i="4"/>
  <c r="J26" i="4"/>
  <c r="K26" i="4" s="1"/>
  <c r="S25" i="4"/>
  <c r="J25" i="4"/>
  <c r="K25" i="4" s="1"/>
  <c r="S24" i="4"/>
  <c r="J24" i="4"/>
  <c r="K24" i="4" s="1"/>
  <c r="S23" i="4"/>
  <c r="J23" i="4"/>
  <c r="K23" i="4" s="1"/>
  <c r="P23" i="4" s="1"/>
  <c r="S22" i="4"/>
  <c r="J22" i="4"/>
  <c r="K22" i="4" s="1"/>
  <c r="S21" i="4"/>
  <c r="J21" i="4"/>
  <c r="K21" i="4" s="1"/>
  <c r="W20" i="4"/>
  <c r="S20" i="4"/>
  <c r="J20" i="4"/>
  <c r="K20" i="4" s="1"/>
  <c r="S19" i="4"/>
  <c r="J19" i="4"/>
  <c r="K19" i="4" s="1"/>
  <c r="S18" i="4"/>
  <c r="J18" i="4"/>
  <c r="K18" i="4" s="1"/>
  <c r="N18" i="4" s="1"/>
  <c r="S17" i="4"/>
  <c r="J17" i="4"/>
  <c r="K17" i="4" s="1"/>
  <c r="W16" i="4"/>
  <c r="S16" i="4"/>
  <c r="J16" i="4"/>
  <c r="K16" i="4" s="1"/>
  <c r="R16" i="4" s="1"/>
  <c r="S15" i="4"/>
  <c r="J15" i="4"/>
  <c r="K15" i="4" s="1"/>
  <c r="E4" i="4"/>
  <c r="Y26" i="2"/>
  <c r="Y24" i="2"/>
  <c r="Y25" i="2"/>
  <c r="G825" i="3"/>
  <c r="H825" i="3" s="1"/>
  <c r="G681" i="3"/>
  <c r="H681" i="3" s="1"/>
  <c r="G173" i="1"/>
  <c r="G160" i="1"/>
  <c r="G161" i="1"/>
  <c r="G166" i="1"/>
  <c r="L231" i="6"/>
  <c r="K111" i="9"/>
  <c r="C111" i="9"/>
  <c r="K70" i="6"/>
  <c r="Y28" i="11" s="1"/>
  <c r="K137" i="6"/>
  <c r="S74" i="11"/>
  <c r="K59" i="6"/>
  <c r="K60" i="6"/>
  <c r="K61" i="6"/>
  <c r="K62" i="6"/>
  <c r="K63" i="6"/>
  <c r="K64" i="6"/>
  <c r="K65" i="6"/>
  <c r="K66" i="6"/>
  <c r="K67" i="6"/>
  <c r="K68" i="6"/>
  <c r="K217" i="6"/>
  <c r="K218" i="6"/>
  <c r="P36" i="5"/>
  <c r="K39" i="2"/>
  <c r="O39" i="2" s="1"/>
  <c r="E119" i="1"/>
  <c r="P39" i="5"/>
  <c r="O39" i="5" s="1"/>
  <c r="P40" i="5"/>
  <c r="P41" i="5"/>
  <c r="P42" i="5"/>
  <c r="O42" i="5" s="1"/>
  <c r="K48" i="2"/>
  <c r="O48" i="2" s="1"/>
  <c r="P29" i="5"/>
  <c r="K31" i="2"/>
  <c r="D29" i="5" s="1"/>
  <c r="K32" i="2"/>
  <c r="O32" i="2" s="1"/>
  <c r="K33" i="2"/>
  <c r="D31" i="5" s="1"/>
  <c r="K34" i="2"/>
  <c r="C38" i="7" s="1"/>
  <c r="P33" i="5"/>
  <c r="O33" i="5" s="1"/>
  <c r="P26" i="5"/>
  <c r="O26" i="5" s="1"/>
  <c r="J21" i="2"/>
  <c r="N21" i="2" s="1"/>
  <c r="P20" i="5"/>
  <c r="O20" i="5" s="1"/>
  <c r="P21" i="5"/>
  <c r="O21" i="5" s="1"/>
  <c r="P24" i="5"/>
  <c r="P10" i="5"/>
  <c r="O10" i="5" s="1"/>
  <c r="K13" i="2"/>
  <c r="O13" i="2" s="1"/>
  <c r="P12" i="5"/>
  <c r="O12" i="5" s="1"/>
  <c r="P13" i="5"/>
  <c r="O13" i="5" s="1"/>
  <c r="L295" i="6"/>
  <c r="L294" i="6"/>
  <c r="L293" i="6"/>
  <c r="L292" i="6"/>
  <c r="L291" i="6"/>
  <c r="L290" i="6"/>
  <c r="L289" i="6"/>
  <c r="L288" i="6"/>
  <c r="L287" i="6"/>
  <c r="L286" i="6"/>
  <c r="L285" i="6"/>
  <c r="L284" i="6"/>
  <c r="L283" i="6"/>
  <c r="L282" i="6"/>
  <c r="L281" i="6"/>
  <c r="L280" i="6"/>
  <c r="L279" i="6"/>
  <c r="L278" i="6"/>
  <c r="L277" i="6"/>
  <c r="L276" i="6"/>
  <c r="L275" i="6"/>
  <c r="L274" i="6"/>
  <c r="L273" i="6"/>
  <c r="L272" i="6"/>
  <c r="L271" i="6"/>
  <c r="L270" i="6"/>
  <c r="L269" i="6"/>
  <c r="L268" i="6"/>
  <c r="L267" i="6"/>
  <c r="L266" i="6"/>
  <c r="L265" i="6"/>
  <c r="L264" i="6"/>
  <c r="L263" i="6"/>
  <c r="L262" i="6"/>
  <c r="L261" i="6"/>
  <c r="L260" i="6"/>
  <c r="L259" i="6"/>
  <c r="L258" i="6"/>
  <c r="L257" i="6"/>
  <c r="L256" i="6"/>
  <c r="L253" i="6"/>
  <c r="L252" i="6"/>
  <c r="L251" i="6"/>
  <c r="L250" i="6"/>
  <c r="L249" i="6"/>
  <c r="L248" i="6"/>
  <c r="L247" i="6"/>
  <c r="L246" i="6"/>
  <c r="L245" i="6"/>
  <c r="L244" i="6"/>
  <c r="L243" i="6"/>
  <c r="L242" i="6"/>
  <c r="L241" i="6"/>
  <c r="L240" i="6"/>
  <c r="L239" i="6"/>
  <c r="L238" i="6"/>
  <c r="L237" i="6"/>
  <c r="L236" i="6"/>
  <c r="L235" i="6"/>
  <c r="L234" i="6"/>
  <c r="L233" i="6"/>
  <c r="L232" i="6"/>
  <c r="L229" i="6"/>
  <c r="L228" i="6"/>
  <c r="L227" i="6"/>
  <c r="L226" i="6"/>
  <c r="L225" i="6"/>
  <c r="L224" i="6"/>
  <c r="L223" i="6"/>
  <c r="L222" i="6"/>
  <c r="L221" i="6"/>
  <c r="L220" i="6"/>
  <c r="L219" i="6"/>
  <c r="L218" i="6"/>
  <c r="L217" i="6"/>
  <c r="L216" i="6"/>
  <c r="L215" i="6"/>
  <c r="L214" i="6"/>
  <c r="L213" i="6"/>
  <c r="L212" i="6"/>
  <c r="L211" i="6"/>
  <c r="L210" i="6"/>
  <c r="L209" i="6"/>
  <c r="L208" i="6"/>
  <c r="L207" i="6"/>
  <c r="L206" i="6"/>
  <c r="L205" i="6"/>
  <c r="L204" i="6"/>
  <c r="L203" i="6"/>
  <c r="L202" i="6"/>
  <c r="L201" i="6"/>
  <c r="L200" i="6"/>
  <c r="L199" i="6"/>
  <c r="L198" i="6"/>
  <c r="L197" i="6"/>
  <c r="L196" i="6"/>
  <c r="L195" i="6"/>
  <c r="L194" i="6"/>
  <c r="L193" i="6"/>
  <c r="L192" i="6"/>
  <c r="L191" i="6"/>
  <c r="L190" i="6"/>
  <c r="L189" i="6"/>
  <c r="L188" i="6"/>
  <c r="L187" i="6"/>
  <c r="L186" i="6"/>
  <c r="L185" i="6"/>
  <c r="L184" i="6"/>
  <c r="L183" i="6"/>
  <c r="L182" i="6"/>
  <c r="L181" i="6"/>
  <c r="L180" i="6"/>
  <c r="L179" i="6"/>
  <c r="L178" i="6"/>
  <c r="L177" i="6"/>
  <c r="L176" i="6"/>
  <c r="L175" i="6"/>
  <c r="L174" i="6"/>
  <c r="L173" i="6"/>
  <c r="L170" i="6"/>
  <c r="L168" i="6"/>
  <c r="L167" i="6"/>
  <c r="L166" i="6"/>
  <c r="L165" i="6"/>
  <c r="L164" i="6"/>
  <c r="L163" i="6"/>
  <c r="L162" i="6"/>
  <c r="L161" i="6"/>
  <c r="L160" i="6"/>
  <c r="L157" i="6"/>
  <c r="L156" i="6"/>
  <c r="L155" i="6"/>
  <c r="L154" i="6"/>
  <c r="L153" i="6"/>
  <c r="L152" i="6"/>
  <c r="L151" i="6"/>
  <c r="L150" i="6"/>
  <c r="L149" i="6"/>
  <c r="L148" i="6"/>
  <c r="L147" i="6"/>
  <c r="L146" i="6"/>
  <c r="L145" i="6"/>
  <c r="L144" i="6"/>
  <c r="L143" i="6"/>
  <c r="L142" i="6"/>
  <c r="L141" i="6"/>
  <c r="L140" i="6"/>
  <c r="L139" i="6"/>
  <c r="L138" i="6"/>
  <c r="L135" i="6"/>
  <c r="L134" i="6"/>
  <c r="L133" i="6"/>
  <c r="L132" i="6"/>
  <c r="L131" i="6"/>
  <c r="L130" i="6"/>
  <c r="L129" i="6"/>
  <c r="L128" i="6"/>
  <c r="L127" i="6"/>
  <c r="L126" i="6"/>
  <c r="L125" i="6"/>
  <c r="L124" i="6"/>
  <c r="L123" i="6"/>
  <c r="L122" i="6"/>
  <c r="L121" i="6"/>
  <c r="L120" i="6"/>
  <c r="L119" i="6"/>
  <c r="L118" i="6"/>
  <c r="L117" i="6"/>
  <c r="L116" i="6"/>
  <c r="L115" i="6"/>
  <c r="L114" i="6"/>
  <c r="L113" i="6"/>
  <c r="L112" i="6"/>
  <c r="L111" i="6"/>
  <c r="L110"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K122" i="9"/>
  <c r="C122" i="9"/>
  <c r="C100" i="9"/>
  <c r="K89" i="9"/>
  <c r="C89" i="9"/>
  <c r="C56" i="9"/>
  <c r="K56" i="9"/>
  <c r="N56" i="9" s="1"/>
  <c r="K45" i="9"/>
  <c r="C45" i="9"/>
  <c r="K23" i="9"/>
  <c r="C23" i="9"/>
  <c r="K12" i="9"/>
  <c r="C12" i="9"/>
  <c r="K202" i="6"/>
  <c r="K114" i="6"/>
  <c r="G806" i="3"/>
  <c r="H806" i="3" s="1"/>
  <c r="G807" i="3"/>
  <c r="H807" i="3" s="1"/>
  <c r="G808" i="3"/>
  <c r="H808" i="3" s="1"/>
  <c r="D809" i="3"/>
  <c r="G810" i="3"/>
  <c r="G809" i="3" s="1"/>
  <c r="D811" i="3"/>
  <c r="G812" i="3"/>
  <c r="H812" i="3" s="1"/>
  <c r="G813" i="3"/>
  <c r="H813" i="3" s="1"/>
  <c r="G814" i="3"/>
  <c r="H814" i="3" s="1"/>
  <c r="G815" i="3"/>
  <c r="H815" i="3" s="1"/>
  <c r="G816" i="3"/>
  <c r="H816" i="3" s="1"/>
  <c r="G817" i="3"/>
  <c r="H817" i="3"/>
  <c r="G818" i="3"/>
  <c r="H818" i="3" s="1"/>
  <c r="G819" i="3"/>
  <c r="H819" i="3" s="1"/>
  <c r="G820" i="3"/>
  <c r="G821" i="3"/>
  <c r="H821" i="3" s="1"/>
  <c r="G822" i="3"/>
  <c r="H822" i="3" s="1"/>
  <c r="G823" i="3"/>
  <c r="H823" i="3" s="1"/>
  <c r="G824" i="3"/>
  <c r="H824" i="3" s="1"/>
  <c r="G826" i="3"/>
  <c r="H826" i="3" s="1"/>
  <c r="G827" i="3"/>
  <c r="H827" i="3" s="1"/>
  <c r="G828" i="3"/>
  <c r="H828" i="3" s="1"/>
  <c r="G829" i="3"/>
  <c r="H829" i="3" s="1"/>
  <c r="G830" i="3"/>
  <c r="H830" i="3" s="1"/>
  <c r="D832" i="3"/>
  <c r="G833" i="3"/>
  <c r="G834" i="3"/>
  <c r="H834" i="3" s="1"/>
  <c r="G835" i="3"/>
  <c r="H835" i="3" s="1"/>
  <c r="G836" i="3"/>
  <c r="H836" i="3" s="1"/>
  <c r="G838" i="3"/>
  <c r="H838" i="3" s="1"/>
  <c r="G839" i="3"/>
  <c r="H839" i="3" s="1"/>
  <c r="G841" i="3"/>
  <c r="H841" i="3" s="1"/>
  <c r="G842" i="3"/>
  <c r="H842" i="3" s="1"/>
  <c r="G843" i="3"/>
  <c r="H843" i="3" s="1"/>
  <c r="G844" i="3"/>
  <c r="H844" i="3" s="1"/>
  <c r="G845" i="3"/>
  <c r="H845" i="3" s="1"/>
  <c r="G846" i="3"/>
  <c r="H846" i="3" s="1"/>
  <c r="G847" i="3"/>
  <c r="G848" i="3"/>
  <c r="H848" i="3" s="1"/>
  <c r="G849" i="3"/>
  <c r="H849" i="3"/>
  <c r="G850" i="3"/>
  <c r="H850" i="3" s="1"/>
  <c r="D851" i="3"/>
  <c r="G852" i="3"/>
  <c r="H852" i="3" s="1"/>
  <c r="G853" i="3"/>
  <c r="G854" i="3"/>
  <c r="H854" i="3" s="1"/>
  <c r="G855" i="3"/>
  <c r="H855" i="3" s="1"/>
  <c r="G856" i="3"/>
  <c r="H856" i="3" s="1"/>
  <c r="G857" i="3"/>
  <c r="H857" i="3" s="1"/>
  <c r="G858" i="3"/>
  <c r="H858" i="3" s="1"/>
  <c r="G859" i="3"/>
  <c r="H859" i="3" s="1"/>
  <c r="G860" i="3"/>
  <c r="H860" i="3" s="1"/>
  <c r="G20" i="1" s="1"/>
  <c r="D861" i="3"/>
  <c r="G862" i="3"/>
  <c r="G863" i="3"/>
  <c r="H863" i="3" s="1"/>
  <c r="G864" i="3"/>
  <c r="H864" i="3" s="1"/>
  <c r="G865" i="3"/>
  <c r="H865" i="3" s="1"/>
  <c r="G866" i="3"/>
  <c r="H866" i="3" s="1"/>
  <c r="G867" i="3"/>
  <c r="H867" i="3" s="1"/>
  <c r="G868" i="3"/>
  <c r="H868" i="3" s="1"/>
  <c r="D869" i="3"/>
  <c r="G870" i="3"/>
  <c r="H870" i="3" s="1"/>
  <c r="G871" i="3"/>
  <c r="H871" i="3" s="1"/>
  <c r="K274" i="6"/>
  <c r="K275" i="6"/>
  <c r="K276" i="6"/>
  <c r="K277" i="6"/>
  <c r="K278" i="6"/>
  <c r="K279" i="6"/>
  <c r="K280" i="6"/>
  <c r="K281" i="6"/>
  <c r="K282" i="6"/>
  <c r="K283" i="6"/>
  <c r="K284" i="6"/>
  <c r="K285" i="6"/>
  <c r="K286" i="6"/>
  <c r="K287" i="6"/>
  <c r="K288" i="6"/>
  <c r="K289" i="6"/>
  <c r="K290" i="6"/>
  <c r="K291" i="6"/>
  <c r="K292" i="6"/>
  <c r="K293" i="6"/>
  <c r="K294" i="6"/>
  <c r="K295" i="6"/>
  <c r="F56" i="1"/>
  <c r="F50" i="1"/>
  <c r="E50" i="1"/>
  <c r="Y32" i="2"/>
  <c r="K216" i="6"/>
  <c r="K215" i="6"/>
  <c r="K214" i="6"/>
  <c r="K213" i="6"/>
  <c r="K212" i="6"/>
  <c r="K44" i="6"/>
  <c r="K45" i="6"/>
  <c r="K46" i="6"/>
  <c r="K47" i="6"/>
  <c r="K48" i="6"/>
  <c r="K49" i="6"/>
  <c r="K50" i="6"/>
  <c r="K51" i="6"/>
  <c r="K52" i="6"/>
  <c r="K53" i="6"/>
  <c r="K54" i="6"/>
  <c r="K43" i="6"/>
  <c r="D121" i="9"/>
  <c r="E121" i="9"/>
  <c r="C121" i="9"/>
  <c r="N110" i="9"/>
  <c r="D110" i="9"/>
  <c r="E110" i="9"/>
  <c r="C110" i="9"/>
  <c r="N88" i="9"/>
  <c r="D88" i="9"/>
  <c r="E88" i="9"/>
  <c r="C88" i="9"/>
  <c r="N55" i="9"/>
  <c r="D55" i="9"/>
  <c r="E55" i="9"/>
  <c r="C55" i="9"/>
  <c r="N33" i="9"/>
  <c r="D33" i="9"/>
  <c r="C33" i="9"/>
  <c r="E33" i="9"/>
  <c r="H22" i="9"/>
  <c r="I22" i="9"/>
  <c r="J22" i="9"/>
  <c r="K22" i="9"/>
  <c r="L22" i="9"/>
  <c r="M22" i="9"/>
  <c r="N11" i="9"/>
  <c r="D11" i="9"/>
  <c r="E11" i="9"/>
  <c r="C11" i="9"/>
  <c r="Q123" i="9"/>
  <c r="Q112" i="9"/>
  <c r="Q101" i="9"/>
  <c r="Q90" i="9"/>
  <c r="Q79" i="9"/>
  <c r="Q68" i="9"/>
  <c r="Q57" i="9"/>
  <c r="Q46" i="9"/>
  <c r="Q35" i="9"/>
  <c r="Q24" i="9"/>
  <c r="D192" i="3"/>
  <c r="B91" i="1"/>
  <c r="A10" i="5"/>
  <c r="A17" i="7"/>
  <c r="B17" i="7"/>
  <c r="B18" i="7"/>
  <c r="B19" i="7"/>
  <c r="B20" i="7"/>
  <c r="B21" i="7"/>
  <c r="B22" i="7"/>
  <c r="B23" i="7"/>
  <c r="B24" i="7"/>
  <c r="B25" i="7"/>
  <c r="A26" i="7"/>
  <c r="B26" i="7"/>
  <c r="B27" i="7"/>
  <c r="B28" i="7"/>
  <c r="B29" i="7"/>
  <c r="B30" i="7"/>
  <c r="B31" i="7"/>
  <c r="A32" i="7"/>
  <c r="B32" i="7"/>
  <c r="B33" i="7"/>
  <c r="B34" i="7"/>
  <c r="A35" i="7"/>
  <c r="B35" i="7"/>
  <c r="B36" i="7"/>
  <c r="A37" i="7"/>
  <c r="B37" i="7"/>
  <c r="B38" i="7"/>
  <c r="A39" i="7"/>
  <c r="B39" i="7"/>
  <c r="B40" i="7"/>
  <c r="B41" i="7"/>
  <c r="A42" i="7"/>
  <c r="B42" i="7"/>
  <c r="B43" i="7"/>
  <c r="A44" i="7"/>
  <c r="B44" i="7"/>
  <c r="B45" i="7"/>
  <c r="B46" i="7"/>
  <c r="B47" i="7"/>
  <c r="B48" i="7"/>
  <c r="B49" i="7"/>
  <c r="B50" i="7"/>
  <c r="B51" i="7"/>
  <c r="B52" i="7"/>
  <c r="K273" i="6"/>
  <c r="K272" i="6"/>
  <c r="K271" i="6"/>
  <c r="K270" i="6"/>
  <c r="K269" i="6"/>
  <c r="K268" i="6"/>
  <c r="K267" i="6"/>
  <c r="K266" i="6"/>
  <c r="K265" i="6"/>
  <c r="K264" i="6"/>
  <c r="K263" i="6"/>
  <c r="K262" i="6"/>
  <c r="K261" i="6"/>
  <c r="K260" i="6"/>
  <c r="K259" i="6"/>
  <c r="K258" i="6"/>
  <c r="K257" i="6"/>
  <c r="K256" i="6"/>
  <c r="K253" i="6"/>
  <c r="K252" i="6"/>
  <c r="K251" i="6"/>
  <c r="K250" i="6"/>
  <c r="K249" i="6"/>
  <c r="K248" i="6"/>
  <c r="K247" i="6"/>
  <c r="K246" i="6"/>
  <c r="K245" i="6"/>
  <c r="K244" i="6"/>
  <c r="K243" i="6"/>
  <c r="K242" i="6"/>
  <c r="K241" i="6"/>
  <c r="K240" i="6"/>
  <c r="K239" i="6"/>
  <c r="K238" i="6"/>
  <c r="K237" i="6"/>
  <c r="K236" i="6"/>
  <c r="K235" i="6"/>
  <c r="K234" i="6"/>
  <c r="K233" i="6"/>
  <c r="K232" i="6"/>
  <c r="K229" i="6"/>
  <c r="K228" i="6"/>
  <c r="K227" i="6"/>
  <c r="K226" i="6"/>
  <c r="K225" i="6"/>
  <c r="K224" i="6"/>
  <c r="K223" i="6"/>
  <c r="K222" i="6"/>
  <c r="K221" i="6"/>
  <c r="K220" i="6"/>
  <c r="K219" i="6"/>
  <c r="K211" i="6"/>
  <c r="K210" i="6"/>
  <c r="K209" i="6"/>
  <c r="K208" i="6"/>
  <c r="K207" i="6"/>
  <c r="K206" i="6"/>
  <c r="K205" i="6"/>
  <c r="K204" i="6"/>
  <c r="K203"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0" i="6"/>
  <c r="K168" i="6"/>
  <c r="K167" i="6"/>
  <c r="K166" i="6"/>
  <c r="K165" i="6"/>
  <c r="K164" i="6"/>
  <c r="K163" i="6"/>
  <c r="K162" i="6"/>
  <c r="K161" i="6"/>
  <c r="K160" i="6"/>
  <c r="K157" i="6"/>
  <c r="K156" i="6"/>
  <c r="K155" i="6"/>
  <c r="K154" i="6"/>
  <c r="K153" i="6"/>
  <c r="K152" i="6"/>
  <c r="K151" i="6"/>
  <c r="K150" i="6"/>
  <c r="K149" i="6"/>
  <c r="K148" i="6"/>
  <c r="K147" i="6"/>
  <c r="K146" i="6"/>
  <c r="K145" i="6"/>
  <c r="K144" i="6"/>
  <c r="K143" i="6"/>
  <c r="K142" i="6"/>
  <c r="K141" i="6"/>
  <c r="K140" i="6"/>
  <c r="K139" i="6"/>
  <c r="K138" i="6"/>
  <c r="K135" i="6"/>
  <c r="K134" i="6"/>
  <c r="K133" i="6"/>
  <c r="K132" i="6"/>
  <c r="K131" i="6"/>
  <c r="K130" i="6"/>
  <c r="K129" i="6"/>
  <c r="K128" i="6"/>
  <c r="K127" i="6"/>
  <c r="K126" i="6"/>
  <c r="K125" i="6"/>
  <c r="K124" i="6"/>
  <c r="K123" i="6"/>
  <c r="K122" i="6"/>
  <c r="K121" i="6"/>
  <c r="K120" i="6"/>
  <c r="K119" i="6"/>
  <c r="K118" i="6"/>
  <c r="K117" i="6"/>
  <c r="K116" i="6"/>
  <c r="K115" i="6"/>
  <c r="K113" i="6"/>
  <c r="K112" i="6"/>
  <c r="K111" i="6"/>
  <c r="K110" i="6"/>
  <c r="K109" i="6"/>
  <c r="K108" i="6"/>
  <c r="K107" i="6"/>
  <c r="K106" i="6"/>
  <c r="K105" i="6"/>
  <c r="K104" i="6"/>
  <c r="K103" i="6"/>
  <c r="K102" i="6"/>
  <c r="K101" i="6"/>
  <c r="K100" i="6"/>
  <c r="K99" i="6"/>
  <c r="K98" i="6"/>
  <c r="K97" i="6"/>
  <c r="K96" i="6"/>
  <c r="K95" i="6"/>
  <c r="K94" i="6"/>
  <c r="K93" i="6"/>
  <c r="K92" i="6"/>
  <c r="K42" i="6"/>
  <c r="K41" i="6"/>
  <c r="K40" i="6"/>
  <c r="K39" i="6"/>
  <c r="K38" i="6"/>
  <c r="K37" i="6"/>
  <c r="K36" i="6"/>
  <c r="K35" i="6"/>
  <c r="K34" i="6"/>
  <c r="K31" i="6"/>
  <c r="K30" i="6"/>
  <c r="K29" i="6"/>
  <c r="K28" i="6"/>
  <c r="K27" i="6"/>
  <c r="K26" i="6"/>
  <c r="K25" i="6"/>
  <c r="K24" i="6"/>
  <c r="K23" i="6"/>
  <c r="K32" i="6"/>
  <c r="K22" i="6"/>
  <c r="K21" i="6"/>
  <c r="K13" i="6"/>
  <c r="K14" i="6"/>
  <c r="K15" i="6"/>
  <c r="K16" i="6"/>
  <c r="K17" i="6"/>
  <c r="K18" i="6"/>
  <c r="K19" i="6"/>
  <c r="K20" i="6"/>
  <c r="E6" i="11" s="1"/>
  <c r="K12" i="6"/>
  <c r="Q124" i="9"/>
  <c r="Q122" i="9"/>
  <c r="Q120" i="9"/>
  <c r="Q119" i="9"/>
  <c r="Q113" i="9"/>
  <c r="Q111" i="9"/>
  <c r="Q109" i="9"/>
  <c r="Q108" i="9"/>
  <c r="Q102" i="9"/>
  <c r="Q100" i="9"/>
  <c r="Q98" i="9"/>
  <c r="Q97" i="9"/>
  <c r="Q91" i="9"/>
  <c r="Q89" i="9"/>
  <c r="Q87" i="9"/>
  <c r="Q86" i="9"/>
  <c r="Q80" i="9"/>
  <c r="Q78" i="9"/>
  <c r="Q76" i="9"/>
  <c r="Q75" i="9"/>
  <c r="Q69" i="9"/>
  <c r="Q67" i="9"/>
  <c r="Q65" i="9"/>
  <c r="Q64" i="9"/>
  <c r="Q58" i="9"/>
  <c r="Q56" i="9"/>
  <c r="Q54" i="9"/>
  <c r="Q53" i="9"/>
  <c r="Q47" i="9"/>
  <c r="Q45" i="9"/>
  <c r="Q43" i="9"/>
  <c r="Q42" i="9"/>
  <c r="Q36" i="9"/>
  <c r="Q34" i="9"/>
  <c r="Q32" i="9"/>
  <c r="Q31" i="9"/>
  <c r="Q25" i="9"/>
  <c r="Q23" i="9"/>
  <c r="Q20" i="9"/>
  <c r="Q14" i="9"/>
  <c r="Q13" i="9"/>
  <c r="Q12" i="9"/>
  <c r="Q10" i="9"/>
  <c r="Q9" i="9"/>
  <c r="Q21" i="9"/>
  <c r="B252" i="6"/>
  <c r="B230" i="6"/>
  <c r="B202" i="6"/>
  <c r="B180" i="6"/>
  <c r="B158" i="6"/>
  <c r="B136" i="6"/>
  <c r="B114" i="6"/>
  <c r="B92" i="6"/>
  <c r="B70" i="6"/>
  <c r="B33" i="6"/>
  <c r="B11" i="6"/>
  <c r="B37" i="5"/>
  <c r="B38" i="5"/>
  <c r="B39" i="5"/>
  <c r="B40" i="5"/>
  <c r="B41" i="5"/>
  <c r="B42" i="5"/>
  <c r="B43" i="5"/>
  <c r="B44" i="5"/>
  <c r="B45" i="5"/>
  <c r="B46" i="5"/>
  <c r="B36" i="5"/>
  <c r="B35" i="5"/>
  <c r="B34" i="5"/>
  <c r="B30" i="5"/>
  <c r="B31" i="5"/>
  <c r="B32" i="5"/>
  <c r="B33" i="5"/>
  <c r="B29" i="5"/>
  <c r="B28" i="5"/>
  <c r="B27" i="5"/>
  <c r="B20" i="5"/>
  <c r="B21" i="5"/>
  <c r="B22" i="5"/>
  <c r="B23" i="5"/>
  <c r="B24" i="5"/>
  <c r="B26" i="5"/>
  <c r="B19" i="5"/>
  <c r="B16" i="5"/>
  <c r="B17" i="5"/>
  <c r="B18" i="5"/>
  <c r="B15" i="5"/>
  <c r="B14" i="5"/>
  <c r="B11" i="5"/>
  <c r="B12" i="5"/>
  <c r="B13" i="5"/>
  <c r="B10" i="5"/>
  <c r="A38" i="5"/>
  <c r="A36" i="5"/>
  <c r="A33" i="5"/>
  <c r="A31" i="5"/>
  <c r="A29" i="5"/>
  <c r="A26" i="5"/>
  <c r="A19" i="5"/>
  <c r="A731" i="3"/>
  <c r="A659" i="3"/>
  <c r="A587" i="3"/>
  <c r="A515" i="3"/>
  <c r="A443" i="3"/>
  <c r="A371" i="3"/>
  <c r="A299" i="3"/>
  <c r="A227" i="3"/>
  <c r="A155" i="3"/>
  <c r="A83" i="3"/>
  <c r="A11" i="3"/>
  <c r="B146" i="1"/>
  <c r="B143" i="1"/>
  <c r="B140" i="1"/>
  <c r="B137" i="1"/>
  <c r="B134" i="1"/>
  <c r="B131" i="1"/>
  <c r="B128" i="1"/>
  <c r="B125" i="1"/>
  <c r="B122" i="1"/>
  <c r="B118" i="1"/>
  <c r="B115" i="1"/>
  <c r="B111" i="1"/>
  <c r="B108" i="1"/>
  <c r="B105" i="1"/>
  <c r="B101" i="1"/>
  <c r="B98" i="1"/>
  <c r="B94" i="1"/>
  <c r="B87" i="1"/>
  <c r="B84" i="1"/>
  <c r="B81" i="1"/>
  <c r="B74" i="1"/>
  <c r="B71" i="1"/>
  <c r="B68" i="1"/>
  <c r="B65" i="1"/>
  <c r="B62" i="1"/>
  <c r="B59" i="1"/>
  <c r="B55" i="1"/>
  <c r="B52" i="1"/>
  <c r="B49" i="1"/>
  <c r="B46" i="1"/>
  <c r="B43" i="1"/>
  <c r="B40" i="1"/>
  <c r="B37" i="1"/>
  <c r="B34" i="1"/>
  <c r="B31" i="1"/>
  <c r="A122" i="1"/>
  <c r="A115" i="1"/>
  <c r="A105" i="1"/>
  <c r="A98" i="1"/>
  <c r="A91" i="1"/>
  <c r="A81" i="1"/>
  <c r="A59" i="1"/>
  <c r="A31" i="1"/>
  <c r="C77" i="12"/>
  <c r="D77" i="12"/>
  <c r="E77" i="12"/>
  <c r="F77" i="12"/>
  <c r="G77" i="12"/>
  <c r="H77" i="12"/>
  <c r="I77" i="12"/>
  <c r="J77" i="12"/>
  <c r="K77" i="12"/>
  <c r="L77" i="12"/>
  <c r="M77" i="12"/>
  <c r="N77" i="12"/>
  <c r="O77" i="12"/>
  <c r="P77" i="12"/>
  <c r="Q77" i="12"/>
  <c r="R77" i="12"/>
  <c r="S77" i="12"/>
  <c r="T77" i="12"/>
  <c r="U77" i="12"/>
  <c r="V77" i="12"/>
  <c r="W77" i="12"/>
  <c r="X77" i="12"/>
  <c r="Y77" i="12"/>
  <c r="Z77" i="12"/>
  <c r="C78" i="12"/>
  <c r="D78" i="12"/>
  <c r="E78" i="12"/>
  <c r="F78" i="12"/>
  <c r="G78" i="12"/>
  <c r="H78" i="12"/>
  <c r="I78" i="12"/>
  <c r="J78" i="12"/>
  <c r="K78" i="12"/>
  <c r="L78" i="12"/>
  <c r="M78" i="12"/>
  <c r="N78" i="12"/>
  <c r="O78" i="12"/>
  <c r="P78" i="12"/>
  <c r="Q78" i="12"/>
  <c r="R78" i="12"/>
  <c r="S78" i="12"/>
  <c r="T78" i="12"/>
  <c r="U78" i="12"/>
  <c r="V78" i="12"/>
  <c r="W78" i="12"/>
  <c r="X78" i="12"/>
  <c r="Y78" i="12"/>
  <c r="Z78" i="12"/>
  <c r="C79" i="12"/>
  <c r="D79" i="12"/>
  <c r="E79" i="12"/>
  <c r="F79" i="12"/>
  <c r="G79" i="12"/>
  <c r="H79" i="12"/>
  <c r="I79" i="12"/>
  <c r="J79" i="12"/>
  <c r="K79" i="12"/>
  <c r="L79" i="12"/>
  <c r="M79" i="12"/>
  <c r="N79" i="12"/>
  <c r="O79" i="12"/>
  <c r="P79" i="12"/>
  <c r="Q79" i="12"/>
  <c r="R79" i="12"/>
  <c r="S79" i="12"/>
  <c r="T79" i="12"/>
  <c r="U79" i="12"/>
  <c r="V79" i="12"/>
  <c r="W79" i="12"/>
  <c r="X79" i="12"/>
  <c r="Y79" i="12"/>
  <c r="Z79" i="12"/>
  <c r="G76" i="12"/>
  <c r="H76" i="12"/>
  <c r="I76" i="12"/>
  <c r="J76" i="12"/>
  <c r="K76" i="12"/>
  <c r="D90" i="12" s="1"/>
  <c r="L76" i="12"/>
  <c r="M76" i="12"/>
  <c r="N76" i="12"/>
  <c r="O76" i="12"/>
  <c r="P76" i="12"/>
  <c r="Q76" i="12"/>
  <c r="R76" i="12"/>
  <c r="S76" i="12"/>
  <c r="T76" i="12"/>
  <c r="U76" i="12"/>
  <c r="V76" i="12"/>
  <c r="W76" i="12"/>
  <c r="X76" i="12"/>
  <c r="Y76" i="12"/>
  <c r="Z76" i="12"/>
  <c r="F76" i="12"/>
  <c r="E76" i="12"/>
  <c r="D76" i="12"/>
  <c r="C76" i="12"/>
  <c r="L132" i="11"/>
  <c r="J132" i="11"/>
  <c r="H132" i="11"/>
  <c r="F132" i="11"/>
  <c r="D132" i="11"/>
  <c r="L121" i="11"/>
  <c r="J121" i="11"/>
  <c r="H121" i="11"/>
  <c r="F121" i="11"/>
  <c r="D121" i="11"/>
  <c r="L110" i="11"/>
  <c r="J110" i="11"/>
  <c r="H110" i="11"/>
  <c r="F110" i="11"/>
  <c r="D110" i="11"/>
  <c r="L98" i="11"/>
  <c r="L99" i="11" s="1"/>
  <c r="J99" i="11"/>
  <c r="L77" i="11"/>
  <c r="J77" i="11"/>
  <c r="H77" i="11"/>
  <c r="F77" i="11"/>
  <c r="D77" i="11"/>
  <c r="L66" i="11"/>
  <c r="J66" i="11"/>
  <c r="H66" i="11"/>
  <c r="F66" i="11"/>
  <c r="D66" i="11"/>
  <c r="H44" i="11"/>
  <c r="F44" i="11"/>
  <c r="D44" i="11"/>
  <c r="L33" i="11"/>
  <c r="J33" i="11"/>
  <c r="H33" i="11"/>
  <c r="F33" i="11"/>
  <c r="D33" i="11"/>
  <c r="L22" i="11"/>
  <c r="J22" i="11"/>
  <c r="H22" i="11"/>
  <c r="F22" i="11"/>
  <c r="D22" i="11"/>
  <c r="L10" i="11"/>
  <c r="J10" i="11"/>
  <c r="H10" i="11"/>
  <c r="F10" i="11"/>
  <c r="D10" i="11"/>
  <c r="S129" i="11"/>
  <c r="C129" i="11"/>
  <c r="S107" i="11"/>
  <c r="C107" i="11"/>
  <c r="S96" i="11"/>
  <c r="C96" i="11"/>
  <c r="S85" i="11"/>
  <c r="C85" i="11"/>
  <c r="C74" i="11"/>
  <c r="S63" i="11"/>
  <c r="C63" i="11"/>
  <c r="S52" i="11"/>
  <c r="C52" i="11"/>
  <c r="S41" i="11"/>
  <c r="C41" i="11"/>
  <c r="S30" i="11"/>
  <c r="C30" i="11"/>
  <c r="S19" i="11"/>
  <c r="C19" i="11"/>
  <c r="S7" i="11"/>
  <c r="C7" i="11"/>
  <c r="J36" i="5"/>
  <c r="J37" i="5"/>
  <c r="J38" i="5"/>
  <c r="J39" i="5"/>
  <c r="J40" i="5"/>
  <c r="J41" i="5"/>
  <c r="J42" i="5"/>
  <c r="J43" i="5"/>
  <c r="J44" i="5"/>
  <c r="J45" i="5"/>
  <c r="J46" i="5"/>
  <c r="J29" i="5"/>
  <c r="J30" i="5"/>
  <c r="J31" i="5"/>
  <c r="J32" i="5"/>
  <c r="J33" i="5"/>
  <c r="J19" i="5"/>
  <c r="J20" i="5"/>
  <c r="J21" i="5"/>
  <c r="J22" i="5"/>
  <c r="J23" i="5"/>
  <c r="J24" i="5"/>
  <c r="J26" i="5"/>
  <c r="J11" i="5"/>
  <c r="J12" i="5"/>
  <c r="J13" i="5"/>
  <c r="J10" i="5"/>
  <c r="I36" i="5"/>
  <c r="I37" i="5"/>
  <c r="I38" i="5"/>
  <c r="I39" i="5"/>
  <c r="I40" i="5"/>
  <c r="I41" i="5"/>
  <c r="I42" i="5"/>
  <c r="I43" i="5"/>
  <c r="I44" i="5"/>
  <c r="I45" i="5"/>
  <c r="I46" i="5"/>
  <c r="I29" i="5"/>
  <c r="I30" i="5"/>
  <c r="I31" i="5"/>
  <c r="I32" i="5"/>
  <c r="I33" i="5"/>
  <c r="I19" i="5"/>
  <c r="I20" i="5"/>
  <c r="I21" i="5"/>
  <c r="I22" i="5"/>
  <c r="I23" i="5"/>
  <c r="I24" i="5"/>
  <c r="I26" i="5"/>
  <c r="I11" i="5"/>
  <c r="I12" i="5"/>
  <c r="I13" i="5"/>
  <c r="I10" i="5"/>
  <c r="H36" i="5"/>
  <c r="H37" i="5"/>
  <c r="H38" i="5"/>
  <c r="H39" i="5"/>
  <c r="H40" i="5"/>
  <c r="H41" i="5"/>
  <c r="H42" i="5"/>
  <c r="H43" i="5"/>
  <c r="H44" i="5"/>
  <c r="H45" i="5"/>
  <c r="H46" i="5"/>
  <c r="H29" i="5"/>
  <c r="H30" i="5"/>
  <c r="H31" i="5"/>
  <c r="H32" i="5"/>
  <c r="H33" i="5"/>
  <c r="H19" i="5"/>
  <c r="H20" i="5"/>
  <c r="H21" i="5"/>
  <c r="H22" i="5"/>
  <c r="H23" i="5"/>
  <c r="H24" i="5"/>
  <c r="H26" i="5"/>
  <c r="H11" i="5"/>
  <c r="H12" i="5"/>
  <c r="H13" i="5"/>
  <c r="H10" i="5"/>
  <c r="G43" i="5"/>
  <c r="G44" i="5"/>
  <c r="G45" i="5"/>
  <c r="G46" i="5"/>
  <c r="G42" i="5"/>
  <c r="G39" i="5"/>
  <c r="G38" i="5"/>
  <c r="G32" i="5"/>
  <c r="G33" i="5"/>
  <c r="G31" i="5"/>
  <c r="G26" i="5"/>
  <c r="G20" i="5"/>
  <c r="G21" i="5"/>
  <c r="G19" i="5"/>
  <c r="G11" i="5"/>
  <c r="G12" i="5"/>
  <c r="G13" i="5"/>
  <c r="G10" i="5"/>
  <c r="G147" i="1"/>
  <c r="G144" i="1"/>
  <c r="G141" i="1"/>
  <c r="G138" i="1"/>
  <c r="G135" i="1"/>
  <c r="G132" i="1"/>
  <c r="G129" i="1"/>
  <c r="G126" i="1"/>
  <c r="G123" i="1"/>
  <c r="G119" i="1"/>
  <c r="G116" i="1"/>
  <c r="G112" i="1"/>
  <c r="G106" i="1"/>
  <c r="G102" i="1"/>
  <c r="G99" i="1"/>
  <c r="G95" i="1"/>
  <c r="G92" i="1"/>
  <c r="G88" i="1"/>
  <c r="G82" i="1"/>
  <c r="G75" i="1"/>
  <c r="G72" i="1"/>
  <c r="G69" i="1"/>
  <c r="G66" i="1"/>
  <c r="G63" i="1"/>
  <c r="G60" i="1"/>
  <c r="G56" i="1"/>
  <c r="G53" i="1"/>
  <c r="G50" i="1"/>
  <c r="G47" i="1"/>
  <c r="G41" i="1"/>
  <c r="G38" i="1"/>
  <c r="G35" i="1"/>
  <c r="G32" i="1"/>
  <c r="F147" i="1"/>
  <c r="F144" i="1"/>
  <c r="F141" i="1"/>
  <c r="F138" i="1"/>
  <c r="F135" i="1"/>
  <c r="F132" i="1"/>
  <c r="F129" i="1"/>
  <c r="F126" i="1"/>
  <c r="F123" i="1"/>
  <c r="F119" i="1"/>
  <c r="F116" i="1"/>
  <c r="F112" i="1"/>
  <c r="F106" i="1"/>
  <c r="F102" i="1"/>
  <c r="F99" i="1"/>
  <c r="F95" i="1"/>
  <c r="F92" i="1"/>
  <c r="F88" i="1"/>
  <c r="F82" i="1"/>
  <c r="F75" i="1"/>
  <c r="F72" i="1"/>
  <c r="F69" i="1"/>
  <c r="F66" i="1"/>
  <c r="F63" i="1"/>
  <c r="F60" i="1"/>
  <c r="F47" i="1"/>
  <c r="F41" i="1"/>
  <c r="F38" i="1"/>
  <c r="F35" i="1"/>
  <c r="F32" i="1"/>
  <c r="E147" i="1"/>
  <c r="E144" i="1"/>
  <c r="E141" i="1"/>
  <c r="E138" i="1"/>
  <c r="E135" i="1"/>
  <c r="E132" i="1"/>
  <c r="E129" i="1"/>
  <c r="E126" i="1"/>
  <c r="E123" i="1"/>
  <c r="E116" i="1"/>
  <c r="E112" i="1"/>
  <c r="E106" i="1"/>
  <c r="E102" i="1"/>
  <c r="E99" i="1"/>
  <c r="E95" i="1"/>
  <c r="E92" i="1"/>
  <c r="E88" i="1"/>
  <c r="E82" i="1"/>
  <c r="E75" i="1"/>
  <c r="E66" i="1"/>
  <c r="E63" i="1"/>
  <c r="E60" i="1"/>
  <c r="E56" i="1"/>
  <c r="E47" i="1"/>
  <c r="E41" i="1"/>
  <c r="E38" i="1"/>
  <c r="E35" i="1"/>
  <c r="E32" i="1"/>
  <c r="D147" i="1"/>
  <c r="D144" i="1"/>
  <c r="D141" i="1"/>
  <c r="D138" i="1"/>
  <c r="D135" i="1"/>
  <c r="D126" i="1"/>
  <c r="D123" i="1"/>
  <c r="D106" i="1"/>
  <c r="D102" i="1"/>
  <c r="D99" i="1"/>
  <c r="D82" i="1"/>
  <c r="D66" i="1"/>
  <c r="D63" i="1"/>
  <c r="D60" i="1"/>
  <c r="D41" i="1"/>
  <c r="D38" i="1"/>
  <c r="D35" i="1"/>
  <c r="D32" i="1"/>
  <c r="A16" i="1"/>
  <c r="A15" i="1"/>
  <c r="A14" i="1"/>
  <c r="A13" i="1"/>
  <c r="A12" i="1"/>
  <c r="A11" i="1"/>
  <c r="A10" i="1"/>
  <c r="A9" i="1"/>
  <c r="E27" i="8"/>
  <c r="E26" i="8"/>
  <c r="E25" i="8"/>
  <c r="E24" i="8"/>
  <c r="E23" i="8"/>
  <c r="E22" i="8"/>
  <c r="E21" i="8"/>
  <c r="E20" i="8"/>
  <c r="E19" i="8"/>
  <c r="E18" i="8"/>
  <c r="E17" i="8"/>
  <c r="E16" i="8"/>
  <c r="E15" i="8"/>
  <c r="E4" i="8"/>
  <c r="D595" i="3"/>
  <c r="D4" i="7"/>
  <c r="F4" i="6"/>
  <c r="B9" i="5"/>
  <c r="A9" i="5"/>
  <c r="F4" i="5"/>
  <c r="G799" i="3"/>
  <c r="H799" i="3" s="1"/>
  <c r="G798" i="3"/>
  <c r="D797" i="3"/>
  <c r="G796" i="3"/>
  <c r="H796" i="3" s="1"/>
  <c r="G795" i="3"/>
  <c r="H795" i="3" s="1"/>
  <c r="G794" i="3"/>
  <c r="H794" i="3" s="1"/>
  <c r="G793" i="3"/>
  <c r="H793" i="3" s="1"/>
  <c r="G792" i="3"/>
  <c r="H792" i="3" s="1"/>
  <c r="G791" i="3"/>
  <c r="H791" i="3" s="1"/>
  <c r="G790" i="3"/>
  <c r="D789" i="3"/>
  <c r="G788" i="3"/>
  <c r="H788" i="3" s="1"/>
  <c r="G787" i="3"/>
  <c r="H787" i="3" s="1"/>
  <c r="G786" i="3"/>
  <c r="H786" i="3" s="1"/>
  <c r="G785" i="3"/>
  <c r="H785" i="3" s="1"/>
  <c r="G784" i="3"/>
  <c r="H784" i="3" s="1"/>
  <c r="G783" i="3"/>
  <c r="H783" i="3" s="1"/>
  <c r="G782" i="3"/>
  <c r="H782" i="3" s="1"/>
  <c r="G781" i="3"/>
  <c r="G780" i="3"/>
  <c r="H780" i="3" s="1"/>
  <c r="D779" i="3"/>
  <c r="G778" i="3"/>
  <c r="H778" i="3" s="1"/>
  <c r="G777" i="3"/>
  <c r="H777" i="3" s="1"/>
  <c r="G776" i="3"/>
  <c r="H776" i="3" s="1"/>
  <c r="G775" i="3"/>
  <c r="H775" i="3" s="1"/>
  <c r="G774" i="3"/>
  <c r="H774" i="3" s="1"/>
  <c r="G773" i="3"/>
  <c r="H773" i="3" s="1"/>
  <c r="G772" i="3"/>
  <c r="H772" i="3" s="1"/>
  <c r="G771" i="3"/>
  <c r="H771" i="3" s="1"/>
  <c r="G770" i="3"/>
  <c r="H770" i="3" s="1"/>
  <c r="G769" i="3"/>
  <c r="H769" i="3" s="1"/>
  <c r="D768" i="3"/>
  <c r="G767" i="3"/>
  <c r="H767" i="3" s="1"/>
  <c r="G766" i="3"/>
  <c r="G764" i="3"/>
  <c r="H764" i="3" s="1"/>
  <c r="G763" i="3"/>
  <c r="H763" i="3" s="1"/>
  <c r="G762" i="3"/>
  <c r="H762" i="3" s="1"/>
  <c r="G761" i="3"/>
  <c r="H761" i="3" s="1"/>
  <c r="D760" i="3"/>
  <c r="G758" i="3"/>
  <c r="H758" i="3" s="1"/>
  <c r="G757" i="3"/>
  <c r="H757" i="3" s="1"/>
  <c r="G756" i="3"/>
  <c r="H756" i="3" s="1"/>
  <c r="G755" i="3"/>
  <c r="H755" i="3" s="1"/>
  <c r="G754" i="3"/>
  <c r="H754" i="3" s="1"/>
  <c r="G753" i="3"/>
  <c r="H753" i="3" s="1"/>
  <c r="G752" i="3"/>
  <c r="H752" i="3" s="1"/>
  <c r="G751" i="3"/>
  <c r="H751" i="3" s="1"/>
  <c r="G750" i="3"/>
  <c r="H750" i="3" s="1"/>
  <c r="G749" i="3"/>
  <c r="H749" i="3" s="1"/>
  <c r="G748" i="3"/>
  <c r="H748" i="3" s="1"/>
  <c r="G747" i="3"/>
  <c r="H747" i="3" s="1"/>
  <c r="G746" i="3"/>
  <c r="H746" i="3" s="1"/>
  <c r="G745" i="3"/>
  <c r="H745" i="3" s="1"/>
  <c r="G744" i="3"/>
  <c r="H744" i="3" s="1"/>
  <c r="G743" i="3"/>
  <c r="H743" i="3" s="1"/>
  <c r="G742" i="3"/>
  <c r="H742" i="3" s="1"/>
  <c r="G741" i="3"/>
  <c r="H741" i="3" s="1"/>
  <c r="D739" i="3"/>
  <c r="G738" i="3"/>
  <c r="H738" i="3" s="1"/>
  <c r="H737" i="3" s="1"/>
  <c r="D737" i="3"/>
  <c r="G736" i="3"/>
  <c r="H736" i="3" s="1"/>
  <c r="G735" i="3"/>
  <c r="G734" i="3"/>
  <c r="H734" i="3" s="1"/>
  <c r="G727" i="3"/>
  <c r="H727" i="3" s="1"/>
  <c r="G726" i="3"/>
  <c r="H726" i="3" s="1"/>
  <c r="D725" i="3"/>
  <c r="G724" i="3"/>
  <c r="H724" i="3" s="1"/>
  <c r="G723" i="3"/>
  <c r="H723" i="3" s="1"/>
  <c r="G722" i="3"/>
  <c r="H722" i="3" s="1"/>
  <c r="G721" i="3"/>
  <c r="H721" i="3" s="1"/>
  <c r="G720" i="3"/>
  <c r="H720" i="3" s="1"/>
  <c r="G719" i="3"/>
  <c r="H719" i="3" s="1"/>
  <c r="G718" i="3"/>
  <c r="H718" i="3" s="1"/>
  <c r="D717" i="3"/>
  <c r="G716" i="3"/>
  <c r="H716" i="3" s="1"/>
  <c r="G715" i="3"/>
  <c r="H715" i="3" s="1"/>
  <c r="G714" i="3"/>
  <c r="H714" i="3" s="1"/>
  <c r="G713" i="3"/>
  <c r="H713" i="3" s="1"/>
  <c r="G712" i="3"/>
  <c r="H712" i="3" s="1"/>
  <c r="G711" i="3"/>
  <c r="H711" i="3" s="1"/>
  <c r="G710" i="3"/>
  <c r="H710" i="3" s="1"/>
  <c r="G709" i="3"/>
  <c r="H709" i="3" s="1"/>
  <c r="G708" i="3"/>
  <c r="H708" i="3" s="1"/>
  <c r="D707" i="3"/>
  <c r="D688" i="3"/>
  <c r="G706" i="3"/>
  <c r="H706" i="3" s="1"/>
  <c r="G705" i="3"/>
  <c r="H705" i="3" s="1"/>
  <c r="G704" i="3"/>
  <c r="H704" i="3" s="1"/>
  <c r="G703" i="3"/>
  <c r="H703" i="3" s="1"/>
  <c r="G702" i="3"/>
  <c r="H702" i="3" s="1"/>
  <c r="G701" i="3"/>
  <c r="H701" i="3" s="1"/>
  <c r="G700" i="3"/>
  <c r="H700" i="3" s="1"/>
  <c r="G699" i="3"/>
  <c r="H699" i="3" s="1"/>
  <c r="G698" i="3"/>
  <c r="H698" i="3" s="1"/>
  <c r="G697" i="3"/>
  <c r="H697" i="3" s="1"/>
  <c r="G695" i="3"/>
  <c r="H695" i="3" s="1"/>
  <c r="G694" i="3"/>
  <c r="G693" i="3" s="1"/>
  <c r="G692" i="3"/>
  <c r="H692" i="3" s="1"/>
  <c r="G691" i="3"/>
  <c r="H691" i="3" s="1"/>
  <c r="G690" i="3"/>
  <c r="H690" i="3" s="1"/>
  <c r="G689" i="3"/>
  <c r="H689" i="3" s="1"/>
  <c r="G686" i="3"/>
  <c r="H686" i="3" s="1"/>
  <c r="G685" i="3"/>
  <c r="H685" i="3" s="1"/>
  <c r="G684" i="3"/>
  <c r="H684" i="3" s="1"/>
  <c r="G683" i="3"/>
  <c r="H683" i="3" s="1"/>
  <c r="G682" i="3"/>
  <c r="H682" i="3" s="1"/>
  <c r="G680" i="3"/>
  <c r="H680" i="3" s="1"/>
  <c r="G679" i="3"/>
  <c r="H679" i="3" s="1"/>
  <c r="G678" i="3"/>
  <c r="H678" i="3" s="1"/>
  <c r="G677" i="3"/>
  <c r="H677" i="3" s="1"/>
  <c r="G676" i="3"/>
  <c r="H676" i="3" s="1"/>
  <c r="G675" i="3"/>
  <c r="H675" i="3" s="1"/>
  <c r="G674" i="3"/>
  <c r="H674" i="3" s="1"/>
  <c r="G673" i="3"/>
  <c r="H673" i="3" s="1"/>
  <c r="G672" i="3"/>
  <c r="H672" i="3" s="1"/>
  <c r="G671" i="3"/>
  <c r="H671" i="3" s="1"/>
  <c r="G670" i="3"/>
  <c r="H670" i="3" s="1"/>
  <c r="G669" i="3"/>
  <c r="H669" i="3" s="1"/>
  <c r="G666" i="3"/>
  <c r="G665" i="3" s="1"/>
  <c r="D665" i="3"/>
  <c r="G664" i="3"/>
  <c r="H664" i="3" s="1"/>
  <c r="G663" i="3"/>
  <c r="H663" i="3" s="1"/>
  <c r="G662" i="3"/>
  <c r="H662" i="3" s="1"/>
  <c r="G655" i="3"/>
  <c r="H655" i="3" s="1"/>
  <c r="G654" i="3"/>
  <c r="D653" i="3"/>
  <c r="G652" i="3"/>
  <c r="H652" i="3" s="1"/>
  <c r="G651" i="3"/>
  <c r="H651" i="3" s="1"/>
  <c r="G650" i="3"/>
  <c r="H650" i="3" s="1"/>
  <c r="G649" i="3"/>
  <c r="H649" i="3" s="1"/>
  <c r="G648" i="3"/>
  <c r="H648" i="3" s="1"/>
  <c r="G647" i="3"/>
  <c r="H647" i="3" s="1"/>
  <c r="G646" i="3"/>
  <c r="H646" i="3" s="1"/>
  <c r="D645" i="3"/>
  <c r="G644" i="3"/>
  <c r="H644" i="3" s="1"/>
  <c r="G643" i="3"/>
  <c r="H643" i="3" s="1"/>
  <c r="G642" i="3"/>
  <c r="H642" i="3"/>
  <c r="G641" i="3"/>
  <c r="H641" i="3" s="1"/>
  <c r="G640" i="3"/>
  <c r="H640" i="3" s="1"/>
  <c r="G639" i="3"/>
  <c r="H639" i="3" s="1"/>
  <c r="G638" i="3"/>
  <c r="H638" i="3" s="1"/>
  <c r="G637" i="3"/>
  <c r="H637" i="3" s="1"/>
  <c r="G636" i="3"/>
  <c r="H636" i="3" s="1"/>
  <c r="D635" i="3"/>
  <c r="G634" i="3"/>
  <c r="H634" i="3" s="1"/>
  <c r="G633" i="3"/>
  <c r="H633" i="3" s="1"/>
  <c r="G632" i="3"/>
  <c r="H632" i="3" s="1"/>
  <c r="G631" i="3"/>
  <c r="H631" i="3" s="1"/>
  <c r="G630" i="3"/>
  <c r="H630" i="3" s="1"/>
  <c r="G629" i="3"/>
  <c r="H629" i="3" s="1"/>
  <c r="G628" i="3"/>
  <c r="H628" i="3" s="1"/>
  <c r="G627" i="3"/>
  <c r="H627" i="3" s="1"/>
  <c r="G626" i="3"/>
  <c r="H626" i="3" s="1"/>
  <c r="G625" i="3"/>
  <c r="H625" i="3" s="1"/>
  <c r="D624" i="3"/>
  <c r="G623" i="3"/>
  <c r="H623" i="3" s="1"/>
  <c r="G622" i="3"/>
  <c r="G620" i="3"/>
  <c r="H620" i="3" s="1"/>
  <c r="G619" i="3"/>
  <c r="G618" i="3"/>
  <c r="H618" i="3" s="1"/>
  <c r="G617" i="3"/>
  <c r="H617" i="3" s="1"/>
  <c r="D616" i="3"/>
  <c r="G614" i="3"/>
  <c r="H614" i="3" s="1"/>
  <c r="G613" i="3"/>
  <c r="H613" i="3" s="1"/>
  <c r="G612" i="3"/>
  <c r="H612" i="3" s="1"/>
  <c r="G611" i="3"/>
  <c r="H611" i="3" s="1"/>
  <c r="G610" i="3"/>
  <c r="H610" i="3" s="1"/>
  <c r="G609" i="3"/>
  <c r="H609" i="3" s="1"/>
  <c r="G608" i="3"/>
  <c r="H608" i="3" s="1"/>
  <c r="G607" i="3"/>
  <c r="H607" i="3" s="1"/>
  <c r="G606" i="3"/>
  <c r="H606" i="3" s="1"/>
  <c r="G605" i="3"/>
  <c r="H605" i="3" s="1"/>
  <c r="G604" i="3"/>
  <c r="H604" i="3" s="1"/>
  <c r="G603" i="3"/>
  <c r="H603" i="3" s="1"/>
  <c r="G602" i="3"/>
  <c r="H602" i="3" s="1"/>
  <c r="G601" i="3"/>
  <c r="H601" i="3" s="1"/>
  <c r="G600" i="3"/>
  <c r="H600" i="3" s="1"/>
  <c r="G599" i="3"/>
  <c r="H599" i="3" s="1"/>
  <c r="G598" i="3"/>
  <c r="H598" i="3" s="1"/>
  <c r="G597" i="3"/>
  <c r="H597" i="3" s="1"/>
  <c r="G594" i="3"/>
  <c r="G593" i="3" s="1"/>
  <c r="D593" i="3"/>
  <c r="G592" i="3"/>
  <c r="H592" i="3" s="1"/>
  <c r="G591" i="3"/>
  <c r="H591" i="3" s="1"/>
  <c r="G590" i="3"/>
  <c r="H590" i="3" s="1"/>
  <c r="G583" i="3"/>
  <c r="G582" i="3"/>
  <c r="H582" i="3" s="1"/>
  <c r="D581" i="3"/>
  <c r="G580" i="3"/>
  <c r="H580" i="3" s="1"/>
  <c r="G579" i="3"/>
  <c r="H579" i="3" s="1"/>
  <c r="G578" i="3"/>
  <c r="H578" i="3" s="1"/>
  <c r="G577" i="3"/>
  <c r="H577" i="3" s="1"/>
  <c r="G576" i="3"/>
  <c r="H576" i="3" s="1"/>
  <c r="G575" i="3"/>
  <c r="H575" i="3" s="1"/>
  <c r="G574" i="3"/>
  <c r="H574" i="3" s="1"/>
  <c r="D573" i="3"/>
  <c r="G572" i="3"/>
  <c r="H572" i="3" s="1"/>
  <c r="G571" i="3"/>
  <c r="H571" i="3" s="1"/>
  <c r="G570" i="3"/>
  <c r="H570" i="3" s="1"/>
  <c r="G569" i="3"/>
  <c r="H569" i="3" s="1"/>
  <c r="G568" i="3"/>
  <c r="H568" i="3" s="1"/>
  <c r="G567" i="3"/>
  <c r="H567" i="3" s="1"/>
  <c r="G566" i="3"/>
  <c r="H566" i="3" s="1"/>
  <c r="G565" i="3"/>
  <c r="H565" i="3" s="1"/>
  <c r="G564" i="3"/>
  <c r="H564" i="3" s="1"/>
  <c r="D563" i="3"/>
  <c r="G562" i="3"/>
  <c r="H562" i="3" s="1"/>
  <c r="G561" i="3"/>
  <c r="H561" i="3" s="1"/>
  <c r="G560" i="3"/>
  <c r="H560" i="3" s="1"/>
  <c r="G559" i="3"/>
  <c r="H559" i="3" s="1"/>
  <c r="G558" i="3"/>
  <c r="H558" i="3" s="1"/>
  <c r="G557" i="3"/>
  <c r="H557" i="3" s="1"/>
  <c r="G556" i="3"/>
  <c r="H556" i="3" s="1"/>
  <c r="G555" i="3"/>
  <c r="H555" i="3" s="1"/>
  <c r="G554" i="3"/>
  <c r="H554" i="3" s="1"/>
  <c r="G553" i="3"/>
  <c r="G551" i="3"/>
  <c r="H551" i="3" s="1"/>
  <c r="G550" i="3"/>
  <c r="D549" i="3"/>
  <c r="G548" i="3"/>
  <c r="H548" i="3" s="1"/>
  <c r="G547" i="3"/>
  <c r="H547" i="3" s="1"/>
  <c r="G546" i="3"/>
  <c r="H546" i="3" s="1"/>
  <c r="G545" i="3"/>
  <c r="H545" i="3" s="1"/>
  <c r="D544" i="3"/>
  <c r="G542" i="3"/>
  <c r="H542" i="3" s="1"/>
  <c r="G541" i="3"/>
  <c r="H541" i="3" s="1"/>
  <c r="G540" i="3"/>
  <c r="H540" i="3" s="1"/>
  <c r="G539" i="3"/>
  <c r="H539" i="3" s="1"/>
  <c r="G538" i="3"/>
  <c r="H538" i="3" s="1"/>
  <c r="G537" i="3"/>
  <c r="H537" i="3" s="1"/>
  <c r="G536" i="3"/>
  <c r="H536" i="3" s="1"/>
  <c r="G535" i="3"/>
  <c r="H535" i="3" s="1"/>
  <c r="G534" i="3"/>
  <c r="H534" i="3" s="1"/>
  <c r="G533" i="3"/>
  <c r="H533" i="3" s="1"/>
  <c r="G532" i="3"/>
  <c r="H532" i="3" s="1"/>
  <c r="G531" i="3"/>
  <c r="H531" i="3" s="1"/>
  <c r="G530" i="3"/>
  <c r="H530" i="3" s="1"/>
  <c r="G529" i="3"/>
  <c r="H529" i="3" s="1"/>
  <c r="G528" i="3"/>
  <c r="H528" i="3" s="1"/>
  <c r="G527" i="3"/>
  <c r="H527" i="3" s="1"/>
  <c r="G526" i="3"/>
  <c r="H526" i="3" s="1"/>
  <c r="G525" i="3"/>
  <c r="H525" i="3" s="1"/>
  <c r="G522" i="3"/>
  <c r="H522" i="3" s="1"/>
  <c r="H521" i="3" s="1"/>
  <c r="D521" i="3"/>
  <c r="G520" i="3"/>
  <c r="H520" i="3" s="1"/>
  <c r="G519" i="3"/>
  <c r="H519" i="3" s="1"/>
  <c r="G511" i="3"/>
  <c r="H511" i="3" s="1"/>
  <c r="G510" i="3"/>
  <c r="H510" i="3" s="1"/>
  <c r="D509" i="3"/>
  <c r="G508" i="3"/>
  <c r="H508" i="3" s="1"/>
  <c r="G507" i="3"/>
  <c r="H507" i="3" s="1"/>
  <c r="G506" i="3"/>
  <c r="G505" i="3"/>
  <c r="H505" i="3" s="1"/>
  <c r="G504" i="3"/>
  <c r="H504" i="3" s="1"/>
  <c r="G503" i="3"/>
  <c r="H503" i="3" s="1"/>
  <c r="G502" i="3"/>
  <c r="H502" i="3" s="1"/>
  <c r="D501" i="3"/>
  <c r="G500" i="3"/>
  <c r="H500" i="3" s="1"/>
  <c r="G499" i="3"/>
  <c r="H499" i="3" s="1"/>
  <c r="G498" i="3"/>
  <c r="H498" i="3" s="1"/>
  <c r="G497" i="3"/>
  <c r="H497" i="3" s="1"/>
  <c r="G496" i="3"/>
  <c r="H496" i="3" s="1"/>
  <c r="G495" i="3"/>
  <c r="H495" i="3" s="1"/>
  <c r="G494" i="3"/>
  <c r="H494" i="3" s="1"/>
  <c r="G493" i="3"/>
  <c r="H493" i="3" s="1"/>
  <c r="G492" i="3"/>
  <c r="H492" i="3" s="1"/>
  <c r="D491" i="3"/>
  <c r="G490" i="3"/>
  <c r="H490" i="3" s="1"/>
  <c r="G489" i="3"/>
  <c r="H489" i="3" s="1"/>
  <c r="G488" i="3"/>
  <c r="H488" i="3" s="1"/>
  <c r="G487" i="3"/>
  <c r="H487" i="3" s="1"/>
  <c r="G486" i="3"/>
  <c r="H486" i="3" s="1"/>
  <c r="G485" i="3"/>
  <c r="H485" i="3" s="1"/>
  <c r="G484" i="3"/>
  <c r="H484" i="3" s="1"/>
  <c r="G483" i="3"/>
  <c r="H483" i="3" s="1"/>
  <c r="G482" i="3"/>
  <c r="H482" i="3" s="1"/>
  <c r="G481" i="3"/>
  <c r="D480" i="3"/>
  <c r="G479" i="3"/>
  <c r="H479" i="3" s="1"/>
  <c r="G478" i="3"/>
  <c r="D477" i="3"/>
  <c r="G476" i="3"/>
  <c r="H476" i="3" s="1"/>
  <c r="G475" i="3"/>
  <c r="H475" i="3" s="1"/>
  <c r="G474" i="3"/>
  <c r="H474" i="3" s="1"/>
  <c r="G473" i="3"/>
  <c r="H473" i="3" s="1"/>
  <c r="D472" i="3"/>
  <c r="G470" i="3"/>
  <c r="H470" i="3" s="1"/>
  <c r="G469" i="3"/>
  <c r="H469" i="3" s="1"/>
  <c r="G468" i="3"/>
  <c r="H468" i="3" s="1"/>
  <c r="G467" i="3"/>
  <c r="H467" i="3" s="1"/>
  <c r="G466" i="3"/>
  <c r="H466" i="3" s="1"/>
  <c r="G465" i="3"/>
  <c r="H465" i="3" s="1"/>
  <c r="G464" i="3"/>
  <c r="H464" i="3" s="1"/>
  <c r="G463" i="3"/>
  <c r="H463" i="3" s="1"/>
  <c r="G462" i="3"/>
  <c r="H462" i="3" s="1"/>
  <c r="G461" i="3"/>
  <c r="H461" i="3" s="1"/>
  <c r="G460" i="3"/>
  <c r="H460" i="3" s="1"/>
  <c r="G459" i="3"/>
  <c r="H459" i="3" s="1"/>
  <c r="G458" i="3"/>
  <c r="H458" i="3" s="1"/>
  <c r="G457" i="3"/>
  <c r="H457" i="3" s="1"/>
  <c r="G456" i="3"/>
  <c r="H456" i="3" s="1"/>
  <c r="G455" i="3"/>
  <c r="H455" i="3" s="1"/>
  <c r="G454" i="3"/>
  <c r="H454" i="3" s="1"/>
  <c r="G453" i="3"/>
  <c r="H453" i="3" s="1"/>
  <c r="G450" i="3"/>
  <c r="G449" i="3" s="1"/>
  <c r="D449" i="3"/>
  <c r="G448" i="3"/>
  <c r="H448" i="3" s="1"/>
  <c r="G447" i="3"/>
  <c r="H447" i="3" s="1"/>
  <c r="G446" i="3"/>
  <c r="G439" i="3"/>
  <c r="H439" i="3" s="1"/>
  <c r="G438" i="3"/>
  <c r="H438" i="3" s="1"/>
  <c r="D437" i="3"/>
  <c r="G436" i="3"/>
  <c r="H436" i="3" s="1"/>
  <c r="G435" i="3"/>
  <c r="H435" i="3" s="1"/>
  <c r="G434" i="3"/>
  <c r="H434" i="3" s="1"/>
  <c r="G433" i="3"/>
  <c r="H433" i="3" s="1"/>
  <c r="G432" i="3"/>
  <c r="H432" i="3" s="1"/>
  <c r="G431" i="3"/>
  <c r="H431" i="3" s="1"/>
  <c r="G430" i="3"/>
  <c r="D429" i="3"/>
  <c r="G428" i="3"/>
  <c r="H428" i="3" s="1"/>
  <c r="G427" i="3"/>
  <c r="H427" i="3" s="1"/>
  <c r="G426" i="3"/>
  <c r="H426" i="3" s="1"/>
  <c r="G425" i="3"/>
  <c r="H425" i="3" s="1"/>
  <c r="G424" i="3"/>
  <c r="H424" i="3" s="1"/>
  <c r="G423" i="3"/>
  <c r="H423" i="3" s="1"/>
  <c r="G422" i="3"/>
  <c r="H422" i="3" s="1"/>
  <c r="G421" i="3"/>
  <c r="H421" i="3" s="1"/>
  <c r="G420" i="3"/>
  <c r="H420" i="3" s="1"/>
  <c r="D419" i="3"/>
  <c r="G418" i="3"/>
  <c r="H418" i="3" s="1"/>
  <c r="G417" i="3"/>
  <c r="H417" i="3" s="1"/>
  <c r="G416" i="3"/>
  <c r="H416" i="3" s="1"/>
  <c r="G415" i="3"/>
  <c r="H415" i="3" s="1"/>
  <c r="G414" i="3"/>
  <c r="H414" i="3" s="1"/>
  <c r="G413" i="3"/>
  <c r="H413" i="3"/>
  <c r="G412" i="3"/>
  <c r="H412" i="3" s="1"/>
  <c r="G411" i="3"/>
  <c r="H411" i="3" s="1"/>
  <c r="G410" i="3"/>
  <c r="H410" i="3" s="1"/>
  <c r="G409" i="3"/>
  <c r="H409" i="3" s="1"/>
  <c r="D408" i="3"/>
  <c r="G407" i="3"/>
  <c r="H407" i="3" s="1"/>
  <c r="G406" i="3"/>
  <c r="H406" i="3" s="1"/>
  <c r="G404" i="3"/>
  <c r="H404" i="3" s="1"/>
  <c r="G401" i="3"/>
  <c r="H401" i="3" s="1"/>
  <c r="G402" i="3"/>
  <c r="G403" i="3"/>
  <c r="H403" i="3" s="1"/>
  <c r="D400" i="3"/>
  <c r="G398" i="3"/>
  <c r="H398" i="3" s="1"/>
  <c r="G397" i="3"/>
  <c r="H397" i="3" s="1"/>
  <c r="G396" i="3"/>
  <c r="H396" i="3" s="1"/>
  <c r="G395" i="3"/>
  <c r="H395" i="3" s="1"/>
  <c r="G394" i="3"/>
  <c r="H394" i="3" s="1"/>
  <c r="G393" i="3"/>
  <c r="H393" i="3" s="1"/>
  <c r="G392" i="3"/>
  <c r="H392" i="3" s="1"/>
  <c r="G391" i="3"/>
  <c r="H391" i="3" s="1"/>
  <c r="G390" i="3"/>
  <c r="H390" i="3" s="1"/>
  <c r="G389" i="3"/>
  <c r="H389" i="3" s="1"/>
  <c r="G388" i="3"/>
  <c r="H388" i="3" s="1"/>
  <c r="G387" i="3"/>
  <c r="H387" i="3" s="1"/>
  <c r="G386" i="3"/>
  <c r="H386" i="3" s="1"/>
  <c r="G385" i="3"/>
  <c r="H385" i="3" s="1"/>
  <c r="G384" i="3"/>
  <c r="H384" i="3" s="1"/>
  <c r="G383" i="3"/>
  <c r="H383" i="3" s="1"/>
  <c r="G380" i="3"/>
  <c r="H380" i="3" s="1"/>
  <c r="G381" i="3"/>
  <c r="H381" i="3" s="1"/>
  <c r="G382" i="3"/>
  <c r="H382" i="3" s="1"/>
  <c r="D379" i="3"/>
  <c r="G378" i="3"/>
  <c r="H378" i="3" s="1"/>
  <c r="H377" i="3" s="1"/>
  <c r="D377" i="3"/>
  <c r="G376" i="3"/>
  <c r="G375" i="3"/>
  <c r="H375" i="3" s="1"/>
  <c r="G374" i="3"/>
  <c r="H374" i="3" s="1"/>
  <c r="G367" i="3"/>
  <c r="H367" i="3" s="1"/>
  <c r="G366" i="3"/>
  <c r="G365" i="3" s="1"/>
  <c r="D365" i="3"/>
  <c r="G364" i="3"/>
  <c r="H364" i="3" s="1"/>
  <c r="G363" i="3"/>
  <c r="H363" i="3" s="1"/>
  <c r="G362" i="3"/>
  <c r="H362" i="3" s="1"/>
  <c r="G361" i="3"/>
  <c r="G360" i="3"/>
  <c r="H360" i="3" s="1"/>
  <c r="G359" i="3"/>
  <c r="H359" i="3" s="1"/>
  <c r="G358" i="3"/>
  <c r="D357" i="3"/>
  <c r="G356" i="3"/>
  <c r="H356" i="3" s="1"/>
  <c r="G355" i="3"/>
  <c r="H355" i="3" s="1"/>
  <c r="G354" i="3"/>
  <c r="H354" i="3" s="1"/>
  <c r="G353" i="3"/>
  <c r="H353" i="3" s="1"/>
  <c r="G352" i="3"/>
  <c r="H352" i="3" s="1"/>
  <c r="G351" i="3"/>
  <c r="H351" i="3" s="1"/>
  <c r="G350" i="3"/>
  <c r="H350" i="3" s="1"/>
  <c r="G349" i="3"/>
  <c r="H349" i="3" s="1"/>
  <c r="G348" i="3"/>
  <c r="H348" i="3" s="1"/>
  <c r="G346" i="3"/>
  <c r="H346" i="3" s="1"/>
  <c r="G345" i="3"/>
  <c r="H345" i="3" s="1"/>
  <c r="G344" i="3"/>
  <c r="H344" i="3" s="1"/>
  <c r="G343" i="3"/>
  <c r="H343" i="3" s="1"/>
  <c r="G342" i="3"/>
  <c r="H342" i="3" s="1"/>
  <c r="G341" i="3"/>
  <c r="H341" i="3"/>
  <c r="G340" i="3"/>
  <c r="H340" i="3" s="1"/>
  <c r="G339" i="3"/>
  <c r="H339" i="3" s="1"/>
  <c r="G338" i="3"/>
  <c r="H338" i="3" s="1"/>
  <c r="G337" i="3"/>
  <c r="H337" i="3" s="1"/>
  <c r="D336" i="3"/>
  <c r="G335" i="3"/>
  <c r="H335" i="3" s="1"/>
  <c r="G334" i="3"/>
  <c r="H334" i="3" s="1"/>
  <c r="H333" i="3" s="1"/>
  <c r="G332" i="3"/>
  <c r="H332" i="3" s="1"/>
  <c r="G331" i="3"/>
  <c r="H331" i="3" s="1"/>
  <c r="G330" i="3"/>
  <c r="H330" i="3" s="1"/>
  <c r="G329" i="3"/>
  <c r="G326" i="3"/>
  <c r="H326" i="3" s="1"/>
  <c r="G325" i="3"/>
  <c r="H325" i="3" s="1"/>
  <c r="G324" i="3"/>
  <c r="H324" i="3" s="1"/>
  <c r="G323" i="3"/>
  <c r="H323" i="3" s="1"/>
  <c r="G322" i="3"/>
  <c r="H322" i="3"/>
  <c r="G321" i="3"/>
  <c r="H321" i="3" s="1"/>
  <c r="G320" i="3"/>
  <c r="H320" i="3" s="1"/>
  <c r="G319" i="3"/>
  <c r="H319" i="3" s="1"/>
  <c r="G318" i="3"/>
  <c r="H318" i="3" s="1"/>
  <c r="G317" i="3"/>
  <c r="H317" i="3" s="1"/>
  <c r="G316" i="3"/>
  <c r="H316" i="3" s="1"/>
  <c r="G315" i="3"/>
  <c r="H315" i="3" s="1"/>
  <c r="G314" i="3"/>
  <c r="H314" i="3" s="1"/>
  <c r="G313" i="3"/>
  <c r="H313" i="3" s="1"/>
  <c r="G312" i="3"/>
  <c r="H312" i="3" s="1"/>
  <c r="G311" i="3"/>
  <c r="H311" i="3" s="1"/>
  <c r="G310" i="3"/>
  <c r="H310" i="3" s="1"/>
  <c r="G309" i="3"/>
  <c r="H309" i="3" s="1"/>
  <c r="G306" i="3"/>
  <c r="H306" i="3" s="1"/>
  <c r="H305" i="3" s="1"/>
  <c r="G304" i="3"/>
  <c r="H304" i="3" s="1"/>
  <c r="G303" i="3"/>
  <c r="H303" i="3" s="1"/>
  <c r="G302" i="3"/>
  <c r="H302" i="3" s="1"/>
  <c r="G295" i="3"/>
  <c r="H295" i="3" s="1"/>
  <c r="G294" i="3"/>
  <c r="D293" i="3"/>
  <c r="G292" i="3"/>
  <c r="H292" i="3" s="1"/>
  <c r="G291" i="3"/>
  <c r="H291" i="3" s="1"/>
  <c r="G290" i="3"/>
  <c r="H290" i="3" s="1"/>
  <c r="G289" i="3"/>
  <c r="H289" i="3" s="1"/>
  <c r="G288" i="3"/>
  <c r="G287" i="3"/>
  <c r="H287" i="3" s="1"/>
  <c r="G286" i="3"/>
  <c r="H286" i="3" s="1"/>
  <c r="D285" i="3"/>
  <c r="D264" i="3"/>
  <c r="D275" i="3"/>
  <c r="G284" i="3"/>
  <c r="H284" i="3" s="1"/>
  <c r="G283" i="3"/>
  <c r="H283" i="3" s="1"/>
  <c r="G282" i="3"/>
  <c r="H282" i="3" s="1"/>
  <c r="G281" i="3"/>
  <c r="H281" i="3" s="1"/>
  <c r="G280" i="3"/>
  <c r="H280" i="3" s="1"/>
  <c r="G279" i="3"/>
  <c r="H279" i="3"/>
  <c r="G278" i="3"/>
  <c r="H278" i="3" s="1"/>
  <c r="G277" i="3"/>
  <c r="H277" i="3" s="1"/>
  <c r="G276" i="3"/>
  <c r="H276" i="3" s="1"/>
  <c r="G274" i="3"/>
  <c r="H274" i="3" s="1"/>
  <c r="G273" i="3"/>
  <c r="H273" i="3" s="1"/>
  <c r="G272" i="3"/>
  <c r="H272" i="3" s="1"/>
  <c r="G271" i="3"/>
  <c r="H271" i="3" s="1"/>
  <c r="G270" i="3"/>
  <c r="H270" i="3" s="1"/>
  <c r="G269" i="3"/>
  <c r="H269" i="3" s="1"/>
  <c r="G268" i="3"/>
  <c r="G267" i="3"/>
  <c r="H267" i="3" s="1"/>
  <c r="G266" i="3"/>
  <c r="H266" i="3" s="1"/>
  <c r="G265" i="3"/>
  <c r="H265" i="3" s="1"/>
  <c r="G263" i="3"/>
  <c r="H263" i="3" s="1"/>
  <c r="G262" i="3"/>
  <c r="D261" i="3"/>
  <c r="G260" i="3"/>
  <c r="H260" i="3" s="1"/>
  <c r="G259" i="3"/>
  <c r="H259" i="3" s="1"/>
  <c r="G258" i="3"/>
  <c r="H258" i="3" s="1"/>
  <c r="G257" i="3"/>
  <c r="H257" i="3" s="1"/>
  <c r="D256" i="3"/>
  <c r="G254" i="3"/>
  <c r="H254" i="3" s="1"/>
  <c r="G253" i="3"/>
  <c r="H253" i="3" s="1"/>
  <c r="G252" i="3"/>
  <c r="H252" i="3" s="1"/>
  <c r="G251" i="3"/>
  <c r="H251" i="3" s="1"/>
  <c r="G250" i="3"/>
  <c r="H250" i="3" s="1"/>
  <c r="G249" i="3"/>
  <c r="H249" i="3" s="1"/>
  <c r="G248" i="3"/>
  <c r="H248" i="3" s="1"/>
  <c r="G247" i="3"/>
  <c r="H247" i="3" s="1"/>
  <c r="G246" i="3"/>
  <c r="H246" i="3" s="1"/>
  <c r="G245" i="3"/>
  <c r="H245" i="3" s="1"/>
  <c r="G244" i="3"/>
  <c r="H244" i="3" s="1"/>
  <c r="G243" i="3"/>
  <c r="H243" i="3" s="1"/>
  <c r="G242" i="3"/>
  <c r="H242" i="3" s="1"/>
  <c r="G241" i="3"/>
  <c r="H241" i="3" s="1"/>
  <c r="G240" i="3"/>
  <c r="H240" i="3" s="1"/>
  <c r="G239" i="3"/>
  <c r="H239" i="3" s="1"/>
  <c r="G238" i="3"/>
  <c r="H238" i="3" s="1"/>
  <c r="G237" i="3"/>
  <c r="H237" i="3" s="1"/>
  <c r="G234" i="3"/>
  <c r="G233" i="3" s="1"/>
  <c r="D233" i="3"/>
  <c r="G232" i="3"/>
  <c r="H232" i="3" s="1"/>
  <c r="G231" i="3"/>
  <c r="G230" i="3"/>
  <c r="H230" i="3" s="1"/>
  <c r="G223" i="3"/>
  <c r="G222" i="3"/>
  <c r="H222" i="3" s="1"/>
  <c r="D221" i="3"/>
  <c r="G220" i="3"/>
  <c r="H220" i="3" s="1"/>
  <c r="G219" i="3"/>
  <c r="H219" i="3" s="1"/>
  <c r="G218" i="3"/>
  <c r="H218" i="3" s="1"/>
  <c r="G217" i="3"/>
  <c r="H217" i="3" s="1"/>
  <c r="G216" i="3"/>
  <c r="H216" i="3"/>
  <c r="G215" i="3"/>
  <c r="H215" i="3" s="1"/>
  <c r="G214" i="3"/>
  <c r="H214" i="3" s="1"/>
  <c r="D213" i="3"/>
  <c r="D203" i="3"/>
  <c r="G212" i="3"/>
  <c r="H212" i="3" s="1"/>
  <c r="G211" i="3"/>
  <c r="H211" i="3" s="1"/>
  <c r="G210" i="3"/>
  <c r="H210" i="3" s="1"/>
  <c r="G209" i="3"/>
  <c r="H209" i="3" s="1"/>
  <c r="G208" i="3"/>
  <c r="H208" i="3" s="1"/>
  <c r="G207" i="3"/>
  <c r="H207" i="3" s="1"/>
  <c r="G206" i="3"/>
  <c r="H206" i="3" s="1"/>
  <c r="G205" i="3"/>
  <c r="H205" i="3" s="1"/>
  <c r="G204" i="3"/>
  <c r="H204" i="3" s="1"/>
  <c r="G202" i="3"/>
  <c r="H202" i="3" s="1"/>
  <c r="G201" i="3"/>
  <c r="H201" i="3" s="1"/>
  <c r="G200" i="3"/>
  <c r="G199" i="3"/>
  <c r="H199" i="3" s="1"/>
  <c r="G198" i="3"/>
  <c r="H198" i="3" s="1"/>
  <c r="G197" i="3"/>
  <c r="H197" i="3" s="1"/>
  <c r="G196" i="3"/>
  <c r="H196" i="3" s="1"/>
  <c r="G195" i="3"/>
  <c r="H195" i="3" s="1"/>
  <c r="G194" i="3"/>
  <c r="H194" i="3" s="1"/>
  <c r="G193" i="3"/>
  <c r="H193" i="3" s="1"/>
  <c r="G191" i="3"/>
  <c r="H191" i="3" s="1"/>
  <c r="G190" i="3"/>
  <c r="G188" i="3"/>
  <c r="H188" i="3" s="1"/>
  <c r="G187" i="3"/>
  <c r="H187" i="3" s="1"/>
  <c r="G186" i="3"/>
  <c r="G185" i="3"/>
  <c r="H185" i="3" s="1"/>
  <c r="D184" i="3"/>
  <c r="G182" i="3"/>
  <c r="H182" i="3" s="1"/>
  <c r="G181" i="3"/>
  <c r="H181" i="3" s="1"/>
  <c r="G180" i="3"/>
  <c r="H180" i="3" s="1"/>
  <c r="G179" i="3"/>
  <c r="H179" i="3" s="1"/>
  <c r="G178" i="3"/>
  <c r="H178" i="3" s="1"/>
  <c r="G177" i="3"/>
  <c r="H177" i="3" s="1"/>
  <c r="G176" i="3"/>
  <c r="H176" i="3" s="1"/>
  <c r="G175" i="3"/>
  <c r="H175" i="3" s="1"/>
  <c r="G174" i="3"/>
  <c r="H174" i="3" s="1"/>
  <c r="G173" i="3"/>
  <c r="H173" i="3" s="1"/>
  <c r="G172" i="3"/>
  <c r="H172" i="3" s="1"/>
  <c r="G171" i="3"/>
  <c r="H171" i="3" s="1"/>
  <c r="G170" i="3"/>
  <c r="H170" i="3" s="1"/>
  <c r="G169" i="3"/>
  <c r="H169" i="3" s="1"/>
  <c r="H11" i="1" s="1"/>
  <c r="G168" i="3"/>
  <c r="H168" i="3" s="1"/>
  <c r="G167" i="3"/>
  <c r="H167" i="3" s="1"/>
  <c r="G166" i="3"/>
  <c r="H166" i="3" s="1"/>
  <c r="G165" i="3"/>
  <c r="H165" i="3" s="1"/>
  <c r="D163" i="3"/>
  <c r="G162" i="3"/>
  <c r="G161" i="3" s="1"/>
  <c r="D161" i="3"/>
  <c r="G160" i="3"/>
  <c r="H160" i="3" s="1"/>
  <c r="G159" i="3"/>
  <c r="H159" i="3" s="1"/>
  <c r="G158" i="3"/>
  <c r="G151" i="3"/>
  <c r="H151" i="3" s="1"/>
  <c r="G150" i="3"/>
  <c r="H150" i="3" s="1"/>
  <c r="D149" i="3"/>
  <c r="G148" i="3"/>
  <c r="H148" i="3" s="1"/>
  <c r="G147" i="3"/>
  <c r="H147" i="3" s="1"/>
  <c r="G146" i="3"/>
  <c r="H146" i="3" s="1"/>
  <c r="G145" i="3"/>
  <c r="H145" i="3" s="1"/>
  <c r="G144" i="3"/>
  <c r="H144" i="3" s="1"/>
  <c r="G143" i="3"/>
  <c r="H143" i="3" s="1"/>
  <c r="G142" i="3"/>
  <c r="H142" i="3" s="1"/>
  <c r="D141" i="3"/>
  <c r="G140" i="3"/>
  <c r="H140" i="3" s="1"/>
  <c r="G139" i="3"/>
  <c r="H139" i="3"/>
  <c r="G138" i="3"/>
  <c r="H138" i="3" s="1"/>
  <c r="G137" i="3"/>
  <c r="H137" i="3" s="1"/>
  <c r="G136" i="3"/>
  <c r="H136" i="3" s="1"/>
  <c r="G135" i="3"/>
  <c r="H135" i="3" s="1"/>
  <c r="G134" i="3"/>
  <c r="G133" i="3"/>
  <c r="H133" i="3" s="1"/>
  <c r="G132" i="3"/>
  <c r="H132" i="3" s="1"/>
  <c r="D131" i="3"/>
  <c r="G130" i="3"/>
  <c r="H130" i="3" s="1"/>
  <c r="G128" i="3"/>
  <c r="H128" i="3" s="1"/>
  <c r="G127" i="3"/>
  <c r="H127" i="3" s="1"/>
  <c r="G126" i="3"/>
  <c r="H126" i="3" s="1"/>
  <c r="G125" i="3"/>
  <c r="H125" i="3" s="1"/>
  <c r="G124" i="3"/>
  <c r="H124" i="3" s="1"/>
  <c r="G123" i="3"/>
  <c r="H123" i="3" s="1"/>
  <c r="G122" i="3"/>
  <c r="G121" i="3"/>
  <c r="H121" i="3" s="1"/>
  <c r="D120" i="3"/>
  <c r="G119" i="3"/>
  <c r="G118" i="3"/>
  <c r="H118" i="3" s="1"/>
  <c r="D117" i="3"/>
  <c r="G116" i="3"/>
  <c r="H116" i="3" s="1"/>
  <c r="G113" i="3"/>
  <c r="G114" i="3"/>
  <c r="H114" i="3" s="1"/>
  <c r="G115" i="3"/>
  <c r="H115" i="3" s="1"/>
  <c r="D112" i="3"/>
  <c r="G110" i="3"/>
  <c r="H110" i="3" s="1"/>
  <c r="G109" i="3"/>
  <c r="H109" i="3" s="1"/>
  <c r="G108" i="3"/>
  <c r="H108" i="3" s="1"/>
  <c r="G107" i="3"/>
  <c r="H107" i="3" s="1"/>
  <c r="G106" i="3"/>
  <c r="H106" i="3" s="1"/>
  <c r="G105" i="3"/>
  <c r="H105" i="3" s="1"/>
  <c r="G104" i="3"/>
  <c r="H104" i="3" s="1"/>
  <c r="G103" i="3"/>
  <c r="H103" i="3" s="1"/>
  <c r="G102" i="3"/>
  <c r="H102" i="3" s="1"/>
  <c r="G101" i="3"/>
  <c r="H101" i="3" s="1"/>
  <c r="G100" i="3"/>
  <c r="H100" i="3" s="1"/>
  <c r="G99" i="3"/>
  <c r="H99" i="3" s="1"/>
  <c r="G98" i="3"/>
  <c r="H98" i="3" s="1"/>
  <c r="G97" i="3"/>
  <c r="H97" i="3" s="1"/>
  <c r="G96" i="3"/>
  <c r="H96" i="3" s="1"/>
  <c r="G95" i="3"/>
  <c r="H95" i="3" s="1"/>
  <c r="G94" i="3"/>
  <c r="H94" i="3" s="1"/>
  <c r="G93" i="3"/>
  <c r="H93" i="3" s="1"/>
  <c r="G92" i="3"/>
  <c r="D91" i="3"/>
  <c r="G90" i="3"/>
  <c r="G89" i="3" s="1"/>
  <c r="D89" i="3"/>
  <c r="G88" i="3"/>
  <c r="H88" i="3" s="1"/>
  <c r="G87" i="3"/>
  <c r="H87" i="3" s="1"/>
  <c r="G86" i="3"/>
  <c r="H81" i="3"/>
  <c r="H153" i="3" s="1"/>
  <c r="H225" i="3" s="1"/>
  <c r="H297" i="3" s="1"/>
  <c r="H369" i="3" s="1"/>
  <c r="H441" i="3" s="1"/>
  <c r="H513" i="3" s="1"/>
  <c r="H657" i="3" s="1"/>
  <c r="H729" i="3" s="1"/>
  <c r="H801" i="3" s="1"/>
  <c r="G79" i="3"/>
  <c r="H79" i="3" s="1"/>
  <c r="G78" i="3"/>
  <c r="H78" i="3" s="1"/>
  <c r="D77" i="3"/>
  <c r="G76" i="3"/>
  <c r="H76" i="3" s="1"/>
  <c r="G75" i="3"/>
  <c r="H75" i="3" s="1"/>
  <c r="G74" i="3"/>
  <c r="H74" i="3" s="1"/>
  <c r="G73" i="3"/>
  <c r="H73" i="3" s="1"/>
  <c r="G72" i="3"/>
  <c r="H72" i="3" s="1"/>
  <c r="G71" i="3"/>
  <c r="H71" i="3" s="1"/>
  <c r="G70" i="3"/>
  <c r="H70" i="3" s="1"/>
  <c r="D69" i="3"/>
  <c r="G68" i="3"/>
  <c r="H68" i="3" s="1"/>
  <c r="G9" i="1" s="1"/>
  <c r="G67" i="3"/>
  <c r="H67" i="3" s="1"/>
  <c r="G66" i="3"/>
  <c r="H66" i="3" s="1"/>
  <c r="G65" i="3"/>
  <c r="H65" i="3" s="1"/>
  <c r="G64" i="3"/>
  <c r="H64" i="3" s="1"/>
  <c r="G63" i="3"/>
  <c r="G62" i="3"/>
  <c r="H62" i="3"/>
  <c r="G61" i="3"/>
  <c r="H61" i="3" s="1"/>
  <c r="G60" i="3"/>
  <c r="H60" i="3" s="1"/>
  <c r="G58" i="3"/>
  <c r="H58" i="3" s="1"/>
  <c r="G56" i="3"/>
  <c r="H56" i="3" s="1"/>
  <c r="G55" i="3"/>
  <c r="H55" i="3" s="1"/>
  <c r="G54" i="3"/>
  <c r="H54" i="3" s="1"/>
  <c r="G53" i="3"/>
  <c r="H53" i="3" s="1"/>
  <c r="G52" i="3"/>
  <c r="H52" i="3" s="1"/>
  <c r="G51" i="3"/>
  <c r="H51" i="3" s="1"/>
  <c r="G50" i="3"/>
  <c r="H50" i="3" s="1"/>
  <c r="G49" i="3"/>
  <c r="D48" i="3"/>
  <c r="G47" i="3"/>
  <c r="G46" i="3"/>
  <c r="H46" i="3" s="1"/>
  <c r="D45" i="3"/>
  <c r="G44" i="3"/>
  <c r="H44" i="3" s="1"/>
  <c r="G43" i="3"/>
  <c r="H43" i="3" s="1"/>
  <c r="G42" i="3"/>
  <c r="H42" i="3" s="1"/>
  <c r="G41" i="3"/>
  <c r="H41" i="3" s="1"/>
  <c r="D40" i="3"/>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D19" i="3"/>
  <c r="G18" i="3"/>
  <c r="D17" i="3"/>
  <c r="G16" i="3"/>
  <c r="H16" i="3" s="1"/>
  <c r="G15" i="3"/>
  <c r="H15" i="3" s="1"/>
  <c r="G14" i="3"/>
  <c r="D4" i="3"/>
  <c r="Y48" i="2"/>
  <c r="T48" i="2"/>
  <c r="Y47" i="2"/>
  <c r="T47" i="2"/>
  <c r="Y46" i="2"/>
  <c r="T46" i="2"/>
  <c r="Y45" i="2"/>
  <c r="T45" i="2"/>
  <c r="Y44" i="2"/>
  <c r="T44" i="2"/>
  <c r="Y43" i="2"/>
  <c r="T43" i="2"/>
  <c r="Y42" i="2"/>
  <c r="T42" i="2"/>
  <c r="Y41" i="2"/>
  <c r="T41" i="2"/>
  <c r="Y40" i="2"/>
  <c r="T40" i="2"/>
  <c r="S40" i="2"/>
  <c r="Y39" i="2"/>
  <c r="T39" i="2"/>
  <c r="Y38" i="2"/>
  <c r="T38" i="2"/>
  <c r="S38" i="2"/>
  <c r="Y37" i="2"/>
  <c r="T37" i="2"/>
  <c r="J35" i="5"/>
  <c r="I35" i="5"/>
  <c r="H35" i="5"/>
  <c r="T36" i="2"/>
  <c r="Y35" i="2"/>
  <c r="T35" i="2"/>
  <c r="S35" i="2"/>
  <c r="Y34" i="2"/>
  <c r="T34" i="2"/>
  <c r="Y33" i="2"/>
  <c r="T33" i="2"/>
  <c r="S33" i="2"/>
  <c r="T32" i="2"/>
  <c r="Y31" i="2"/>
  <c r="T31" i="2"/>
  <c r="S31" i="2"/>
  <c r="Y30" i="2"/>
  <c r="T30" i="2"/>
  <c r="J28" i="5"/>
  <c r="I28" i="5"/>
  <c r="H28" i="5"/>
  <c r="T29" i="2"/>
  <c r="Y28" i="2"/>
  <c r="T28" i="2"/>
  <c r="S28" i="2"/>
  <c r="T26" i="2"/>
  <c r="T25" i="2"/>
  <c r="T24" i="2"/>
  <c r="Y23" i="2"/>
  <c r="T23" i="2"/>
  <c r="Y22" i="2"/>
  <c r="T22" i="2"/>
  <c r="Y21" i="2"/>
  <c r="T21" i="2"/>
  <c r="Y20" i="2"/>
  <c r="T20" i="2"/>
  <c r="J18" i="5"/>
  <c r="I18" i="5"/>
  <c r="H18" i="5"/>
  <c r="T19" i="2"/>
  <c r="J17" i="5"/>
  <c r="I17" i="5"/>
  <c r="H17" i="5"/>
  <c r="Y18" i="2"/>
  <c r="T18" i="2"/>
  <c r="J16" i="5"/>
  <c r="I16" i="5"/>
  <c r="H16" i="5"/>
  <c r="Y17" i="2"/>
  <c r="T17" i="2"/>
  <c r="J15" i="5"/>
  <c r="I15" i="5"/>
  <c r="H15" i="5"/>
  <c r="T16" i="2"/>
  <c r="Y15" i="2"/>
  <c r="T15" i="2"/>
  <c r="Y14" i="2"/>
  <c r="T14" i="2"/>
  <c r="Y13" i="2"/>
  <c r="T13" i="2"/>
  <c r="Y12" i="2"/>
  <c r="T12" i="2"/>
  <c r="S12" i="2"/>
  <c r="W93" i="11"/>
  <c r="D121" i="1"/>
  <c r="I110" i="1"/>
  <c r="H110" i="1"/>
  <c r="D97" i="1"/>
  <c r="I86" i="1"/>
  <c r="H86" i="1"/>
  <c r="J86" i="1" s="1"/>
  <c r="I45" i="1"/>
  <c r="H45" i="1"/>
  <c r="E4" i="1"/>
  <c r="H781" i="3"/>
  <c r="C29" i="11"/>
  <c r="G29" i="11"/>
  <c r="E29" i="11"/>
  <c r="Y29" i="11"/>
  <c r="S94" i="11"/>
  <c r="S95" i="11"/>
  <c r="K95" i="11"/>
  <c r="C95" i="11"/>
  <c r="AA95" i="11" s="1"/>
  <c r="W95" i="11"/>
  <c r="G95" i="11"/>
  <c r="U95" i="11"/>
  <c r="E95" i="11"/>
  <c r="Y95" i="11"/>
  <c r="Q95" i="11"/>
  <c r="I95" i="11"/>
  <c r="O95" i="11"/>
  <c r="M95" i="11"/>
  <c r="C28" i="11"/>
  <c r="E28" i="11"/>
  <c r="G740" i="3"/>
  <c r="H740" i="3" s="1"/>
  <c r="G236" i="3"/>
  <c r="D523" i="3"/>
  <c r="H735" i="3"/>
  <c r="H478" i="3"/>
  <c r="H790" i="3"/>
  <c r="D667" i="3"/>
  <c r="D451" i="3"/>
  <c r="G129" i="3"/>
  <c r="H129" i="3" s="1"/>
  <c r="H376" i="3"/>
  <c r="G20" i="3"/>
  <c r="H20" i="3" s="1"/>
  <c r="G452" i="3"/>
  <c r="H452" i="3" s="1"/>
  <c r="G308" i="3"/>
  <c r="H308" i="3" s="1"/>
  <c r="G524" i="3"/>
  <c r="G164" i="3"/>
  <c r="G668" i="3"/>
  <c r="H668" i="3" s="1"/>
  <c r="G596" i="3"/>
  <c r="H596" i="3" s="1"/>
  <c r="K57" i="6"/>
  <c r="K58" i="6"/>
  <c r="C93" i="11"/>
  <c r="I93" i="11"/>
  <c r="Y93" i="11"/>
  <c r="I94" i="11"/>
  <c r="O94" i="11"/>
  <c r="U94" i="11"/>
  <c r="C94" i="11"/>
  <c r="AA94" i="11" s="1"/>
  <c r="G94" i="11"/>
  <c r="Y94" i="11"/>
  <c r="Q93" i="11"/>
  <c r="M93" i="11"/>
  <c r="E93" i="11"/>
  <c r="K93" i="11"/>
  <c r="G93" i="11"/>
  <c r="S93" i="11"/>
  <c r="O93" i="11"/>
  <c r="U93" i="11"/>
  <c r="M94" i="11"/>
  <c r="Q94" i="11"/>
  <c r="E94" i="11"/>
  <c r="W94" i="11"/>
  <c r="K94" i="11"/>
  <c r="O88" i="9"/>
  <c r="P19" i="5"/>
  <c r="O19" i="5" s="1"/>
  <c r="K15" i="2"/>
  <c r="P30" i="5"/>
  <c r="P32" i="5"/>
  <c r="O32" i="5" s="1"/>
  <c r="P23" i="5"/>
  <c r="K25" i="2"/>
  <c r="E71" i="1" s="1"/>
  <c r="H73" i="1" s="1"/>
  <c r="P22" i="5"/>
  <c r="K24" i="2"/>
  <c r="P45" i="5"/>
  <c r="O45" i="5" s="1"/>
  <c r="K47" i="2"/>
  <c r="D45" i="5" s="1"/>
  <c r="L45" i="5" s="1"/>
  <c r="O42" i="2"/>
  <c r="K23" i="2"/>
  <c r="O23" i="2" s="1"/>
  <c r="K35" i="2"/>
  <c r="K37" i="2" s="1"/>
  <c r="C41" i="7" s="1"/>
  <c r="F41" i="7" s="1"/>
  <c r="K41" i="2"/>
  <c r="D39" i="5" s="1"/>
  <c r="L39" i="5" s="1"/>
  <c r="P46" i="5"/>
  <c r="O46" i="5" s="1"/>
  <c r="K14" i="2"/>
  <c r="J14" i="2" s="1"/>
  <c r="C12" i="5" s="1"/>
  <c r="P11" i="5"/>
  <c r="O11" i="5" s="1"/>
  <c r="E122" i="1"/>
  <c r="P31" i="5"/>
  <c r="O31" i="5"/>
  <c r="K38" i="2"/>
  <c r="D36" i="5" s="1"/>
  <c r="P38" i="5"/>
  <c r="O38" i="5" s="1"/>
  <c r="P37" i="5"/>
  <c r="K26" i="2"/>
  <c r="O26" i="2" s="1"/>
  <c r="K43" i="2"/>
  <c r="E131" i="1" s="1"/>
  <c r="H133" i="1" s="1"/>
  <c r="K22" i="2"/>
  <c r="E62" i="1" s="1"/>
  <c r="K44" i="2"/>
  <c r="D42" i="5" s="1"/>
  <c r="K12" i="2"/>
  <c r="J12" i="2" s="1"/>
  <c r="N12" i="2" s="1"/>
  <c r="K46" i="2"/>
  <c r="G140" i="1" s="1"/>
  <c r="G142" i="1" s="1"/>
  <c r="P44" i="5"/>
  <c r="O44" i="5" s="1"/>
  <c r="K45" i="2"/>
  <c r="C49" i="7" s="1"/>
  <c r="F49" i="7" s="1"/>
  <c r="P43" i="5"/>
  <c r="O43" i="5" s="1"/>
  <c r="D30" i="5"/>
  <c r="C36" i="7"/>
  <c r="F36" i="7" s="1"/>
  <c r="E59" i="1"/>
  <c r="H583" i="3"/>
  <c r="E53" i="1"/>
  <c r="E74" i="1"/>
  <c r="H76" i="1" s="1"/>
  <c r="F53" i="1"/>
  <c r="Y19" i="2"/>
  <c r="Y96" i="11"/>
  <c r="H798" i="3"/>
  <c r="H797" i="3" s="1"/>
  <c r="H190" i="3"/>
  <c r="H358" i="3"/>
  <c r="C118" i="11"/>
  <c r="S118" i="11"/>
  <c r="K230" i="6"/>
  <c r="L230" i="6"/>
  <c r="K231" i="6"/>
  <c r="K136" i="6"/>
  <c r="L136" i="6"/>
  <c r="L137" i="6"/>
  <c r="G518" i="3"/>
  <c r="H518" i="3" s="1"/>
  <c r="H20" i="1"/>
  <c r="H833" i="3"/>
  <c r="N34" i="4"/>
  <c r="R34" i="4"/>
  <c r="P29" i="4"/>
  <c r="P30" i="4"/>
  <c r="P50" i="4"/>
  <c r="N50" i="4"/>
  <c r="R54" i="4"/>
  <c r="R58" i="4"/>
  <c r="P60" i="4"/>
  <c r="R60" i="4"/>
  <c r="N60" i="4"/>
  <c r="J79" i="4"/>
  <c r="J80" i="4"/>
  <c r="O21" i="1"/>
  <c r="M34" i="2"/>
  <c r="E38" i="7" s="1"/>
  <c r="H38" i="7" s="1"/>
  <c r="R39" i="5"/>
  <c r="R19" i="5"/>
  <c r="P47" i="2"/>
  <c r="Q45" i="5"/>
  <c r="L43" i="2"/>
  <c r="F131" i="1" s="1"/>
  <c r="F133" i="1" s="1"/>
  <c r="D45" i="7"/>
  <c r="G45" i="7" s="1"/>
  <c r="E39" i="5"/>
  <c r="Q37" i="5"/>
  <c r="Q24" i="5"/>
  <c r="L26" i="2"/>
  <c r="F74" i="1" s="1"/>
  <c r="L24" i="2"/>
  <c r="E22" i="5" s="1"/>
  <c r="Q22" i="5"/>
  <c r="Q20" i="5"/>
  <c r="L22" i="2"/>
  <c r="P22" i="2" s="1"/>
  <c r="Q30" i="5"/>
  <c r="L38" i="2"/>
  <c r="P38" i="2" s="1"/>
  <c r="R31" i="5"/>
  <c r="M25" i="2"/>
  <c r="F23" i="5" s="1"/>
  <c r="M38" i="2"/>
  <c r="Q38" i="2" s="1"/>
  <c r="Q40" i="5"/>
  <c r="Q19" i="5"/>
  <c r="R42" i="5"/>
  <c r="M43" i="2"/>
  <c r="Q43" i="2" s="1"/>
  <c r="R41" i="5"/>
  <c r="M35" i="2"/>
  <c r="E39" i="7" s="1"/>
  <c r="R38" i="5"/>
  <c r="R21" i="5"/>
  <c r="M23" i="2"/>
  <c r="E28" i="7" s="1"/>
  <c r="R30" i="5"/>
  <c r="M32" i="2"/>
  <c r="E36" i="7" s="1"/>
  <c r="M12" i="2"/>
  <c r="Q12" i="2" s="1"/>
  <c r="R10" i="5"/>
  <c r="M39" i="2"/>
  <c r="G118" i="1" s="1"/>
  <c r="M47" i="2"/>
  <c r="F45" i="5" s="1"/>
  <c r="N45" i="5" s="1"/>
  <c r="R45" i="5"/>
  <c r="M31" i="2"/>
  <c r="Q31" i="2" s="1"/>
  <c r="R29" i="5"/>
  <c r="R20" i="5"/>
  <c r="G65" i="1"/>
  <c r="Q29" i="5"/>
  <c r="L48" i="2"/>
  <c r="P48" i="2" s="1"/>
  <c r="D46" i="5"/>
  <c r="E69" i="1"/>
  <c r="Q11" i="5"/>
  <c r="Q23" i="5"/>
  <c r="J48" i="2"/>
  <c r="D146" i="1" s="1"/>
  <c r="D20" i="5"/>
  <c r="L20" i="5" s="1"/>
  <c r="E125" i="1"/>
  <c r="E127" i="1" s="1"/>
  <c r="E72" i="1"/>
  <c r="H169" i="1"/>
  <c r="B19" i="1" s="1"/>
  <c r="D19" i="1" s="1"/>
  <c r="G126" i="11" s="1"/>
  <c r="B18" i="1"/>
  <c r="D18" i="1" s="1"/>
  <c r="R46" i="5"/>
  <c r="Q43" i="5"/>
  <c r="C26" i="7"/>
  <c r="F26" i="7" s="1"/>
  <c r="J34" i="2"/>
  <c r="L35" i="2"/>
  <c r="P35" i="2" s="1"/>
  <c r="L33" i="2"/>
  <c r="F98" i="1" s="1"/>
  <c r="M24" i="2"/>
  <c r="E29" i="7" s="1"/>
  <c r="H29" i="7" s="1"/>
  <c r="D19" i="5"/>
  <c r="E101" i="1"/>
  <c r="F46" i="5"/>
  <c r="D30" i="7"/>
  <c r="G30" i="7" s="1"/>
  <c r="F94" i="1"/>
  <c r="F125" i="1"/>
  <c r="D51" i="7"/>
  <c r="E81" i="1"/>
  <c r="D47" i="7"/>
  <c r="G47" i="7" s="1"/>
  <c r="L34" i="2"/>
  <c r="E32" i="5" s="1"/>
  <c r="M32" i="5" s="1"/>
  <c r="L14" i="2"/>
  <c r="P14" i="2" s="1"/>
  <c r="Q10" i="5"/>
  <c r="C42" i="7"/>
  <c r="M26" i="2"/>
  <c r="G74" i="1" s="1"/>
  <c r="G76" i="1" s="1"/>
  <c r="R44" i="5"/>
  <c r="M45" i="2"/>
  <c r="E49" i="7" s="1"/>
  <c r="H49" i="7" s="1"/>
  <c r="R13" i="5"/>
  <c r="E146" i="1"/>
  <c r="D33" i="5"/>
  <c r="J35" i="2"/>
  <c r="C33" i="5" s="1"/>
  <c r="K33" i="5" s="1"/>
  <c r="E37" i="5"/>
  <c r="M37" i="5" s="1"/>
  <c r="Q47" i="2"/>
  <c r="P41" i="2"/>
  <c r="C52" i="7"/>
  <c r="F37" i="1"/>
  <c r="F39" i="1" s="1"/>
  <c r="O40" i="2"/>
  <c r="R26" i="5"/>
  <c r="Q26" i="5"/>
  <c r="O21" i="2"/>
  <c r="Q28" i="2"/>
  <c r="F26" i="5"/>
  <c r="N54" i="4" l="1"/>
  <c r="R32" i="4"/>
  <c r="Y74" i="11"/>
  <c r="AA74" i="11" s="1"/>
  <c r="N45" i="9"/>
  <c r="N34" i="9"/>
  <c r="AA14" i="2"/>
  <c r="Z15" i="2"/>
  <c r="P88" i="9"/>
  <c r="H10" i="9"/>
  <c r="F13" i="5"/>
  <c r="N13" i="5" s="1"/>
  <c r="E20" i="7"/>
  <c r="G40" i="1"/>
  <c r="M20" i="2"/>
  <c r="F18" i="5" s="1"/>
  <c r="Q15" i="2"/>
  <c r="Q41" i="2"/>
  <c r="G125" i="1"/>
  <c r="U50" i="11"/>
  <c r="L42" i="5"/>
  <c r="G837" i="3"/>
  <c r="Y85" i="11"/>
  <c r="AA85" i="11" s="1"/>
  <c r="M62" i="11"/>
  <c r="L33" i="5"/>
  <c r="AA96" i="11"/>
  <c r="G67" i="1"/>
  <c r="H594" i="3"/>
  <c r="H593" i="3" s="1"/>
  <c r="E51" i="11"/>
  <c r="Y117" i="11"/>
  <c r="G143" i="1"/>
  <c r="E73" i="1"/>
  <c r="H666" i="3"/>
  <c r="H665" i="3" s="1"/>
  <c r="G261" i="3"/>
  <c r="C40" i="11"/>
  <c r="E64" i="1"/>
  <c r="N122" i="9"/>
  <c r="O122" i="9" s="1"/>
  <c r="I83" i="11"/>
  <c r="Q17" i="11"/>
  <c r="R23" i="4"/>
  <c r="S28" i="11"/>
  <c r="AA29" i="11"/>
  <c r="J45" i="1"/>
  <c r="E87" i="12"/>
  <c r="N111" i="9"/>
  <c r="P111" i="9" s="1"/>
  <c r="K12" i="5"/>
  <c r="G737" i="3"/>
  <c r="E90" i="12"/>
  <c r="W62" i="11"/>
  <c r="E128" i="11"/>
  <c r="I5" i="11"/>
  <c r="I8" i="11" s="1"/>
  <c r="M51" i="11"/>
  <c r="G521" i="3"/>
  <c r="H162" i="3"/>
  <c r="H161" i="3" s="1"/>
  <c r="D88" i="12"/>
  <c r="E148" i="1"/>
  <c r="H450" i="3"/>
  <c r="H449" i="3" s="1"/>
  <c r="D86" i="12"/>
  <c r="E89" i="12"/>
  <c r="U5" i="11"/>
  <c r="G6" i="11"/>
  <c r="S39" i="11"/>
  <c r="E50" i="11"/>
  <c r="O51" i="11"/>
  <c r="C62" i="11"/>
  <c r="U83" i="11"/>
  <c r="G84" i="11"/>
  <c r="W106" i="11"/>
  <c r="E117" i="11"/>
  <c r="Q84" i="11"/>
  <c r="Q32" i="2"/>
  <c r="E47" i="7"/>
  <c r="H47" i="7" s="1"/>
  <c r="F30" i="5"/>
  <c r="G137" i="1"/>
  <c r="G139" i="1" s="1"/>
  <c r="F34" i="1"/>
  <c r="C84" i="11"/>
  <c r="J110" i="1"/>
  <c r="Y129" i="11"/>
  <c r="AA129" i="11" s="1"/>
  <c r="D91" i="12"/>
  <c r="Q114" i="9"/>
  <c r="W5" i="11"/>
  <c r="B17" i="1"/>
  <c r="D17" i="1" s="1"/>
  <c r="D97" i="9" s="1"/>
  <c r="G117" i="3"/>
  <c r="H234" i="3"/>
  <c r="H233" i="3" s="1"/>
  <c r="G509" i="3"/>
  <c r="G372" i="3"/>
  <c r="G549" i="3"/>
  <c r="H810" i="3"/>
  <c r="H809" i="3" s="1"/>
  <c r="G581" i="3"/>
  <c r="E124" i="1"/>
  <c r="N55" i="4"/>
  <c r="P55" i="4"/>
  <c r="R55" i="4"/>
  <c r="N30" i="5"/>
  <c r="G145" i="1"/>
  <c r="Q5" i="11"/>
  <c r="S62" i="11"/>
  <c r="F127" i="1"/>
  <c r="S61" i="11"/>
  <c r="E5" i="11"/>
  <c r="E8" i="11" s="1"/>
  <c r="K39" i="11"/>
  <c r="K42" i="11" s="1"/>
  <c r="Y6" i="11"/>
  <c r="AA6" i="11" s="1"/>
  <c r="G62" i="11"/>
  <c r="E62" i="11"/>
  <c r="S51" i="11"/>
  <c r="E84" i="11"/>
  <c r="G117" i="11"/>
  <c r="G732" i="3"/>
  <c r="G444" i="3"/>
  <c r="W50" i="11"/>
  <c r="U51" i="11"/>
  <c r="E83" i="1"/>
  <c r="C6" i="11"/>
  <c r="C51" i="11"/>
  <c r="F41" i="5"/>
  <c r="N41" i="5" s="1"/>
  <c r="E134" i="1"/>
  <c r="F96" i="1"/>
  <c r="P43" i="2"/>
  <c r="C5" i="11"/>
  <c r="O5" i="11"/>
  <c r="O8" i="11" s="1"/>
  <c r="W83" i="11"/>
  <c r="Y62" i="11"/>
  <c r="G51" i="11"/>
  <c r="I51" i="11"/>
  <c r="M84" i="11"/>
  <c r="C117" i="11"/>
  <c r="H149" i="3"/>
  <c r="G203" i="3"/>
  <c r="H688" i="3"/>
  <c r="G765" i="3"/>
  <c r="Y7" i="11"/>
  <c r="AA7" i="11" s="1"/>
  <c r="D89" i="12"/>
  <c r="D87" i="12"/>
  <c r="O50" i="11"/>
  <c r="O53" i="11" s="1"/>
  <c r="L31" i="5"/>
  <c r="O121" i="9"/>
  <c r="L43" i="9"/>
  <c r="Q62" i="11"/>
  <c r="S84" i="11"/>
  <c r="Y5" i="11"/>
  <c r="K5" i="11"/>
  <c r="K8" i="11" s="1"/>
  <c r="K83" i="11"/>
  <c r="O62" i="11"/>
  <c r="W51" i="11"/>
  <c r="Q51" i="11"/>
  <c r="I84" i="11"/>
  <c r="G377" i="3"/>
  <c r="G621" i="3"/>
  <c r="E136" i="1"/>
  <c r="E88" i="12"/>
  <c r="E86" i="12"/>
  <c r="N46" i="5"/>
  <c r="G131" i="1"/>
  <c r="G133" i="1" s="1"/>
  <c r="Q25" i="2"/>
  <c r="M5" i="11"/>
  <c r="M8" i="11" s="1"/>
  <c r="G5" i="11"/>
  <c r="G8" i="11" s="1"/>
  <c r="Q83" i="11"/>
  <c r="G624" i="3"/>
  <c r="G797" i="3"/>
  <c r="I62" i="11"/>
  <c r="K51" i="11"/>
  <c r="Y51" i="11"/>
  <c r="L36" i="5"/>
  <c r="H622" i="3"/>
  <c r="H621" i="3" s="1"/>
  <c r="H405" i="3"/>
  <c r="Y84" i="11"/>
  <c r="H366" i="3"/>
  <c r="H365" i="3" s="1"/>
  <c r="H14" i="1"/>
  <c r="H550" i="3"/>
  <c r="H549" i="3" s="1"/>
  <c r="O39" i="11"/>
  <c r="Y106" i="11"/>
  <c r="L29" i="5"/>
  <c r="F120" i="1"/>
  <c r="M98" i="9"/>
  <c r="M45" i="5"/>
  <c r="O110" i="9"/>
  <c r="P56" i="9"/>
  <c r="W15" i="4"/>
  <c r="H172" i="1"/>
  <c r="B20" i="1" s="1"/>
  <c r="D20" i="1" s="1"/>
  <c r="H275" i="3"/>
  <c r="E39" i="11"/>
  <c r="M83" i="11"/>
  <c r="U62" i="11"/>
  <c r="C39" i="11"/>
  <c r="H694" i="3"/>
  <c r="H693" i="3" s="1"/>
  <c r="G127" i="1"/>
  <c r="D12" i="5"/>
  <c r="L12" i="5" s="1"/>
  <c r="E41" i="5"/>
  <c r="M41" i="5" s="1"/>
  <c r="F100" i="1"/>
  <c r="M39" i="5"/>
  <c r="Q39" i="11"/>
  <c r="K62" i="11"/>
  <c r="L30" i="5"/>
  <c r="Y18" i="11"/>
  <c r="H262" i="3"/>
  <c r="H261" i="3" s="1"/>
  <c r="G12" i="3"/>
  <c r="G336" i="3"/>
  <c r="G405" i="3"/>
  <c r="H446" i="3"/>
  <c r="G653" i="3"/>
  <c r="N12" i="9"/>
  <c r="O12" i="9" s="1"/>
  <c r="O34" i="2"/>
  <c r="K70" i="4"/>
  <c r="M30" i="5"/>
  <c r="D44" i="9"/>
  <c r="G40" i="11"/>
  <c r="H725" i="3"/>
  <c r="H595" i="3"/>
  <c r="D101" i="9" s="1"/>
  <c r="H544" i="3"/>
  <c r="G400" i="3"/>
  <c r="Y107" i="11"/>
  <c r="AA107" i="11" s="1"/>
  <c r="Y105" i="11"/>
  <c r="C87" i="9"/>
  <c r="J10" i="9"/>
  <c r="N10" i="9"/>
  <c r="R39" i="4"/>
  <c r="N39" i="4"/>
  <c r="N57" i="4"/>
  <c r="P57" i="4"/>
  <c r="W40" i="4"/>
  <c r="E29" i="8"/>
  <c r="E31" i="8" s="1"/>
  <c r="E57" i="3" s="1"/>
  <c r="G57" i="3" s="1"/>
  <c r="H57" i="3" s="1"/>
  <c r="P11" i="9"/>
  <c r="O55" i="9"/>
  <c r="L10" i="9"/>
  <c r="M32" i="9"/>
  <c r="I10" i="9"/>
  <c r="L54" i="9"/>
  <c r="H87" i="9"/>
  <c r="H109" i="9"/>
  <c r="C44" i="9"/>
  <c r="M114" i="6"/>
  <c r="D301" i="3" s="1"/>
  <c r="H301" i="3" s="1"/>
  <c r="H300" i="3" s="1"/>
  <c r="C10" i="9"/>
  <c r="F43" i="9"/>
  <c r="F10" i="9"/>
  <c r="P121" i="9"/>
  <c r="O11" i="9"/>
  <c r="P33" i="9"/>
  <c r="P110" i="9"/>
  <c r="C22" i="9"/>
  <c r="C98" i="9"/>
  <c r="G10" i="9"/>
  <c r="D65" i="9"/>
  <c r="P55" i="9"/>
  <c r="R30" i="4"/>
  <c r="N32" i="4"/>
  <c r="K77" i="4"/>
  <c r="N58" i="4"/>
  <c r="R61" i="4"/>
  <c r="R48" i="4"/>
  <c r="N53" i="4"/>
  <c r="P53" i="4"/>
  <c r="P48" i="4"/>
  <c r="P38" i="4"/>
  <c r="L25" i="5"/>
  <c r="D37" i="5"/>
  <c r="L37" i="5" s="1"/>
  <c r="E105" i="1"/>
  <c r="E107" i="1" s="1"/>
  <c r="O35" i="2"/>
  <c r="C39" i="7"/>
  <c r="F39" i="7" s="1"/>
  <c r="D32" i="5"/>
  <c r="L32" i="5" s="1"/>
  <c r="P34" i="2"/>
  <c r="F29" i="5"/>
  <c r="N29" i="5" s="1"/>
  <c r="L18" i="2"/>
  <c r="E16" i="5" s="1"/>
  <c r="M16" i="5" s="1"/>
  <c r="D18" i="7"/>
  <c r="G18" i="7" s="1"/>
  <c r="E11" i="5"/>
  <c r="M11" i="5" s="1"/>
  <c r="E23" i="5"/>
  <c r="M23" i="5" s="1"/>
  <c r="F24" i="5"/>
  <c r="N24" i="5" s="1"/>
  <c r="D21" i="5"/>
  <c r="L21" i="5" s="1"/>
  <c r="K18" i="2"/>
  <c r="E49" i="1" s="1"/>
  <c r="E51" i="1" s="1"/>
  <c r="N119" i="9"/>
  <c r="D119" i="9"/>
  <c r="S126" i="11"/>
  <c r="J108" i="9"/>
  <c r="H108" i="9"/>
  <c r="G115" i="11"/>
  <c r="Y115" i="11"/>
  <c r="N108" i="9"/>
  <c r="M108" i="9"/>
  <c r="K115" i="11"/>
  <c r="E108" i="9"/>
  <c r="I108" i="9"/>
  <c r="S115" i="11"/>
  <c r="E115" i="11"/>
  <c r="D108" i="9"/>
  <c r="C108" i="9"/>
  <c r="K108" i="9"/>
  <c r="L108" i="9"/>
  <c r="C115" i="11"/>
  <c r="W115" i="11"/>
  <c r="G108" i="9"/>
  <c r="G861" i="3"/>
  <c r="G851" i="3"/>
  <c r="D831" i="3"/>
  <c r="G832" i="3"/>
  <c r="H779" i="3"/>
  <c r="D687" i="3"/>
  <c r="G725" i="3"/>
  <c r="H717" i="3"/>
  <c r="H18" i="1"/>
  <c r="G696" i="3"/>
  <c r="H654" i="3"/>
  <c r="H653" i="3" s="1"/>
  <c r="D615" i="3"/>
  <c r="G595" i="3"/>
  <c r="H760" i="3"/>
  <c r="H9" i="1"/>
  <c r="H869" i="3"/>
  <c r="H635" i="3"/>
  <c r="G347" i="3"/>
  <c r="G221" i="3"/>
  <c r="H832" i="3"/>
  <c r="G688" i="3"/>
  <c r="G660" i="3"/>
  <c r="G69" i="3"/>
  <c r="H402" i="3"/>
  <c r="H400" i="3" s="1"/>
  <c r="G429" i="3"/>
  <c r="H509" i="3"/>
  <c r="G789" i="3"/>
  <c r="H853" i="3"/>
  <c r="H851" i="3" s="1"/>
  <c r="G149" i="3"/>
  <c r="G768" i="3"/>
  <c r="G77" i="3"/>
  <c r="G516" i="3"/>
  <c r="H645" i="3"/>
  <c r="H789" i="3"/>
  <c r="G760" i="3"/>
  <c r="H69" i="3"/>
  <c r="H707" i="3"/>
  <c r="G804" i="3"/>
  <c r="G869" i="3"/>
  <c r="H766" i="3"/>
  <c r="H765" i="3" s="1"/>
  <c r="G477" i="3"/>
  <c r="H14" i="3"/>
  <c r="G305" i="3"/>
  <c r="G707" i="3"/>
  <c r="H77" i="3"/>
  <c r="G717" i="3"/>
  <c r="H12" i="1"/>
  <c r="G333" i="3"/>
  <c r="H90" i="3"/>
  <c r="H89" i="3" s="1"/>
  <c r="H862" i="3"/>
  <c r="H861" i="3" s="1"/>
  <c r="H477" i="3"/>
  <c r="G739" i="3"/>
  <c r="G779" i="3"/>
  <c r="G645" i="3"/>
  <c r="H10" i="1"/>
  <c r="H837" i="3"/>
  <c r="H581" i="3"/>
  <c r="G573" i="3"/>
  <c r="H16" i="1"/>
  <c r="H573" i="3"/>
  <c r="G563" i="3"/>
  <c r="G491" i="3"/>
  <c r="D471" i="3"/>
  <c r="H472" i="3"/>
  <c r="G472" i="3"/>
  <c r="H451" i="3"/>
  <c r="H437" i="3"/>
  <c r="G437" i="3"/>
  <c r="D399" i="3"/>
  <c r="H430" i="3"/>
  <c r="H429" i="3" s="1"/>
  <c r="G408" i="3"/>
  <c r="H408" i="3"/>
  <c r="H13" i="1"/>
  <c r="H347" i="3"/>
  <c r="D327" i="3"/>
  <c r="H307" i="3"/>
  <c r="H256" i="3"/>
  <c r="G256" i="3"/>
  <c r="G21" i="1"/>
  <c r="D183" i="3"/>
  <c r="G189" i="3"/>
  <c r="H189" i="3"/>
  <c r="G141" i="3"/>
  <c r="G131" i="3"/>
  <c r="D111" i="3"/>
  <c r="H119" i="3"/>
  <c r="H117" i="3" s="1"/>
  <c r="D39" i="3"/>
  <c r="G40" i="3"/>
  <c r="G19" i="3"/>
  <c r="G42" i="1"/>
  <c r="E61" i="1"/>
  <c r="G79" i="1"/>
  <c r="G120" i="1"/>
  <c r="F76" i="1"/>
  <c r="E103" i="1"/>
  <c r="F36" i="1"/>
  <c r="D42" i="7"/>
  <c r="G42" i="7" s="1"/>
  <c r="E118" i="1"/>
  <c r="E120" i="1" s="1"/>
  <c r="E52" i="7"/>
  <c r="H52" i="7" s="1"/>
  <c r="G146" i="1"/>
  <c r="G148" i="1" s="1"/>
  <c r="E51" i="7"/>
  <c r="H51" i="7" s="1"/>
  <c r="G94" i="1"/>
  <c r="G96" i="1" s="1"/>
  <c r="E35" i="7"/>
  <c r="H35" i="7" s="1"/>
  <c r="F143" i="1"/>
  <c r="F145" i="1" s="1"/>
  <c r="D43" i="7"/>
  <c r="G43" i="7" s="1"/>
  <c r="L37" i="2"/>
  <c r="P37" i="2" s="1"/>
  <c r="E33" i="5"/>
  <c r="M33" i="5" s="1"/>
  <c r="D36" i="7"/>
  <c r="G36" i="7" s="1"/>
  <c r="P32" i="2"/>
  <c r="N48" i="2"/>
  <c r="O47" i="2"/>
  <c r="E143" i="1"/>
  <c r="E145" i="1" s="1"/>
  <c r="J47" i="2"/>
  <c r="D143" i="1" s="1"/>
  <c r="D145" i="1" s="1"/>
  <c r="J45" i="2"/>
  <c r="D137" i="1" s="1"/>
  <c r="D139" i="1" s="1"/>
  <c r="O45" i="2"/>
  <c r="E137" i="1"/>
  <c r="E139" i="1" s="1"/>
  <c r="D43" i="5"/>
  <c r="L43" i="5" s="1"/>
  <c r="D40" i="5"/>
  <c r="L40" i="5" s="1"/>
  <c r="C46" i="7"/>
  <c r="F46" i="7" s="1"/>
  <c r="D38" i="5"/>
  <c r="L38" i="5" s="1"/>
  <c r="P40" i="2"/>
  <c r="O38" i="2"/>
  <c r="D26" i="7"/>
  <c r="G26" i="7" s="1"/>
  <c r="D77" i="1"/>
  <c r="F25" i="5"/>
  <c r="N25" i="5" s="1"/>
  <c r="Q27" i="2"/>
  <c r="F77" i="1"/>
  <c r="F79" i="1" s="1"/>
  <c r="P27" i="2"/>
  <c r="E79" i="1"/>
  <c r="J28" i="2"/>
  <c r="D81" i="1" s="1"/>
  <c r="D83" i="1" s="1"/>
  <c r="D90" i="1" s="1"/>
  <c r="E30" i="7"/>
  <c r="H30" i="7" s="1"/>
  <c r="F20" i="5"/>
  <c r="N20" i="5" s="1"/>
  <c r="E24" i="5"/>
  <c r="M24" i="5" s="1"/>
  <c r="F71" i="1"/>
  <c r="F73" i="1" s="1"/>
  <c r="D27" i="7"/>
  <c r="G27" i="7" s="1"/>
  <c r="E20" i="5"/>
  <c r="M20" i="5" s="1"/>
  <c r="F62" i="1"/>
  <c r="F64" i="1" s="1"/>
  <c r="C31" i="7"/>
  <c r="F31" i="7" s="1"/>
  <c r="C30" i="7"/>
  <c r="F30" i="7" s="1"/>
  <c r="J23" i="2"/>
  <c r="D65" i="1" s="1"/>
  <c r="D67" i="1" s="1"/>
  <c r="E65" i="1"/>
  <c r="E67" i="1" s="1"/>
  <c r="C28" i="7"/>
  <c r="F28" i="7" s="1"/>
  <c r="C27" i="7"/>
  <c r="F27" i="7" s="1"/>
  <c r="J22" i="2"/>
  <c r="N22" i="2" s="1"/>
  <c r="O22" i="2"/>
  <c r="Q21" i="2"/>
  <c r="G59" i="1"/>
  <c r="G61" i="1" s="1"/>
  <c r="F19" i="5"/>
  <c r="N19" i="5" s="1"/>
  <c r="E26" i="7"/>
  <c r="H26" i="7" s="1"/>
  <c r="L19" i="5"/>
  <c r="Q20" i="2"/>
  <c r="E25" i="7"/>
  <c r="H25" i="7" s="1"/>
  <c r="P12" i="2"/>
  <c r="K19" i="2"/>
  <c r="C24" i="7" s="1"/>
  <c r="F24" i="7" s="1"/>
  <c r="C19" i="7"/>
  <c r="F19" i="7" s="1"/>
  <c r="O14" i="2"/>
  <c r="E37" i="1"/>
  <c r="E39" i="1" s="1"/>
  <c r="N14" i="2"/>
  <c r="C17" i="7"/>
  <c r="F17" i="7" s="1"/>
  <c r="F39" i="5"/>
  <c r="N39" i="5" s="1"/>
  <c r="E45" i="7"/>
  <c r="H45" i="7" s="1"/>
  <c r="F146" i="1"/>
  <c r="F148" i="1" s="1"/>
  <c r="L46" i="5"/>
  <c r="C46" i="5"/>
  <c r="K46" i="5" s="1"/>
  <c r="C51" i="7"/>
  <c r="F51" i="7" s="1"/>
  <c r="E50" i="7"/>
  <c r="H50" i="7" s="1"/>
  <c r="C50" i="7"/>
  <c r="F50" i="7" s="1"/>
  <c r="D44" i="5"/>
  <c r="L44" i="5" s="1"/>
  <c r="J46" i="2"/>
  <c r="C44" i="5" s="1"/>
  <c r="K44" i="5" s="1"/>
  <c r="O46" i="2"/>
  <c r="O41" i="2"/>
  <c r="C45" i="7"/>
  <c r="F45" i="7" s="1"/>
  <c r="J41" i="2"/>
  <c r="F122" i="1"/>
  <c r="F124" i="1" s="1"/>
  <c r="E38" i="5"/>
  <c r="M38" i="5" s="1"/>
  <c r="C44" i="7"/>
  <c r="F44" i="7" s="1"/>
  <c r="J40" i="2"/>
  <c r="H148" i="1"/>
  <c r="D148" i="1"/>
  <c r="P39" i="2"/>
  <c r="C43" i="7"/>
  <c r="F43" i="7" s="1"/>
  <c r="E115" i="1"/>
  <c r="D39" i="7"/>
  <c r="G39" i="7" s="1"/>
  <c r="F105" i="1"/>
  <c r="F107" i="1" s="1"/>
  <c r="Q33" i="2"/>
  <c r="G98" i="1"/>
  <c r="G100" i="1" s="1"/>
  <c r="F31" i="5"/>
  <c r="N31" i="5" s="1"/>
  <c r="F101" i="1"/>
  <c r="F103" i="1" s="1"/>
  <c r="D38" i="7"/>
  <c r="G38" i="7" s="1"/>
  <c r="E31" i="5"/>
  <c r="M31" i="5" s="1"/>
  <c r="D37" i="7"/>
  <c r="G37" i="7" s="1"/>
  <c r="P33" i="2"/>
  <c r="O33" i="2"/>
  <c r="J33" i="2"/>
  <c r="C37" i="7"/>
  <c r="F37" i="7" s="1"/>
  <c r="E98" i="1"/>
  <c r="G91" i="1"/>
  <c r="G93" i="1" s="1"/>
  <c r="F91" i="1"/>
  <c r="F93" i="1" s="1"/>
  <c r="F97" i="1" s="1"/>
  <c r="D35" i="7"/>
  <c r="G35" i="7" s="1"/>
  <c r="E29" i="5"/>
  <c r="M29" i="5" s="1"/>
  <c r="E94" i="1"/>
  <c r="N26" i="5"/>
  <c r="F28" i="5"/>
  <c r="N28" i="5" s="1"/>
  <c r="E34" i="7"/>
  <c r="H34" i="7" s="1"/>
  <c r="G81" i="1"/>
  <c r="G83" i="1" s="1"/>
  <c r="D32" i="7"/>
  <c r="G32" i="7" s="1"/>
  <c r="E32" i="7"/>
  <c r="H32" i="7" s="1"/>
  <c r="C34" i="7"/>
  <c r="F34" i="7" s="1"/>
  <c r="C32" i="7"/>
  <c r="F32" i="7" s="1"/>
  <c r="D26" i="5"/>
  <c r="L26" i="5" s="1"/>
  <c r="O28" i="2"/>
  <c r="Q26" i="2"/>
  <c r="E31" i="7"/>
  <c r="H31" i="7" s="1"/>
  <c r="N23" i="5"/>
  <c r="E27" i="7"/>
  <c r="H27" i="7" s="1"/>
  <c r="G62" i="1"/>
  <c r="G64" i="1" s="1"/>
  <c r="D31" i="7"/>
  <c r="G31" i="7" s="1"/>
  <c r="P26" i="2"/>
  <c r="P24" i="2"/>
  <c r="M22" i="5"/>
  <c r="D29" i="7"/>
  <c r="G29" i="7" s="1"/>
  <c r="F68" i="1"/>
  <c r="F70" i="1" s="1"/>
  <c r="E76" i="1"/>
  <c r="D24" i="5"/>
  <c r="L24" i="5" s="1"/>
  <c r="D23" i="5"/>
  <c r="L23" i="5" s="1"/>
  <c r="O25" i="2"/>
  <c r="E19" i="5"/>
  <c r="M19" i="5" s="1"/>
  <c r="F59" i="1"/>
  <c r="F61" i="1" s="1"/>
  <c r="C19" i="5"/>
  <c r="K19" i="5" s="1"/>
  <c r="D59" i="1"/>
  <c r="N18" i="5"/>
  <c r="G55" i="1"/>
  <c r="G57" i="1" s="1"/>
  <c r="E17" i="7"/>
  <c r="H17" i="7" s="1"/>
  <c r="M17" i="2"/>
  <c r="Q17" i="2" s="1"/>
  <c r="G31" i="1"/>
  <c r="G33" i="1" s="1"/>
  <c r="F10" i="5"/>
  <c r="N10" i="5" s="1"/>
  <c r="E12" i="5"/>
  <c r="M12" i="5" s="1"/>
  <c r="L19" i="2"/>
  <c r="D24" i="7" s="1"/>
  <c r="G24" i="7" s="1"/>
  <c r="D19" i="7"/>
  <c r="G19" i="7" s="1"/>
  <c r="E10" i="5"/>
  <c r="M10" i="5" s="1"/>
  <c r="E34" i="1"/>
  <c r="J13" i="2"/>
  <c r="D11" i="5"/>
  <c r="L11" i="5" s="1"/>
  <c r="C18" i="7"/>
  <c r="F18" i="7" s="1"/>
  <c r="D37" i="1"/>
  <c r="D39" i="1" s="1"/>
  <c r="F52" i="7"/>
  <c r="H39" i="7"/>
  <c r="H36" i="7"/>
  <c r="H37" i="7"/>
  <c r="F42" i="7"/>
  <c r="F38" i="7"/>
  <c r="G51" i="7"/>
  <c r="H28" i="7"/>
  <c r="H20" i="7"/>
  <c r="N134" i="9"/>
  <c r="O134" i="9" s="1"/>
  <c r="E116" i="11"/>
  <c r="E119" i="11" s="1"/>
  <c r="O106" i="11"/>
  <c r="C106" i="11"/>
  <c r="S105" i="11"/>
  <c r="E105" i="11"/>
  <c r="M105" i="11"/>
  <c r="W105" i="11"/>
  <c r="L87" i="9"/>
  <c r="J87" i="9"/>
  <c r="N87" i="9"/>
  <c r="F87" i="9"/>
  <c r="E83" i="11"/>
  <c r="M87" i="9"/>
  <c r="O83" i="11"/>
  <c r="D87" i="9"/>
  <c r="G83" i="11"/>
  <c r="G86" i="11" s="1"/>
  <c r="C83" i="11"/>
  <c r="C86" i="11" s="1"/>
  <c r="K87" i="9"/>
  <c r="G87" i="9"/>
  <c r="M180" i="6"/>
  <c r="D517" i="3" s="1"/>
  <c r="D516" i="3" s="1"/>
  <c r="D515" i="3" s="1"/>
  <c r="I87" i="9"/>
  <c r="E87" i="9"/>
  <c r="Q61" i="11"/>
  <c r="E54" i="9"/>
  <c r="G50" i="11"/>
  <c r="G53" i="11" s="1"/>
  <c r="F54" i="9"/>
  <c r="S50" i="11"/>
  <c r="I50" i="11"/>
  <c r="Q50" i="11"/>
  <c r="K50" i="11"/>
  <c r="Y52" i="11"/>
  <c r="AA52" i="11" s="1"/>
  <c r="Y50" i="11"/>
  <c r="C50" i="11"/>
  <c r="M50" i="11"/>
  <c r="M53" i="11" s="1"/>
  <c r="Y40" i="11"/>
  <c r="E44" i="9"/>
  <c r="E40" i="11"/>
  <c r="I39" i="11"/>
  <c r="I42" i="11" s="1"/>
  <c r="Y41" i="11"/>
  <c r="AA41" i="11" s="1"/>
  <c r="W39" i="11"/>
  <c r="G39" i="11"/>
  <c r="Y39" i="11"/>
  <c r="M39" i="11"/>
  <c r="M42" i="11" s="1"/>
  <c r="U39" i="11"/>
  <c r="Y30" i="11"/>
  <c r="AA30" i="11" s="1"/>
  <c r="Y19" i="11"/>
  <c r="AA19" i="11" s="1"/>
  <c r="K84" i="4"/>
  <c r="N52" i="4"/>
  <c r="R57" i="4"/>
  <c r="R46" i="4"/>
  <c r="P61" i="4"/>
  <c r="P52" i="4"/>
  <c r="P49" i="4"/>
  <c r="N49" i="4"/>
  <c r="R49" i="4"/>
  <c r="P45" i="4"/>
  <c r="N45" i="4"/>
  <c r="R45" i="4"/>
  <c r="R37" i="4"/>
  <c r="P37" i="4"/>
  <c r="N37" i="4"/>
  <c r="P36" i="4"/>
  <c r="R36" i="4"/>
  <c r="N36" i="4"/>
  <c r="N56" i="4"/>
  <c r="R51" i="4"/>
  <c r="N46" i="4"/>
  <c r="N31" i="4"/>
  <c r="R56" i="4"/>
  <c r="N51" i="4"/>
  <c r="R38" i="4"/>
  <c r="P39" i="4"/>
  <c r="N47" i="4"/>
  <c r="N29" i="4"/>
  <c r="R18" i="4"/>
  <c r="P18" i="4"/>
  <c r="N35" i="2"/>
  <c r="D105" i="1"/>
  <c r="C32" i="5"/>
  <c r="K32" i="5" s="1"/>
  <c r="N34" i="2"/>
  <c r="C126" i="11"/>
  <c r="C10" i="5"/>
  <c r="K10" i="5" s="1"/>
  <c r="D22" i="5"/>
  <c r="L22" i="5" s="1"/>
  <c r="C29" i="7"/>
  <c r="F29" i="7" s="1"/>
  <c r="O24" i="2"/>
  <c r="E68" i="1"/>
  <c r="H524" i="3"/>
  <c r="H523" i="3" s="1"/>
  <c r="G523" i="3"/>
  <c r="G515" i="3" s="1"/>
  <c r="AA93" i="11"/>
  <c r="G501" i="3"/>
  <c r="H506" i="3"/>
  <c r="H15" i="1" s="1"/>
  <c r="H820" i="3"/>
  <c r="F20" i="1" s="1"/>
  <c r="G811" i="3"/>
  <c r="G803" i="3" s="1"/>
  <c r="L171" i="6"/>
  <c r="K171" i="6"/>
  <c r="F137" i="1"/>
  <c r="F139" i="1" s="1"/>
  <c r="E43" i="5"/>
  <c r="M43" i="5" s="1"/>
  <c r="D49" i="7"/>
  <c r="G49" i="7" s="1"/>
  <c r="M14" i="2"/>
  <c r="R12" i="5"/>
  <c r="E119" i="9"/>
  <c r="I126" i="11"/>
  <c r="M116" i="11"/>
  <c r="M119" i="11" s="1"/>
  <c r="Q24" i="2"/>
  <c r="G68" i="1"/>
  <c r="G70" i="1" s="1"/>
  <c r="Q30" i="2"/>
  <c r="F43" i="5"/>
  <c r="N43" i="5" s="1"/>
  <c r="Q45" i="2"/>
  <c r="O61" i="11"/>
  <c r="G61" i="11"/>
  <c r="G64" i="11" s="1"/>
  <c r="I61" i="11"/>
  <c r="C61" i="11"/>
  <c r="M61" i="11"/>
  <c r="K61" i="11"/>
  <c r="E61" i="11"/>
  <c r="Y61" i="11"/>
  <c r="H336" i="3"/>
  <c r="H768" i="3"/>
  <c r="O126" i="11"/>
  <c r="F119" i="9"/>
  <c r="Q126" i="11"/>
  <c r="L119" i="9"/>
  <c r="C119" i="9"/>
  <c r="H119" i="9"/>
  <c r="J119" i="9"/>
  <c r="U126" i="11"/>
  <c r="E126" i="11"/>
  <c r="W126" i="11"/>
  <c r="I119" i="9"/>
  <c r="M119" i="9"/>
  <c r="M126" i="11"/>
  <c r="C20" i="5"/>
  <c r="K20" i="5" s="1"/>
  <c r="D62" i="1"/>
  <c r="Y126" i="11"/>
  <c r="G307" i="3"/>
  <c r="H268" i="3"/>
  <c r="H264" i="3" s="1"/>
  <c r="G264" i="3"/>
  <c r="G293" i="3"/>
  <c r="H294" i="3"/>
  <c r="H293" i="3" s="1"/>
  <c r="G115" i="1"/>
  <c r="G117" i="1" s="1"/>
  <c r="F36" i="5"/>
  <c r="N36" i="5" s="1"/>
  <c r="E42" i="7"/>
  <c r="H42" i="7" s="1"/>
  <c r="Q34" i="2"/>
  <c r="F32" i="5"/>
  <c r="N32" i="5" s="1"/>
  <c r="G101" i="1"/>
  <c r="G103" i="1" s="1"/>
  <c r="G228" i="3"/>
  <c r="H231" i="3"/>
  <c r="D255" i="3"/>
  <c r="W116" i="11"/>
  <c r="Q116" i="11"/>
  <c r="K116" i="11"/>
  <c r="K119" i="11" s="1"/>
  <c r="G116" i="11"/>
  <c r="C116" i="11"/>
  <c r="Y116" i="11"/>
  <c r="G87" i="1"/>
  <c r="G89" i="1" s="1"/>
  <c r="D101" i="1"/>
  <c r="E43" i="7"/>
  <c r="H43" i="7" s="1"/>
  <c r="F37" i="5"/>
  <c r="N37" i="5" s="1"/>
  <c r="M37" i="2"/>
  <c r="Q35" i="2"/>
  <c r="G105" i="1"/>
  <c r="G107" i="1" s="1"/>
  <c r="G275" i="3"/>
  <c r="E140" i="1"/>
  <c r="O43" i="2"/>
  <c r="C47" i="7"/>
  <c r="F47" i="7" s="1"/>
  <c r="D41" i="5"/>
  <c r="L41" i="5" s="1"/>
  <c r="E128" i="1"/>
  <c r="C20" i="7"/>
  <c r="F20" i="7" s="1"/>
  <c r="O15" i="2"/>
  <c r="E40" i="1"/>
  <c r="J15" i="2"/>
  <c r="K20" i="2"/>
  <c r="D13" i="5"/>
  <c r="L13" i="5" s="1"/>
  <c r="H47" i="3"/>
  <c r="H45" i="3" s="1"/>
  <c r="G45" i="3"/>
  <c r="G192" i="3"/>
  <c r="H200" i="3"/>
  <c r="H192" i="3" s="1"/>
  <c r="F44" i="5"/>
  <c r="N44" i="5" s="1"/>
  <c r="Q46" i="2"/>
  <c r="D31" i="1"/>
  <c r="D33" i="1" s="1"/>
  <c r="F22" i="5"/>
  <c r="N22" i="5" s="1"/>
  <c r="Q39" i="2"/>
  <c r="O37" i="2"/>
  <c r="E111" i="1"/>
  <c r="D35" i="5"/>
  <c r="L35" i="5" s="1"/>
  <c r="F33" i="5"/>
  <c r="N33" i="5" s="1"/>
  <c r="E133" i="1"/>
  <c r="D52" i="7"/>
  <c r="G52" i="7" s="1"/>
  <c r="E46" i="5"/>
  <c r="M46" i="5" s="1"/>
  <c r="H134" i="3"/>
  <c r="H131" i="3" s="1"/>
  <c r="H141" i="3"/>
  <c r="H158" i="3"/>
  <c r="G156" i="3"/>
  <c r="U115" i="11"/>
  <c r="F108" i="9"/>
  <c r="I115" i="11"/>
  <c r="M115" i="11"/>
  <c r="O115" i="11"/>
  <c r="Q115" i="11"/>
  <c r="H667" i="3"/>
  <c r="H63" i="3"/>
  <c r="H59" i="3" s="1"/>
  <c r="G59" i="3"/>
  <c r="H113" i="3"/>
  <c r="H112" i="3" s="1"/>
  <c r="G112" i="3"/>
  <c r="H481" i="3"/>
  <c r="H480" i="3" s="1"/>
  <c r="G480" i="3"/>
  <c r="Q21" i="5"/>
  <c r="L23" i="2"/>
  <c r="L17" i="2"/>
  <c r="F31" i="1"/>
  <c r="F33" i="1" s="1"/>
  <c r="G667" i="3"/>
  <c r="H236" i="3"/>
  <c r="H235" i="3" s="1"/>
  <c r="G235" i="3"/>
  <c r="G17" i="3"/>
  <c r="H18" i="3"/>
  <c r="H17" i="3" s="1"/>
  <c r="H92" i="3"/>
  <c r="H91" i="3" s="1"/>
  <c r="G91" i="3"/>
  <c r="H847" i="3"/>
  <c r="H840" i="3" s="1"/>
  <c r="G840" i="3"/>
  <c r="R17" i="4"/>
  <c r="N17" i="4"/>
  <c r="R11" i="5"/>
  <c r="M13" i="2"/>
  <c r="F115" i="1"/>
  <c r="F117" i="1" s="1"/>
  <c r="E36" i="5"/>
  <c r="M36" i="5" s="1"/>
  <c r="H563" i="3"/>
  <c r="O44" i="2"/>
  <c r="J44" i="2"/>
  <c r="C48" i="7"/>
  <c r="F48" i="7" s="1"/>
  <c r="H186" i="3"/>
  <c r="H184" i="3" s="1"/>
  <c r="G184" i="3"/>
  <c r="Q23" i="2"/>
  <c r="F21" i="5"/>
  <c r="N21" i="5" s="1"/>
  <c r="G451" i="3"/>
  <c r="G443" i="3" s="1"/>
  <c r="G84" i="3"/>
  <c r="H86" i="3"/>
  <c r="H361" i="3"/>
  <c r="H357" i="3" s="1"/>
  <c r="G357" i="3"/>
  <c r="H40" i="3"/>
  <c r="H49" i="3"/>
  <c r="H223" i="3"/>
  <c r="H221" i="3" s="1"/>
  <c r="H419" i="3"/>
  <c r="H619" i="3"/>
  <c r="H616" i="3" s="1"/>
  <c r="G616" i="3"/>
  <c r="F14" i="1"/>
  <c r="G128" i="11"/>
  <c r="C128" i="11"/>
  <c r="Y128" i="11"/>
  <c r="N109" i="9"/>
  <c r="D109" i="9"/>
  <c r="K109" i="9"/>
  <c r="C109" i="9"/>
  <c r="H164" i="3"/>
  <c r="H163" i="3" s="1"/>
  <c r="G163" i="3"/>
  <c r="E31" i="11"/>
  <c r="H122" i="3"/>
  <c r="H120" i="3" s="1"/>
  <c r="G120" i="3"/>
  <c r="H213" i="3"/>
  <c r="H288" i="3"/>
  <c r="H285" i="3" s="1"/>
  <c r="G285" i="3"/>
  <c r="G300" i="3"/>
  <c r="H329" i="3"/>
  <c r="H328" i="3" s="1"/>
  <c r="G328" i="3"/>
  <c r="S116" i="11"/>
  <c r="Y83" i="11"/>
  <c r="S83" i="11"/>
  <c r="U84" i="11"/>
  <c r="K84" i="11"/>
  <c r="W84" i="11"/>
  <c r="O84" i="11"/>
  <c r="F15" i="1"/>
  <c r="O31" i="2"/>
  <c r="E91" i="1"/>
  <c r="P33" i="4"/>
  <c r="R33" i="4"/>
  <c r="F11" i="1"/>
  <c r="H19" i="3"/>
  <c r="F13" i="1"/>
  <c r="H379" i="3"/>
  <c r="H696" i="3"/>
  <c r="G635" i="3"/>
  <c r="G213" i="3"/>
  <c r="G379" i="3"/>
  <c r="H491" i="3"/>
  <c r="G552" i="3"/>
  <c r="D13" i="3"/>
  <c r="H13" i="3" s="1"/>
  <c r="H12" i="3" s="1"/>
  <c r="M10" i="9"/>
  <c r="K10" i="9"/>
  <c r="E10" i="9"/>
  <c r="G71" i="1"/>
  <c r="G73" i="1" s="1"/>
  <c r="C35" i="7"/>
  <c r="F35" i="7" s="1"/>
  <c r="F109" i="9"/>
  <c r="H624" i="3"/>
  <c r="D10" i="5"/>
  <c r="L10" i="5" s="1"/>
  <c r="O12" i="2"/>
  <c r="K17" i="2"/>
  <c r="E31" i="1"/>
  <c r="H739" i="3"/>
  <c r="H203" i="3"/>
  <c r="G588" i="3"/>
  <c r="N133" i="9"/>
  <c r="D133" i="9"/>
  <c r="E133" i="9"/>
  <c r="C133" i="9"/>
  <c r="G132" i="9"/>
  <c r="G419" i="3"/>
  <c r="C31" i="11"/>
  <c r="H17" i="1"/>
  <c r="D759" i="3"/>
  <c r="C105" i="11"/>
  <c r="G65" i="9"/>
  <c r="G544" i="3"/>
  <c r="N66" i="9"/>
  <c r="F32" i="9"/>
  <c r="E32" i="9"/>
  <c r="L169" i="6"/>
  <c r="K169" i="6"/>
  <c r="L172" i="6"/>
  <c r="K172" i="6"/>
  <c r="H553" i="3"/>
  <c r="H552" i="3" s="1"/>
  <c r="D552" i="3"/>
  <c r="D543" i="3" s="1"/>
  <c r="R31" i="4"/>
  <c r="I32" i="9"/>
  <c r="L158" i="6"/>
  <c r="K158" i="6"/>
  <c r="K255" i="6"/>
  <c r="L255" i="6"/>
  <c r="H19" i="1"/>
  <c r="O45" i="9"/>
  <c r="G21" i="9"/>
  <c r="L159" i="6"/>
  <c r="K159" i="6"/>
  <c r="K254" i="6"/>
  <c r="L254" i="6"/>
  <c r="C54" i="9"/>
  <c r="J43" i="4"/>
  <c r="K43" i="4" s="1"/>
  <c r="N43" i="4" s="1"/>
  <c r="Q13" i="5"/>
  <c r="L15" i="2"/>
  <c r="S5" i="11"/>
  <c r="K78" i="9"/>
  <c r="N78" i="9" s="1"/>
  <c r="P78" i="9" s="1"/>
  <c r="C43" i="9"/>
  <c r="N44" i="9"/>
  <c r="N132" i="9"/>
  <c r="E25" i="5"/>
  <c r="M25" i="5" s="1"/>
  <c r="N67" i="9"/>
  <c r="P67" i="9" s="1"/>
  <c r="E98" i="9"/>
  <c r="C66" i="9"/>
  <c r="E66" i="9"/>
  <c r="D21" i="9"/>
  <c r="D66" i="9"/>
  <c r="D10" i="9"/>
  <c r="C99" i="9"/>
  <c r="Y63" i="11"/>
  <c r="AA63" i="11" s="1"/>
  <c r="U106" i="11"/>
  <c r="O33" i="9"/>
  <c r="N23" i="9"/>
  <c r="O23" i="9" s="1"/>
  <c r="N44" i="4"/>
  <c r="P44" i="4"/>
  <c r="R44" i="4"/>
  <c r="N42" i="4"/>
  <c r="P42" i="4"/>
  <c r="R42" i="4"/>
  <c r="N41" i="4"/>
  <c r="P41" i="4"/>
  <c r="R41" i="4"/>
  <c r="N35" i="4"/>
  <c r="P35" i="4"/>
  <c r="P28" i="4"/>
  <c r="R28" i="4"/>
  <c r="N28" i="4"/>
  <c r="R27" i="4"/>
  <c r="P27" i="4"/>
  <c r="N27" i="4"/>
  <c r="N26" i="4"/>
  <c r="R26" i="4"/>
  <c r="P26" i="4"/>
  <c r="N23" i="4"/>
  <c r="R22" i="4"/>
  <c r="P22" i="4"/>
  <c r="N22" i="4"/>
  <c r="P21" i="4"/>
  <c r="N21" i="4"/>
  <c r="R21" i="4"/>
  <c r="P17" i="4"/>
  <c r="R15" i="4"/>
  <c r="N15" i="4"/>
  <c r="P15" i="4"/>
  <c r="R40" i="4"/>
  <c r="P40" i="4"/>
  <c r="N40" i="4"/>
  <c r="R25" i="4"/>
  <c r="N25" i="4"/>
  <c r="P25" i="4"/>
  <c r="R24" i="4"/>
  <c r="N24" i="4"/>
  <c r="P24" i="4"/>
  <c r="N20" i="4"/>
  <c r="R20" i="4"/>
  <c r="P20" i="4"/>
  <c r="P19" i="4"/>
  <c r="R19" i="4"/>
  <c r="N19" i="4"/>
  <c r="N16" i="4"/>
  <c r="P16" i="4"/>
  <c r="O116" i="11"/>
  <c r="U116" i="11"/>
  <c r="I116" i="11"/>
  <c r="I119" i="11" s="1"/>
  <c r="K43" i="9"/>
  <c r="I43" i="9"/>
  <c r="E43" i="9"/>
  <c r="G43" i="9"/>
  <c r="M92" i="6"/>
  <c r="D229" i="3" s="1"/>
  <c r="P45" i="9"/>
  <c r="H43" i="9"/>
  <c r="D43" i="9"/>
  <c r="M43" i="9"/>
  <c r="N43" i="9"/>
  <c r="J43" i="9"/>
  <c r="N89" i="9"/>
  <c r="O89" i="9" s="1"/>
  <c r="U17" i="11"/>
  <c r="I17" i="11"/>
  <c r="I20" i="11" s="1"/>
  <c r="O17" i="11"/>
  <c r="O20" i="11" s="1"/>
  <c r="J132" i="9"/>
  <c r="M132" i="9"/>
  <c r="I132" i="9"/>
  <c r="E132" i="9"/>
  <c r="F132" i="9"/>
  <c r="M274" i="6"/>
  <c r="D805" i="3" s="1"/>
  <c r="L132" i="9"/>
  <c r="H132" i="9"/>
  <c r="D132" i="9"/>
  <c r="C132" i="9"/>
  <c r="K132" i="9"/>
  <c r="Y118" i="11"/>
  <c r="AA118" i="11" s="1"/>
  <c r="E109" i="9"/>
  <c r="L109" i="9"/>
  <c r="J109" i="9"/>
  <c r="M230" i="6"/>
  <c r="D661" i="3" s="1"/>
  <c r="M109" i="9"/>
  <c r="I109" i="9"/>
  <c r="G109" i="9"/>
  <c r="K106" i="11"/>
  <c r="E106" i="11"/>
  <c r="D99" i="9"/>
  <c r="E99" i="9"/>
  <c r="I106" i="11"/>
  <c r="S106" i="11"/>
  <c r="G106" i="11"/>
  <c r="N99" i="9"/>
  <c r="M106" i="11"/>
  <c r="Q106" i="11"/>
  <c r="U105" i="11"/>
  <c r="K98" i="9"/>
  <c r="L98" i="9"/>
  <c r="N98" i="9"/>
  <c r="G105" i="11"/>
  <c r="M202" i="6"/>
  <c r="D589" i="3" s="1"/>
  <c r="H589" i="3" s="1"/>
  <c r="H588" i="3" s="1"/>
  <c r="K105" i="11"/>
  <c r="I105" i="11"/>
  <c r="O105" i="11"/>
  <c r="Q105" i="11"/>
  <c r="I98" i="9"/>
  <c r="N100" i="9"/>
  <c r="P100" i="9" s="1"/>
  <c r="F98" i="9"/>
  <c r="G98" i="9"/>
  <c r="J98" i="9"/>
  <c r="H98" i="9"/>
  <c r="D98" i="9"/>
  <c r="K65" i="9"/>
  <c r="M136" i="6"/>
  <c r="D373" i="3" s="1"/>
  <c r="D372" i="3" s="1"/>
  <c r="D371" i="3" s="1"/>
  <c r="N65" i="9"/>
  <c r="J65" i="9"/>
  <c r="F65" i="9"/>
  <c r="W61" i="11"/>
  <c r="M65" i="9"/>
  <c r="I65" i="9"/>
  <c r="E65" i="9"/>
  <c r="C65" i="9"/>
  <c r="U61" i="11"/>
  <c r="L65" i="9"/>
  <c r="H65" i="9"/>
  <c r="K54" i="9"/>
  <c r="D54" i="9"/>
  <c r="G54" i="9"/>
  <c r="O56" i="9"/>
  <c r="I54" i="9"/>
  <c r="N54" i="9"/>
  <c r="M54" i="9"/>
  <c r="H54" i="9"/>
  <c r="J54" i="9"/>
  <c r="G28" i="11"/>
  <c r="G31" i="11" s="1"/>
  <c r="I28" i="11"/>
  <c r="I31" i="11" s="1"/>
  <c r="L32" i="9"/>
  <c r="H32" i="9"/>
  <c r="D32" i="9"/>
  <c r="K28" i="11"/>
  <c r="K31" i="11" s="1"/>
  <c r="M28" i="11"/>
  <c r="M31" i="11" s="1"/>
  <c r="O28" i="11"/>
  <c r="O31" i="11" s="1"/>
  <c r="Q28" i="11"/>
  <c r="C32" i="9"/>
  <c r="K32" i="9"/>
  <c r="G32" i="9"/>
  <c r="U28" i="11"/>
  <c r="W28" i="11"/>
  <c r="M70" i="6"/>
  <c r="D157" i="3" s="1"/>
  <c r="N32" i="9"/>
  <c r="J32" i="9"/>
  <c r="C18" i="11"/>
  <c r="D22" i="9"/>
  <c r="G18" i="11"/>
  <c r="E22" i="9"/>
  <c r="E18" i="11"/>
  <c r="N22" i="9"/>
  <c r="G17" i="11"/>
  <c r="W17" i="11"/>
  <c r="I21" i="9"/>
  <c r="E17" i="11"/>
  <c r="C17" i="11"/>
  <c r="K17" i="11"/>
  <c r="K20" i="11" s="1"/>
  <c r="F21" i="9"/>
  <c r="Y17" i="11"/>
  <c r="J21" i="9"/>
  <c r="M17" i="11"/>
  <c r="M20" i="11" s="1"/>
  <c r="M21" i="9"/>
  <c r="S17" i="11"/>
  <c r="L21" i="9"/>
  <c r="M33" i="6"/>
  <c r="D85" i="3" s="1"/>
  <c r="H85" i="3" s="1"/>
  <c r="C21" i="9"/>
  <c r="N21" i="9"/>
  <c r="K21" i="9"/>
  <c r="E21" i="9"/>
  <c r="H21" i="9"/>
  <c r="G119" i="9"/>
  <c r="K119" i="9"/>
  <c r="K126" i="11"/>
  <c r="O34" i="9"/>
  <c r="P34" i="9"/>
  <c r="R47" i="4"/>
  <c r="P122" i="9" l="1"/>
  <c r="F104" i="1"/>
  <c r="P12" i="9"/>
  <c r="G119" i="11"/>
  <c r="C21" i="5"/>
  <c r="K21" i="5" s="1"/>
  <c r="W80" i="4"/>
  <c r="N23" i="2"/>
  <c r="F18" i="1"/>
  <c r="K108" i="11"/>
  <c r="M64" i="11"/>
  <c r="E53" i="11"/>
  <c r="E20" i="11"/>
  <c r="I86" i="11"/>
  <c r="O67" i="9"/>
  <c r="C42" i="11"/>
  <c r="H517" i="3"/>
  <c r="H516" i="3" s="1"/>
  <c r="U72" i="11"/>
  <c r="G42" i="11"/>
  <c r="F17" i="1"/>
  <c r="M97" i="9"/>
  <c r="L97" i="9"/>
  <c r="C104" i="11"/>
  <c r="G104" i="11"/>
  <c r="M104" i="11"/>
  <c r="C120" i="9"/>
  <c r="O111" i="9"/>
  <c r="C119" i="11"/>
  <c r="E86" i="11"/>
  <c r="M72" i="11"/>
  <c r="M75" i="11" s="1"/>
  <c r="AA5" i="11"/>
  <c r="J97" i="9"/>
  <c r="O66" i="9"/>
  <c r="N101" i="9"/>
  <c r="H120" i="1"/>
  <c r="C53" i="11"/>
  <c r="C97" i="9"/>
  <c r="E97" i="9"/>
  <c r="C45" i="5"/>
  <c r="K45" i="5" s="1"/>
  <c r="N47" i="2"/>
  <c r="I97" i="9"/>
  <c r="F97" i="9"/>
  <c r="G371" i="3"/>
  <c r="D16" i="5"/>
  <c r="L16" i="5" s="1"/>
  <c r="C64" i="11"/>
  <c r="E104" i="11"/>
  <c r="S104" i="11"/>
  <c r="E76" i="9"/>
  <c r="Q104" i="11"/>
  <c r="K97" i="9"/>
  <c r="F35" i="9"/>
  <c r="N97" i="9"/>
  <c r="O104" i="11"/>
  <c r="I104" i="11"/>
  <c r="O18" i="2"/>
  <c r="I64" i="11"/>
  <c r="H97" i="9"/>
  <c r="K104" i="11"/>
  <c r="F111" i="1"/>
  <c r="F113" i="1" s="1"/>
  <c r="F114" i="1" s="1"/>
  <c r="AA51" i="11"/>
  <c r="W104" i="11"/>
  <c r="U104" i="11"/>
  <c r="AA117" i="11"/>
  <c r="Y104" i="11"/>
  <c r="G731" i="3"/>
  <c r="G97" i="9"/>
  <c r="F121" i="1"/>
  <c r="H24" i="9"/>
  <c r="G121" i="1"/>
  <c r="P44" i="9"/>
  <c r="M86" i="11"/>
  <c r="AA62" i="11"/>
  <c r="G687" i="3"/>
  <c r="G227" i="3"/>
  <c r="C8" i="11"/>
  <c r="I76" i="9"/>
  <c r="G399" i="3"/>
  <c r="J101" i="9"/>
  <c r="O64" i="11"/>
  <c r="K86" i="11"/>
  <c r="G101" i="9"/>
  <c r="I139" i="1"/>
  <c r="O108" i="11"/>
  <c r="J76" i="9"/>
  <c r="F101" i="9"/>
  <c r="H51" i="1"/>
  <c r="I120" i="1"/>
  <c r="E35" i="9"/>
  <c r="D300" i="3"/>
  <c r="D299" i="3" s="1"/>
  <c r="D368" i="3" s="1"/>
  <c r="C127" i="11"/>
  <c r="C130" i="11" s="1"/>
  <c r="C43" i="5"/>
  <c r="K43" i="5" s="1"/>
  <c r="K64" i="11"/>
  <c r="L101" i="9"/>
  <c r="E42" i="11"/>
  <c r="D23" i="7"/>
  <c r="G23" i="7" s="1"/>
  <c r="F16" i="1"/>
  <c r="H101" i="9"/>
  <c r="K101" i="9"/>
  <c r="AA50" i="11"/>
  <c r="F9" i="1"/>
  <c r="E64" i="11"/>
  <c r="K53" i="11"/>
  <c r="P18" i="2"/>
  <c r="O108" i="9"/>
  <c r="F12" i="1"/>
  <c r="M108" i="11"/>
  <c r="AA39" i="11"/>
  <c r="I53" i="11"/>
  <c r="F49" i="1"/>
  <c r="F51" i="1" s="1"/>
  <c r="C101" i="9"/>
  <c r="M101" i="9"/>
  <c r="E101" i="9"/>
  <c r="I101" i="9"/>
  <c r="E24" i="9"/>
  <c r="M24" i="9"/>
  <c r="G83" i="3"/>
  <c r="N24" i="9"/>
  <c r="K24" i="9"/>
  <c r="P87" i="9"/>
  <c r="M158" i="6"/>
  <c r="W72" i="11"/>
  <c r="G48" i="3"/>
  <c r="G39" i="3" s="1"/>
  <c r="H48" i="3"/>
  <c r="H39" i="3" s="1"/>
  <c r="O10" i="9"/>
  <c r="O44" i="9"/>
  <c r="P66" i="9"/>
  <c r="F76" i="9"/>
  <c r="O133" i="9"/>
  <c r="F120" i="9"/>
  <c r="I133" i="1"/>
  <c r="J133" i="1" s="1"/>
  <c r="E35" i="5"/>
  <c r="M35" i="5" s="1"/>
  <c r="D41" i="7"/>
  <c r="G41" i="7" s="1"/>
  <c r="G97" i="1"/>
  <c r="H67" i="1"/>
  <c r="H39" i="1"/>
  <c r="G90" i="1"/>
  <c r="C23" i="7"/>
  <c r="F23" i="7" s="1"/>
  <c r="AA126" i="11"/>
  <c r="P119" i="9"/>
  <c r="AA115" i="11"/>
  <c r="G831" i="3"/>
  <c r="G872" i="3" s="1"/>
  <c r="H831" i="3"/>
  <c r="E136" i="9" s="1"/>
  <c r="H811" i="3"/>
  <c r="G759" i="3"/>
  <c r="H687" i="3"/>
  <c r="I113" i="9" s="1"/>
  <c r="G615" i="3"/>
  <c r="G587" i="3"/>
  <c r="H373" i="3"/>
  <c r="H372" i="3" s="1"/>
  <c r="E14" i="1" s="1"/>
  <c r="H615" i="3"/>
  <c r="H102" i="9" s="1"/>
  <c r="G659" i="3"/>
  <c r="G111" i="3"/>
  <c r="H399" i="3"/>
  <c r="C69" i="9" s="1"/>
  <c r="D12" i="3"/>
  <c r="D11" i="3" s="1"/>
  <c r="D80" i="3" s="1"/>
  <c r="F10" i="1"/>
  <c r="H759" i="3"/>
  <c r="E124" i="9" s="1"/>
  <c r="F19" i="1"/>
  <c r="H543" i="3"/>
  <c r="M91" i="9" s="1"/>
  <c r="H21" i="1"/>
  <c r="H501" i="3"/>
  <c r="H471" i="3" s="1"/>
  <c r="D440" i="3"/>
  <c r="H327" i="3"/>
  <c r="C58" i="9" s="1"/>
  <c r="H299" i="3"/>
  <c r="I57" i="9" s="1"/>
  <c r="G299" i="3"/>
  <c r="H255" i="3"/>
  <c r="M47" i="9" s="1"/>
  <c r="G255" i="3"/>
  <c r="G35" i="9"/>
  <c r="L35" i="9"/>
  <c r="H35" i="9"/>
  <c r="D35" i="9"/>
  <c r="J35" i="9"/>
  <c r="H84" i="3"/>
  <c r="H83" i="3" s="1"/>
  <c r="G11" i="3"/>
  <c r="G104" i="1"/>
  <c r="I148" i="1"/>
  <c r="J148" i="1" s="1"/>
  <c r="I76" i="1"/>
  <c r="J76" i="1" s="1"/>
  <c r="I145" i="1"/>
  <c r="H145" i="1"/>
  <c r="J145" i="1" s="1"/>
  <c r="D140" i="1"/>
  <c r="D142" i="1" s="1"/>
  <c r="N46" i="2"/>
  <c r="N45" i="2"/>
  <c r="H139" i="1"/>
  <c r="D79" i="1"/>
  <c r="I79" i="1" s="1"/>
  <c r="H79" i="1"/>
  <c r="O30" i="2"/>
  <c r="H83" i="1"/>
  <c r="N28" i="2"/>
  <c r="C26" i="5"/>
  <c r="K26" i="5" s="1"/>
  <c r="I73" i="1"/>
  <c r="J73" i="1" s="1"/>
  <c r="F52" i="1"/>
  <c r="F54" i="1" s="1"/>
  <c r="P19" i="2"/>
  <c r="E17" i="5"/>
  <c r="M17" i="5" s="1"/>
  <c r="O19" i="2"/>
  <c r="D17" i="5"/>
  <c r="L17" i="5" s="1"/>
  <c r="E52" i="1"/>
  <c r="H54" i="1" s="1"/>
  <c r="N41" i="2"/>
  <c r="C39" i="5"/>
  <c r="K39" i="5" s="1"/>
  <c r="D125" i="1"/>
  <c r="F38" i="5"/>
  <c r="N38" i="5" s="1"/>
  <c r="Q40" i="2"/>
  <c r="E44" i="7"/>
  <c r="H44" i="7" s="1"/>
  <c r="G122" i="1"/>
  <c r="G124" i="1" s="1"/>
  <c r="C38" i="5"/>
  <c r="K38" i="5" s="1"/>
  <c r="D122" i="1"/>
  <c r="N40" i="2"/>
  <c r="H117" i="1"/>
  <c r="H121" i="1" s="1"/>
  <c r="E117" i="1"/>
  <c r="I117" i="1" s="1"/>
  <c r="D98" i="1"/>
  <c r="D100" i="1" s="1"/>
  <c r="C31" i="5"/>
  <c r="K31" i="5" s="1"/>
  <c r="N33" i="2"/>
  <c r="E100" i="1"/>
  <c r="E96" i="1"/>
  <c r="I96" i="1" s="1"/>
  <c r="H96" i="1"/>
  <c r="E87" i="1"/>
  <c r="E89" i="1" s="1"/>
  <c r="L30" i="2"/>
  <c r="F81" i="1"/>
  <c r="F83" i="1" s="1"/>
  <c r="P28" i="2"/>
  <c r="E26" i="5"/>
  <c r="M26" i="5" s="1"/>
  <c r="D28" i="5"/>
  <c r="L28" i="5" s="1"/>
  <c r="D61" i="1"/>
  <c r="I61" i="1" s="1"/>
  <c r="H61" i="1"/>
  <c r="F15" i="5"/>
  <c r="N15" i="5" s="1"/>
  <c r="G46" i="1"/>
  <c r="G48" i="1" s="1"/>
  <c r="E22" i="7"/>
  <c r="H22" i="7" s="1"/>
  <c r="D34" i="1"/>
  <c r="D36" i="1" s="1"/>
  <c r="C11" i="5"/>
  <c r="K11" i="5" s="1"/>
  <c r="N13" i="2"/>
  <c r="E36" i="1"/>
  <c r="S127" i="11"/>
  <c r="I127" i="11"/>
  <c r="I130" i="11" s="1"/>
  <c r="W127" i="11"/>
  <c r="M252" i="6"/>
  <c r="D733" i="3" s="1"/>
  <c r="D732" i="3" s="1"/>
  <c r="D731" i="3" s="1"/>
  <c r="D800" i="3" s="1"/>
  <c r="K127" i="11"/>
  <c r="K130" i="11" s="1"/>
  <c r="U127" i="11"/>
  <c r="O99" i="9"/>
  <c r="AA106" i="11"/>
  <c r="C108" i="11"/>
  <c r="O87" i="9"/>
  <c r="AA83" i="11"/>
  <c r="O86" i="11"/>
  <c r="O78" i="9"/>
  <c r="H76" i="9"/>
  <c r="G76" i="9"/>
  <c r="N76" i="9"/>
  <c r="D76" i="9"/>
  <c r="M76" i="9"/>
  <c r="AA61" i="11"/>
  <c r="P54" i="9"/>
  <c r="E13" i="1"/>
  <c r="O54" i="9"/>
  <c r="AA40" i="11"/>
  <c r="P10" i="9"/>
  <c r="R43" i="4"/>
  <c r="H183" i="3"/>
  <c r="P15" i="2"/>
  <c r="F40" i="1"/>
  <c r="F42" i="1" s="1"/>
  <c r="L20" i="2"/>
  <c r="D20" i="7"/>
  <c r="G20" i="7" s="1"/>
  <c r="E13" i="5"/>
  <c r="M13" i="5" s="1"/>
  <c r="N44" i="2"/>
  <c r="D134" i="1"/>
  <c r="C42" i="5"/>
  <c r="K42" i="5" s="1"/>
  <c r="E42" i="1"/>
  <c r="AA84" i="11"/>
  <c r="N35" i="9"/>
  <c r="M127" i="11"/>
  <c r="M130" i="11" s="1"/>
  <c r="Y127" i="11"/>
  <c r="G327" i="3"/>
  <c r="E15" i="5"/>
  <c r="M15" i="5" s="1"/>
  <c r="P17" i="2"/>
  <c r="D22" i="7"/>
  <c r="G22" i="7" s="1"/>
  <c r="F46" i="1"/>
  <c r="F48" i="1" s="1"/>
  <c r="P22" i="9"/>
  <c r="O65" i="9"/>
  <c r="O72" i="11"/>
  <c r="Y72" i="11"/>
  <c r="C72" i="11"/>
  <c r="E73" i="11"/>
  <c r="G73" i="11"/>
  <c r="Y73" i="11"/>
  <c r="C73" i="11"/>
  <c r="P44" i="2"/>
  <c r="F134" i="1"/>
  <c r="F136" i="1" s="1"/>
  <c r="E42" i="5"/>
  <c r="M42" i="5" s="1"/>
  <c r="D48" i="7"/>
  <c r="G48" i="7" s="1"/>
  <c r="P23" i="2"/>
  <c r="F65" i="1"/>
  <c r="F67" i="1" s="1"/>
  <c r="D28" i="7"/>
  <c r="G28" i="7" s="1"/>
  <c r="E21" i="5"/>
  <c r="M21" i="5" s="1"/>
  <c r="C112" i="9"/>
  <c r="F112" i="9"/>
  <c r="L112" i="9"/>
  <c r="E112" i="9"/>
  <c r="H112" i="9"/>
  <c r="I112" i="9"/>
  <c r="J112" i="9"/>
  <c r="N112" i="9"/>
  <c r="M112" i="9"/>
  <c r="G112" i="9"/>
  <c r="K112" i="9"/>
  <c r="D112" i="9"/>
  <c r="D50" i="7"/>
  <c r="G50" i="7" s="1"/>
  <c r="P46" i="2"/>
  <c r="E44" i="5"/>
  <c r="M44" i="5" s="1"/>
  <c r="F140" i="1"/>
  <c r="F142" i="1" s="1"/>
  <c r="G111" i="1"/>
  <c r="G113" i="1" s="1"/>
  <c r="G114" i="1" s="1"/>
  <c r="F35" i="5"/>
  <c r="N35" i="5" s="1"/>
  <c r="E41" i="7"/>
  <c r="H41" i="7" s="1"/>
  <c r="Q37" i="2"/>
  <c r="G80" i="1"/>
  <c r="D584" i="3"/>
  <c r="K35" i="9"/>
  <c r="Q72" i="11"/>
  <c r="E127" i="11"/>
  <c r="E130" i="11" s="1"/>
  <c r="E77" i="9"/>
  <c r="C77" i="9"/>
  <c r="D77" i="9"/>
  <c r="N77" i="9"/>
  <c r="Q44" i="2"/>
  <c r="G134" i="1"/>
  <c r="G136" i="1" s="1"/>
  <c r="F42" i="5"/>
  <c r="N42" i="5" s="1"/>
  <c r="E48" i="7"/>
  <c r="H48" i="7" s="1"/>
  <c r="G24" i="9"/>
  <c r="L24" i="9"/>
  <c r="I24" i="9"/>
  <c r="J24" i="9"/>
  <c r="F24" i="9"/>
  <c r="D24" i="9"/>
  <c r="C24" i="9"/>
  <c r="E130" i="1"/>
  <c r="H130" i="1"/>
  <c r="E19" i="7"/>
  <c r="H19" i="7" s="1"/>
  <c r="G37" i="1"/>
  <c r="G39" i="1" s="1"/>
  <c r="I39" i="1" s="1"/>
  <c r="J39" i="1" s="1"/>
  <c r="M19" i="2"/>
  <c r="Q14" i="2"/>
  <c r="F12" i="5"/>
  <c r="N12" i="5" s="1"/>
  <c r="P42" i="2"/>
  <c r="D46" i="7"/>
  <c r="G46" i="7" s="1"/>
  <c r="E40" i="5"/>
  <c r="M40" i="5" s="1"/>
  <c r="F128" i="1"/>
  <c r="F130" i="1" s="1"/>
  <c r="O98" i="9"/>
  <c r="Q42" i="2"/>
  <c r="F40" i="5"/>
  <c r="N40" i="5" s="1"/>
  <c r="E46" i="7"/>
  <c r="H46" i="7" s="1"/>
  <c r="G128" i="1"/>
  <c r="G130" i="1" s="1"/>
  <c r="D103" i="1"/>
  <c r="H103" i="1"/>
  <c r="I131" i="9"/>
  <c r="J131" i="9"/>
  <c r="K131" i="9"/>
  <c r="L131" i="9"/>
  <c r="M131" i="9"/>
  <c r="N131" i="9"/>
  <c r="C131" i="9"/>
  <c r="D131" i="9"/>
  <c r="E131" i="9"/>
  <c r="F131" i="9"/>
  <c r="G131" i="9"/>
  <c r="H131" i="9"/>
  <c r="D107" i="1"/>
  <c r="H107" i="1"/>
  <c r="D120" i="9"/>
  <c r="L120" i="9"/>
  <c r="S72" i="11"/>
  <c r="M35" i="9"/>
  <c r="I120" i="9"/>
  <c r="P43" i="4"/>
  <c r="G120" i="9"/>
  <c r="E33" i="1"/>
  <c r="H33" i="1"/>
  <c r="F11" i="5"/>
  <c r="N11" i="5" s="1"/>
  <c r="G34" i="1"/>
  <c r="G36" i="1" s="1"/>
  <c r="E18" i="7"/>
  <c r="H18" i="7" s="1"/>
  <c r="Q13" i="2"/>
  <c r="M18" i="2"/>
  <c r="P99" i="9"/>
  <c r="G127" i="11"/>
  <c r="G130" i="11" s="1"/>
  <c r="P23" i="9"/>
  <c r="Q127" i="11"/>
  <c r="N120" i="9"/>
  <c r="L76" i="9"/>
  <c r="C76" i="9"/>
  <c r="O17" i="2"/>
  <c r="E46" i="1"/>
  <c r="D15" i="5"/>
  <c r="L15" i="5" s="1"/>
  <c r="C22" i="7"/>
  <c r="F22" i="7" s="1"/>
  <c r="AA128" i="11"/>
  <c r="G471" i="3"/>
  <c r="G512" i="3" s="1"/>
  <c r="E113" i="1"/>
  <c r="H113" i="1"/>
  <c r="P108" i="9"/>
  <c r="H70" i="1"/>
  <c r="E70" i="1"/>
  <c r="M120" i="9"/>
  <c r="I72" i="11"/>
  <c r="I75" i="11" s="1"/>
  <c r="G20" i="11"/>
  <c r="H120" i="9"/>
  <c r="K120" i="9"/>
  <c r="K76" i="9"/>
  <c r="E72" i="11"/>
  <c r="G543" i="3"/>
  <c r="G584" i="3" s="1"/>
  <c r="G183" i="3"/>
  <c r="E142" i="1"/>
  <c r="E98" i="11"/>
  <c r="E99" i="11" s="1"/>
  <c r="M98" i="11"/>
  <c r="M99" i="11" s="1"/>
  <c r="C98" i="11"/>
  <c r="U98" i="11"/>
  <c r="U99" i="11" s="1"/>
  <c r="G98" i="11"/>
  <c r="G99" i="11" s="1"/>
  <c r="I98" i="11"/>
  <c r="I99" i="11" s="1"/>
  <c r="Q98" i="11"/>
  <c r="Q99" i="11" s="1"/>
  <c r="S98" i="11"/>
  <c r="S99" i="11" s="1"/>
  <c r="K98" i="11"/>
  <c r="K99" i="11" s="1"/>
  <c r="Y98" i="11"/>
  <c r="Y99" i="11" s="1"/>
  <c r="W98" i="11"/>
  <c r="W99" i="11" s="1"/>
  <c r="O98" i="11"/>
  <c r="O99" i="11" s="1"/>
  <c r="J120" i="9"/>
  <c r="K72" i="11"/>
  <c r="K75" i="11" s="1"/>
  <c r="C35" i="9"/>
  <c r="O20" i="2"/>
  <c r="D18" i="5"/>
  <c r="L18" i="5" s="1"/>
  <c r="C25" i="7"/>
  <c r="F25" i="7" s="1"/>
  <c r="E55" i="1"/>
  <c r="H64" i="1"/>
  <c r="D64" i="1"/>
  <c r="E120" i="9"/>
  <c r="O127" i="11"/>
  <c r="O130" i="11" s="1"/>
  <c r="G72" i="11"/>
  <c r="I35" i="9"/>
  <c r="E93" i="1"/>
  <c r="H93" i="1"/>
  <c r="H111" i="3"/>
  <c r="G155" i="3"/>
  <c r="C13" i="5"/>
  <c r="K13" i="5" s="1"/>
  <c r="D40" i="1"/>
  <c r="D42" i="1" s="1"/>
  <c r="N15" i="2"/>
  <c r="AA116" i="11"/>
  <c r="P43" i="9"/>
  <c r="O43" i="9"/>
  <c r="H229" i="3"/>
  <c r="H228" i="3" s="1"/>
  <c r="D228" i="3"/>
  <c r="D227" i="3" s="1"/>
  <c r="D296" i="3" s="1"/>
  <c r="H445" i="3"/>
  <c r="H444" i="3" s="1"/>
  <c r="D444" i="3"/>
  <c r="D443" i="3" s="1"/>
  <c r="D512" i="3" s="1"/>
  <c r="P89" i="9"/>
  <c r="D804" i="3"/>
  <c r="D803" i="3" s="1"/>
  <c r="D872" i="3" s="1"/>
  <c r="H805" i="3"/>
  <c r="H804" i="3" s="1"/>
  <c r="O132" i="9"/>
  <c r="O109" i="9"/>
  <c r="D660" i="3"/>
  <c r="D659" i="3" s="1"/>
  <c r="D728" i="3" s="1"/>
  <c r="H661" i="3"/>
  <c r="H660" i="3" s="1"/>
  <c r="P109" i="9"/>
  <c r="G108" i="11"/>
  <c r="I108" i="11"/>
  <c r="E108" i="11"/>
  <c r="AA105" i="11"/>
  <c r="D588" i="3"/>
  <c r="D587" i="3" s="1"/>
  <c r="D656" i="3" s="1"/>
  <c r="O100" i="9"/>
  <c r="P98" i="9"/>
  <c r="P65" i="9"/>
  <c r="AA28" i="11"/>
  <c r="AA18" i="11"/>
  <c r="O22" i="9"/>
  <c r="AA17" i="11"/>
  <c r="C20" i="11"/>
  <c r="D84" i="3"/>
  <c r="D83" i="3" s="1"/>
  <c r="D152" i="3" s="1"/>
  <c r="P21" i="9"/>
  <c r="O21" i="9"/>
  <c r="O119" i="9"/>
  <c r="H157" i="3"/>
  <c r="H156" i="3" s="1"/>
  <c r="H155" i="3" s="1"/>
  <c r="D156" i="3"/>
  <c r="D155" i="3" s="1"/>
  <c r="D224" i="3" s="1"/>
  <c r="H515" i="3"/>
  <c r="E16" i="1"/>
  <c r="H11" i="3"/>
  <c r="E9" i="1"/>
  <c r="O32" i="9"/>
  <c r="P32" i="9"/>
  <c r="H587" i="3"/>
  <c r="E17" i="1"/>
  <c r="H371" i="3" l="1"/>
  <c r="D68" i="9" s="1"/>
  <c r="G440" i="3"/>
  <c r="E75" i="11"/>
  <c r="AA73" i="11"/>
  <c r="D58" i="9"/>
  <c r="F58" i="9"/>
  <c r="E58" i="9"/>
  <c r="G800" i="3"/>
  <c r="N102" i="9"/>
  <c r="N103" i="9" s="1"/>
  <c r="G124" i="9"/>
  <c r="L124" i="9"/>
  <c r="G728" i="3"/>
  <c r="AA104" i="11"/>
  <c r="P97" i="9"/>
  <c r="O97" i="9"/>
  <c r="F57" i="9"/>
  <c r="M57" i="9"/>
  <c r="J120" i="1"/>
  <c r="M58" i="9"/>
  <c r="E69" i="9"/>
  <c r="G58" i="9"/>
  <c r="K58" i="9"/>
  <c r="L47" i="9"/>
  <c r="G296" i="3"/>
  <c r="H89" i="1"/>
  <c r="H103" i="9"/>
  <c r="E10" i="1"/>
  <c r="G152" i="3"/>
  <c r="J139" i="1"/>
  <c r="G656" i="3"/>
  <c r="G75" i="11"/>
  <c r="L136" i="9"/>
  <c r="H136" i="9"/>
  <c r="C136" i="9"/>
  <c r="K136" i="9"/>
  <c r="G136" i="9"/>
  <c r="N136" i="9"/>
  <c r="J136" i="9"/>
  <c r="F136" i="9"/>
  <c r="M136" i="9"/>
  <c r="I136" i="9"/>
  <c r="D136" i="9"/>
  <c r="F21" i="1"/>
  <c r="H124" i="9"/>
  <c r="F124" i="9"/>
  <c r="K124" i="9"/>
  <c r="N124" i="9"/>
  <c r="D124" i="9"/>
  <c r="J124" i="9"/>
  <c r="C124" i="9"/>
  <c r="O101" i="9"/>
  <c r="P101" i="9"/>
  <c r="I91" i="9"/>
  <c r="K91" i="9"/>
  <c r="G69" i="9"/>
  <c r="F69" i="9"/>
  <c r="J69" i="9"/>
  <c r="L69" i="9"/>
  <c r="N69" i="9"/>
  <c r="D69" i="9"/>
  <c r="H69" i="9"/>
  <c r="P120" i="9"/>
  <c r="G80" i="3"/>
  <c r="O76" i="9"/>
  <c r="E54" i="1"/>
  <c r="O131" i="9"/>
  <c r="I124" i="9"/>
  <c r="M124" i="9"/>
  <c r="G113" i="9"/>
  <c r="G114" i="9" s="1"/>
  <c r="J113" i="9"/>
  <c r="J114" i="9" s="1"/>
  <c r="N113" i="9"/>
  <c r="N114" i="9" s="1"/>
  <c r="L113" i="9"/>
  <c r="L114" i="9" s="1"/>
  <c r="E113" i="9"/>
  <c r="E114" i="9" s="1"/>
  <c r="C113" i="9"/>
  <c r="C114" i="9" s="1"/>
  <c r="H113" i="9"/>
  <c r="H114" i="9" s="1"/>
  <c r="F113" i="9"/>
  <c r="F114" i="9" s="1"/>
  <c r="M113" i="9"/>
  <c r="M114" i="9" s="1"/>
  <c r="K113" i="9"/>
  <c r="K114" i="9" s="1"/>
  <c r="D113" i="9"/>
  <c r="D114" i="9" s="1"/>
  <c r="I114" i="9"/>
  <c r="L80" i="9"/>
  <c r="I80" i="9"/>
  <c r="F80" i="9"/>
  <c r="H80" i="9"/>
  <c r="J80" i="9"/>
  <c r="N80" i="9"/>
  <c r="K80" i="9"/>
  <c r="G80" i="9"/>
  <c r="D80" i="9"/>
  <c r="E80" i="9"/>
  <c r="G102" i="9"/>
  <c r="G103" i="9" s="1"/>
  <c r="J91" i="9"/>
  <c r="K69" i="9"/>
  <c r="L102" i="9"/>
  <c r="L103" i="9" s="1"/>
  <c r="J102" i="9"/>
  <c r="J103" i="9" s="1"/>
  <c r="D91" i="9"/>
  <c r="D102" i="9"/>
  <c r="D103" i="9" s="1"/>
  <c r="D57" i="9"/>
  <c r="H91" i="9"/>
  <c r="I69" i="9"/>
  <c r="K102" i="9"/>
  <c r="K103" i="9" s="1"/>
  <c r="G368" i="3"/>
  <c r="C102" i="9"/>
  <c r="C103" i="9" s="1"/>
  <c r="H656" i="3"/>
  <c r="C109" i="11" s="1"/>
  <c r="F91" i="9"/>
  <c r="F102" i="9"/>
  <c r="F103" i="9" s="1"/>
  <c r="E57" i="9"/>
  <c r="N91" i="9"/>
  <c r="M69" i="9"/>
  <c r="M102" i="9"/>
  <c r="M103" i="9" s="1"/>
  <c r="I102" i="9"/>
  <c r="I103" i="9" s="1"/>
  <c r="E102" i="9"/>
  <c r="E103" i="9" s="1"/>
  <c r="C91" i="9"/>
  <c r="E91" i="9"/>
  <c r="G91" i="9"/>
  <c r="L91" i="9"/>
  <c r="C80" i="9"/>
  <c r="M80" i="9"/>
  <c r="I58" i="9"/>
  <c r="H58" i="9"/>
  <c r="N58" i="9"/>
  <c r="L58" i="9"/>
  <c r="J58" i="9"/>
  <c r="C57" i="9"/>
  <c r="J57" i="9"/>
  <c r="G57" i="9"/>
  <c r="K57" i="9"/>
  <c r="N57" i="9"/>
  <c r="H368" i="3"/>
  <c r="K54" i="11" s="1"/>
  <c r="L57" i="9"/>
  <c r="H57" i="9"/>
  <c r="K47" i="9"/>
  <c r="J47" i="9"/>
  <c r="I47" i="9"/>
  <c r="H47" i="9"/>
  <c r="G47" i="9"/>
  <c r="F47" i="9"/>
  <c r="E47" i="9"/>
  <c r="D47" i="9"/>
  <c r="C47" i="9"/>
  <c r="N47" i="9"/>
  <c r="H224" i="3"/>
  <c r="O35" i="9"/>
  <c r="H152" i="3"/>
  <c r="G21" i="11" s="1"/>
  <c r="E121" i="1"/>
  <c r="I142" i="1"/>
  <c r="H142" i="1"/>
  <c r="J79" i="1"/>
  <c r="I42" i="1"/>
  <c r="D127" i="1"/>
  <c r="I127" i="1" s="1"/>
  <c r="H127" i="1"/>
  <c r="D124" i="1"/>
  <c r="I124" i="1" s="1"/>
  <c r="H124" i="1"/>
  <c r="G149" i="1"/>
  <c r="H100" i="1"/>
  <c r="I100" i="1"/>
  <c r="E104" i="1"/>
  <c r="J96" i="1"/>
  <c r="I83" i="1"/>
  <c r="J83" i="1" s="1"/>
  <c r="F87" i="1"/>
  <c r="F89" i="1" s="1"/>
  <c r="F90" i="1" s="1"/>
  <c r="E28" i="5"/>
  <c r="M28" i="5" s="1"/>
  <c r="D34" i="7"/>
  <c r="G34" i="7" s="1"/>
  <c r="P30" i="2"/>
  <c r="J61" i="1"/>
  <c r="H36" i="1"/>
  <c r="O120" i="9"/>
  <c r="H733" i="3"/>
  <c r="H732" i="3" s="1"/>
  <c r="H731" i="3" s="1"/>
  <c r="N123" i="9" s="1"/>
  <c r="P76" i="9"/>
  <c r="I113" i="1"/>
  <c r="J113" i="1" s="1"/>
  <c r="E114" i="1"/>
  <c r="I121" i="1"/>
  <c r="B15" i="1" s="1"/>
  <c r="D15" i="1" s="1"/>
  <c r="J117" i="1"/>
  <c r="I14" i="9"/>
  <c r="N14" i="9"/>
  <c r="F14" i="9"/>
  <c r="K14" i="9"/>
  <c r="J14" i="9"/>
  <c r="D14" i="9"/>
  <c r="L14" i="9"/>
  <c r="E14" i="9"/>
  <c r="H14" i="9"/>
  <c r="G14" i="9"/>
  <c r="C14" i="9"/>
  <c r="M14" i="9"/>
  <c r="H114" i="1"/>
  <c r="C14" i="1" s="1"/>
  <c r="D136" i="1"/>
  <c r="H136" i="1"/>
  <c r="AA98" i="11"/>
  <c r="AA99" i="11" s="1"/>
  <c r="C99" i="11"/>
  <c r="P77" i="9"/>
  <c r="O77" i="9"/>
  <c r="E97" i="1"/>
  <c r="I93" i="1"/>
  <c r="I97" i="1" s="1"/>
  <c r="B12" i="1" s="1"/>
  <c r="D12" i="1" s="1"/>
  <c r="I36" i="1"/>
  <c r="E149" i="1"/>
  <c r="I130" i="1"/>
  <c r="J130" i="1" s="1"/>
  <c r="F80" i="1"/>
  <c r="I67" i="1"/>
  <c r="J67" i="1" s="1"/>
  <c r="O24" i="9"/>
  <c r="P24" i="9"/>
  <c r="D114" i="1"/>
  <c r="I107" i="1"/>
  <c r="AA72" i="11"/>
  <c r="E24" i="7"/>
  <c r="H24" i="7" s="1"/>
  <c r="Q19" i="2"/>
  <c r="F17" i="5"/>
  <c r="N17" i="5" s="1"/>
  <c r="G52" i="1"/>
  <c r="G54" i="1" s="1"/>
  <c r="E18" i="5"/>
  <c r="M18" i="5" s="1"/>
  <c r="P20" i="2"/>
  <c r="D25" i="7"/>
  <c r="G25" i="7" s="1"/>
  <c r="F55" i="1"/>
  <c r="F57" i="1" s="1"/>
  <c r="F58" i="1" s="1"/>
  <c r="E48" i="1"/>
  <c r="I48" i="1" s="1"/>
  <c r="H48" i="1"/>
  <c r="I25" i="9"/>
  <c r="M25" i="9"/>
  <c r="H25" i="9"/>
  <c r="F25" i="9"/>
  <c r="L25" i="9"/>
  <c r="E25" i="9"/>
  <c r="C25" i="9"/>
  <c r="N25" i="9"/>
  <c r="J25" i="9"/>
  <c r="D25" i="9"/>
  <c r="G25" i="9"/>
  <c r="K25" i="9"/>
  <c r="H80" i="1"/>
  <c r="C10" i="1" s="1"/>
  <c r="E90" i="1"/>
  <c r="Q18" i="2"/>
  <c r="G49" i="1"/>
  <c r="G51" i="1" s="1"/>
  <c r="I51" i="1" s="1"/>
  <c r="J51" i="1" s="1"/>
  <c r="E23" i="7"/>
  <c r="H23" i="7" s="1"/>
  <c r="F16" i="5"/>
  <c r="N16" i="5" s="1"/>
  <c r="P112" i="9"/>
  <c r="O112" i="9"/>
  <c r="E36" i="9"/>
  <c r="J36" i="9"/>
  <c r="F36" i="9"/>
  <c r="M36" i="9"/>
  <c r="H36" i="9"/>
  <c r="K36" i="9"/>
  <c r="I36" i="9"/>
  <c r="L36" i="9"/>
  <c r="C36" i="9"/>
  <c r="D36" i="9"/>
  <c r="G36" i="9"/>
  <c r="N36" i="9"/>
  <c r="AA127" i="11"/>
  <c r="H57" i="1"/>
  <c r="E57" i="1"/>
  <c r="I33" i="1"/>
  <c r="C75" i="11"/>
  <c r="H42" i="1"/>
  <c r="I70" i="1"/>
  <c r="J70" i="1" s="1"/>
  <c r="E80" i="1"/>
  <c r="D104" i="1"/>
  <c r="I103" i="1"/>
  <c r="G224" i="3"/>
  <c r="I64" i="1"/>
  <c r="D80" i="1"/>
  <c r="H90" i="1"/>
  <c r="C11" i="1" s="1"/>
  <c r="F149" i="1"/>
  <c r="H97" i="1"/>
  <c r="D58" i="1"/>
  <c r="H227" i="3"/>
  <c r="E12" i="1"/>
  <c r="H443" i="3"/>
  <c r="E15" i="1"/>
  <c r="E20" i="1"/>
  <c r="H803" i="3"/>
  <c r="E18" i="1"/>
  <c r="H659" i="3"/>
  <c r="H728" i="3" s="1"/>
  <c r="G13" i="9"/>
  <c r="N13" i="9"/>
  <c r="H80" i="3"/>
  <c r="I9" i="1" s="1"/>
  <c r="L13" i="9"/>
  <c r="H13" i="9"/>
  <c r="D13" i="9"/>
  <c r="I13" i="9"/>
  <c r="M13" i="9"/>
  <c r="E13" i="9"/>
  <c r="C13" i="9"/>
  <c r="J13" i="9"/>
  <c r="F13" i="9"/>
  <c r="K13" i="9"/>
  <c r="K90" i="9"/>
  <c r="M90" i="9"/>
  <c r="N90" i="9"/>
  <c r="H90" i="9"/>
  <c r="C90" i="9"/>
  <c r="I90" i="9"/>
  <c r="G90" i="9"/>
  <c r="L90" i="9"/>
  <c r="F90" i="9"/>
  <c r="E90" i="9"/>
  <c r="D90" i="9"/>
  <c r="J90" i="9"/>
  <c r="H584" i="3"/>
  <c r="E11" i="1"/>
  <c r="C68" i="9" l="1"/>
  <c r="H68" i="9"/>
  <c r="E68" i="9"/>
  <c r="M68" i="9"/>
  <c r="K68" i="9"/>
  <c r="H440" i="3"/>
  <c r="I14" i="1" s="1"/>
  <c r="J14" i="1" s="1"/>
  <c r="F68" i="9"/>
  <c r="G68" i="9"/>
  <c r="I68" i="9"/>
  <c r="L68" i="9"/>
  <c r="N68" i="9"/>
  <c r="J68" i="9"/>
  <c r="J121" i="1"/>
  <c r="N125" i="9"/>
  <c r="P80" i="9"/>
  <c r="O80" i="9"/>
  <c r="O136" i="9"/>
  <c r="O69" i="9"/>
  <c r="P69" i="9"/>
  <c r="I54" i="1"/>
  <c r="J54" i="1" s="1"/>
  <c r="P124" i="9"/>
  <c r="O124" i="9"/>
  <c r="P113" i="9"/>
  <c r="P114" i="9" s="1"/>
  <c r="O113" i="9"/>
  <c r="O114" i="9"/>
  <c r="O103" i="9"/>
  <c r="Y109" i="11"/>
  <c r="Y110" i="11" s="1"/>
  <c r="I17" i="1"/>
  <c r="J17" i="1" s="1"/>
  <c r="N17" i="1" s="1"/>
  <c r="W109" i="11"/>
  <c r="W110" i="11" s="1"/>
  <c r="K109" i="11"/>
  <c r="K110" i="11" s="1"/>
  <c r="E109" i="11"/>
  <c r="E110" i="11" s="1"/>
  <c r="U109" i="11"/>
  <c r="U110" i="11" s="1"/>
  <c r="Q109" i="11"/>
  <c r="Q110" i="11" s="1"/>
  <c r="G109" i="11"/>
  <c r="G110" i="11" s="1"/>
  <c r="J123" i="9"/>
  <c r="J125" i="9" s="1"/>
  <c r="P47" i="9"/>
  <c r="O58" i="9"/>
  <c r="I109" i="11"/>
  <c r="I110" i="11" s="1"/>
  <c r="I123" i="9"/>
  <c r="I125" i="9" s="1"/>
  <c r="O102" i="9"/>
  <c r="S109" i="11"/>
  <c r="S110" i="11" s="1"/>
  <c r="P102" i="9"/>
  <c r="O109" i="11"/>
  <c r="O110" i="11" s="1"/>
  <c r="D123" i="9"/>
  <c r="D125" i="9" s="1"/>
  <c r="M109" i="11"/>
  <c r="M110" i="11" s="1"/>
  <c r="O47" i="9"/>
  <c r="H800" i="3"/>
  <c r="C131" i="11" s="1"/>
  <c r="P91" i="9"/>
  <c r="O91" i="9"/>
  <c r="I13" i="1"/>
  <c r="J13" i="1" s="1"/>
  <c r="M54" i="11"/>
  <c r="P58" i="9"/>
  <c r="E54" i="11"/>
  <c r="Y54" i="11"/>
  <c r="G54" i="11"/>
  <c r="S54" i="11"/>
  <c r="O54" i="11"/>
  <c r="W54" i="11"/>
  <c r="Q54" i="11"/>
  <c r="O57" i="9"/>
  <c r="P57" i="9"/>
  <c r="I54" i="11"/>
  <c r="U54" i="11"/>
  <c r="C54" i="11"/>
  <c r="I21" i="11"/>
  <c r="K21" i="11"/>
  <c r="U21" i="11"/>
  <c r="S21" i="11"/>
  <c r="M21" i="11"/>
  <c r="W21" i="11"/>
  <c r="E21" i="11"/>
  <c r="Q21" i="11"/>
  <c r="Y21" i="11"/>
  <c r="C21" i="11"/>
  <c r="I10" i="1"/>
  <c r="J10" i="1" s="1"/>
  <c r="O21" i="11"/>
  <c r="J142" i="1"/>
  <c r="I89" i="1"/>
  <c r="I90" i="1" s="1"/>
  <c r="B11" i="1" s="1"/>
  <c r="D11" i="1" s="1"/>
  <c r="J42" i="1"/>
  <c r="J127" i="1"/>
  <c r="J124" i="1"/>
  <c r="I114" i="1"/>
  <c r="B14" i="1" s="1"/>
  <c r="D14" i="1" s="1"/>
  <c r="S60" i="11" s="1"/>
  <c r="J100" i="1"/>
  <c r="I104" i="1"/>
  <c r="B13" i="1" s="1"/>
  <c r="H104" i="1"/>
  <c r="C13" i="1" s="1"/>
  <c r="J103" i="1"/>
  <c r="I57" i="1"/>
  <c r="J36" i="1"/>
  <c r="E58" i="1"/>
  <c r="J48" i="1"/>
  <c r="E123" i="9"/>
  <c r="E125" i="9" s="1"/>
  <c r="H123" i="9"/>
  <c r="H125" i="9" s="1"/>
  <c r="F123" i="9"/>
  <c r="F125" i="9" s="1"/>
  <c r="K123" i="9"/>
  <c r="K125" i="9" s="1"/>
  <c r="E19" i="1"/>
  <c r="E21" i="1" s="1"/>
  <c r="L123" i="9"/>
  <c r="L125" i="9" s="1"/>
  <c r="G123" i="9"/>
  <c r="G125" i="9" s="1"/>
  <c r="M123" i="9"/>
  <c r="M125" i="9" s="1"/>
  <c r="C123" i="9"/>
  <c r="C125" i="9" s="1"/>
  <c r="K71" i="11"/>
  <c r="E71" i="11"/>
  <c r="M75" i="9"/>
  <c r="G75" i="9"/>
  <c r="S71" i="11"/>
  <c r="I71" i="11"/>
  <c r="E75" i="9"/>
  <c r="C75" i="9"/>
  <c r="K75" i="9"/>
  <c r="D75" i="9"/>
  <c r="J75" i="9"/>
  <c r="Y71" i="11"/>
  <c r="O71" i="11"/>
  <c r="F75" i="9"/>
  <c r="G71" i="11"/>
  <c r="N75" i="9"/>
  <c r="U71" i="11"/>
  <c r="Q71" i="11"/>
  <c r="I75" i="9"/>
  <c r="H75" i="9"/>
  <c r="C71" i="11"/>
  <c r="W71" i="11"/>
  <c r="M71" i="11"/>
  <c r="L75" i="9"/>
  <c r="O14" i="9"/>
  <c r="P14" i="9"/>
  <c r="I80" i="1"/>
  <c r="B10" i="1" s="1"/>
  <c r="D10" i="1" s="1"/>
  <c r="G58" i="1"/>
  <c r="P36" i="9"/>
  <c r="O36" i="9"/>
  <c r="H58" i="1"/>
  <c r="C9" i="1" s="1"/>
  <c r="J93" i="1"/>
  <c r="J97" i="1" s="1"/>
  <c r="J64" i="1"/>
  <c r="J80" i="1" s="1"/>
  <c r="H149" i="1"/>
  <c r="C16" i="1" s="1"/>
  <c r="J107" i="1"/>
  <c r="J114" i="1" s="1"/>
  <c r="O25" i="9"/>
  <c r="P25" i="9"/>
  <c r="J33" i="1"/>
  <c r="W38" i="11"/>
  <c r="C42" i="9"/>
  <c r="Q38" i="11"/>
  <c r="L42" i="9"/>
  <c r="I42" i="9"/>
  <c r="K42" i="9"/>
  <c r="N42" i="9"/>
  <c r="U38" i="11"/>
  <c r="C38" i="11"/>
  <c r="G42" i="9"/>
  <c r="H42" i="9"/>
  <c r="S38" i="11"/>
  <c r="G38" i="11"/>
  <c r="M38" i="11"/>
  <c r="E38" i="11"/>
  <c r="Y38" i="11"/>
  <c r="J42" i="9"/>
  <c r="F42" i="9"/>
  <c r="D42" i="9"/>
  <c r="O38" i="11"/>
  <c r="I38" i="11"/>
  <c r="M42" i="9"/>
  <c r="K38" i="11"/>
  <c r="E42" i="9"/>
  <c r="I136" i="1"/>
  <c r="I149" i="1" s="1"/>
  <c r="B16" i="1" s="1"/>
  <c r="D149" i="1"/>
  <c r="H296" i="3"/>
  <c r="D46" i="9"/>
  <c r="H46" i="9"/>
  <c r="L46" i="9"/>
  <c r="E46" i="9"/>
  <c r="I46" i="9"/>
  <c r="M46" i="9"/>
  <c r="F46" i="9"/>
  <c r="J46" i="9"/>
  <c r="N46" i="9"/>
  <c r="G46" i="9"/>
  <c r="K46" i="9"/>
  <c r="C46" i="9"/>
  <c r="L79" i="9"/>
  <c r="D79" i="9"/>
  <c r="J79" i="9"/>
  <c r="F79" i="9"/>
  <c r="C79" i="9"/>
  <c r="G79" i="9"/>
  <c r="M79" i="9"/>
  <c r="I79" i="9"/>
  <c r="K79" i="9"/>
  <c r="E79" i="9"/>
  <c r="H79" i="9"/>
  <c r="H512" i="3"/>
  <c r="N79" i="9"/>
  <c r="G135" i="9"/>
  <c r="G137" i="9" s="1"/>
  <c r="K135" i="9"/>
  <c r="K137" i="9" s="1"/>
  <c r="N135" i="9"/>
  <c r="N137" i="9" s="1"/>
  <c r="D135" i="9"/>
  <c r="D137" i="9" s="1"/>
  <c r="H135" i="9"/>
  <c r="H137" i="9" s="1"/>
  <c r="L135" i="9"/>
  <c r="L137" i="9" s="1"/>
  <c r="C135" i="9"/>
  <c r="F135" i="9"/>
  <c r="F137" i="9" s="1"/>
  <c r="E135" i="9"/>
  <c r="E137" i="9" s="1"/>
  <c r="I135" i="9"/>
  <c r="I137" i="9" s="1"/>
  <c r="M135" i="9"/>
  <c r="M137" i="9" s="1"/>
  <c r="J135" i="9"/>
  <c r="J137" i="9" s="1"/>
  <c r="H872" i="3"/>
  <c r="J20" i="1" s="1"/>
  <c r="I120" i="11"/>
  <c r="I121" i="11" s="1"/>
  <c r="Y120" i="11"/>
  <c r="Y121" i="11" s="1"/>
  <c r="C120" i="11"/>
  <c r="Q120" i="11"/>
  <c r="Q121" i="11" s="1"/>
  <c r="W120" i="11"/>
  <c r="W121" i="11" s="1"/>
  <c r="M120" i="11"/>
  <c r="M121" i="11" s="1"/>
  <c r="E120" i="11"/>
  <c r="E121" i="11" s="1"/>
  <c r="O120" i="11"/>
  <c r="O121" i="11" s="1"/>
  <c r="G120" i="11"/>
  <c r="G121" i="11" s="1"/>
  <c r="U120" i="11"/>
  <c r="U121" i="11" s="1"/>
  <c r="K120" i="11"/>
  <c r="K121" i="11" s="1"/>
  <c r="I18" i="1"/>
  <c r="J18" i="1" s="1"/>
  <c r="S120" i="11"/>
  <c r="S121" i="11" s="1"/>
  <c r="C110" i="11"/>
  <c r="O87" i="11"/>
  <c r="E87" i="11"/>
  <c r="I16" i="1"/>
  <c r="J16" i="1" s="1"/>
  <c r="S87" i="11"/>
  <c r="Y87" i="11"/>
  <c r="C87" i="11"/>
  <c r="M87" i="11"/>
  <c r="W87" i="11"/>
  <c r="K87" i="11"/>
  <c r="G87" i="11"/>
  <c r="Q87" i="11"/>
  <c r="U87" i="11"/>
  <c r="I87" i="11"/>
  <c r="O90" i="9"/>
  <c r="P90" i="9"/>
  <c r="P13" i="9"/>
  <c r="O13" i="9"/>
  <c r="S9" i="11"/>
  <c r="Y9" i="11"/>
  <c r="C9" i="11"/>
  <c r="M9" i="11"/>
  <c r="Q9" i="11"/>
  <c r="U9" i="11"/>
  <c r="O9" i="11"/>
  <c r="E9" i="11"/>
  <c r="W9" i="11"/>
  <c r="I9" i="11"/>
  <c r="G9" i="11"/>
  <c r="K9" i="11"/>
  <c r="Q65" i="11" l="1"/>
  <c r="C65" i="11"/>
  <c r="K65" i="11"/>
  <c r="O65" i="11"/>
  <c r="P68" i="9"/>
  <c r="I65" i="11"/>
  <c r="W65" i="11"/>
  <c r="S65" i="11"/>
  <c r="E65" i="11"/>
  <c r="O68" i="9"/>
  <c r="Y65" i="11"/>
  <c r="M65" i="11"/>
  <c r="U65" i="11"/>
  <c r="G65" i="11"/>
  <c r="L48" i="9"/>
  <c r="I58" i="1"/>
  <c r="B9" i="1" s="1"/>
  <c r="B21" i="1" s="1"/>
  <c r="G131" i="11"/>
  <c r="G132" i="11" s="1"/>
  <c r="I131" i="11"/>
  <c r="I132" i="11" s="1"/>
  <c r="W131" i="11"/>
  <c r="W132" i="11" s="1"/>
  <c r="S131" i="11"/>
  <c r="S132" i="11" s="1"/>
  <c r="O131" i="11"/>
  <c r="O132" i="11" s="1"/>
  <c r="M131" i="11"/>
  <c r="M132" i="11" s="1"/>
  <c r="K131" i="11"/>
  <c r="K132" i="11" s="1"/>
  <c r="Y131" i="11"/>
  <c r="Y132" i="11" s="1"/>
  <c r="P123" i="9"/>
  <c r="I19" i="1"/>
  <c r="J19" i="1" s="1"/>
  <c r="N19" i="1" s="1"/>
  <c r="AA109" i="11"/>
  <c r="AA110" i="11" s="1"/>
  <c r="U131" i="11"/>
  <c r="U132" i="11" s="1"/>
  <c r="E131" i="11"/>
  <c r="E132" i="11" s="1"/>
  <c r="Q131" i="11"/>
  <c r="Q132" i="11" s="1"/>
  <c r="AA54" i="11"/>
  <c r="AA21" i="11"/>
  <c r="N10" i="1"/>
  <c r="I48" i="9"/>
  <c r="D13" i="1"/>
  <c r="M49" i="11" s="1"/>
  <c r="M55" i="11" s="1"/>
  <c r="F48" i="9"/>
  <c r="J89" i="1"/>
  <c r="J90" i="1" s="1"/>
  <c r="D16" i="1"/>
  <c r="L86" i="9" s="1"/>
  <c r="L92" i="9" s="1"/>
  <c r="N81" i="9"/>
  <c r="G81" i="9"/>
  <c r="M81" i="9"/>
  <c r="F81" i="9"/>
  <c r="J81" i="9"/>
  <c r="D81" i="9"/>
  <c r="L81" i="9"/>
  <c r="O75" i="9"/>
  <c r="N64" i="9"/>
  <c r="N70" i="9" s="1"/>
  <c r="I64" i="9"/>
  <c r="I70" i="9" s="1"/>
  <c r="C64" i="9"/>
  <c r="C70" i="9" s="1"/>
  <c r="M60" i="11"/>
  <c r="G64" i="9"/>
  <c r="G70" i="9" s="1"/>
  <c r="Q60" i="11"/>
  <c r="Q66" i="11" s="1"/>
  <c r="I60" i="11"/>
  <c r="I66" i="11" s="1"/>
  <c r="E60" i="11"/>
  <c r="H64" i="9"/>
  <c r="H70" i="9" s="1"/>
  <c r="M64" i="9"/>
  <c r="M70" i="9" s="1"/>
  <c r="O60" i="11"/>
  <c r="O66" i="11" s="1"/>
  <c r="U60" i="11"/>
  <c r="E64" i="9"/>
  <c r="E70" i="9" s="1"/>
  <c r="F64" i="9"/>
  <c r="F70" i="9" s="1"/>
  <c r="W60" i="11"/>
  <c r="L64" i="9"/>
  <c r="L70" i="9" s="1"/>
  <c r="D64" i="9"/>
  <c r="D70" i="9" s="1"/>
  <c r="C60" i="11"/>
  <c r="C66" i="11" s="1"/>
  <c r="J64" i="9"/>
  <c r="J70" i="9" s="1"/>
  <c r="Y60" i="11"/>
  <c r="K60" i="11"/>
  <c r="K66" i="11" s="1"/>
  <c r="G60" i="11"/>
  <c r="K64" i="9"/>
  <c r="K70" i="9" s="1"/>
  <c r="S66" i="11"/>
  <c r="C21" i="1"/>
  <c r="J104" i="1"/>
  <c r="E48" i="9"/>
  <c r="J48" i="9"/>
  <c r="M48" i="9"/>
  <c r="H48" i="9"/>
  <c r="D48" i="9"/>
  <c r="K48" i="9"/>
  <c r="J57" i="1"/>
  <c r="J58" i="1"/>
  <c r="O125" i="9"/>
  <c r="O123" i="9"/>
  <c r="M53" i="9"/>
  <c r="M59" i="9" s="1"/>
  <c r="D53" i="9"/>
  <c r="D59" i="9" s="1"/>
  <c r="L53" i="9"/>
  <c r="L59" i="9" s="1"/>
  <c r="P42" i="9"/>
  <c r="O42" i="9"/>
  <c r="AA38" i="11"/>
  <c r="J136" i="1"/>
  <c r="J149" i="1" s="1"/>
  <c r="S16" i="11"/>
  <c r="S22" i="11" s="1"/>
  <c r="N20" i="9"/>
  <c r="N26" i="9" s="1"/>
  <c r="D20" i="9"/>
  <c r="D26" i="9" s="1"/>
  <c r="M16" i="11"/>
  <c r="M22" i="11" s="1"/>
  <c r="Y16" i="11"/>
  <c r="Y22" i="11" s="1"/>
  <c r="C16" i="11"/>
  <c r="F20" i="9"/>
  <c r="F26" i="9" s="1"/>
  <c r="E16" i="11"/>
  <c r="E22" i="11" s="1"/>
  <c r="G16" i="11"/>
  <c r="G22" i="11" s="1"/>
  <c r="L20" i="9"/>
  <c r="L26" i="9" s="1"/>
  <c r="U16" i="11"/>
  <c r="U22" i="11" s="1"/>
  <c r="G20" i="9"/>
  <c r="G26" i="9" s="1"/>
  <c r="C20" i="9"/>
  <c r="E20" i="9"/>
  <c r="E26" i="9" s="1"/>
  <c r="W16" i="11"/>
  <c r="W22" i="11" s="1"/>
  <c r="K20" i="9"/>
  <c r="K26" i="9" s="1"/>
  <c r="Q16" i="11"/>
  <c r="Q22" i="11" s="1"/>
  <c r="M20" i="9"/>
  <c r="M26" i="9" s="1"/>
  <c r="K16" i="11"/>
  <c r="K22" i="11" s="1"/>
  <c r="J20" i="9"/>
  <c r="J26" i="9" s="1"/>
  <c r="O16" i="11"/>
  <c r="O22" i="11" s="1"/>
  <c r="H20" i="9"/>
  <c r="H26" i="9" s="1"/>
  <c r="I16" i="11"/>
  <c r="I22" i="11" s="1"/>
  <c r="I20" i="9"/>
  <c r="I26" i="9" s="1"/>
  <c r="H81" i="9"/>
  <c r="G48" i="9"/>
  <c r="K81" i="9"/>
  <c r="N48" i="9"/>
  <c r="W27" i="11"/>
  <c r="M27" i="11"/>
  <c r="D31" i="9"/>
  <c r="D37" i="9" s="1"/>
  <c r="M31" i="9"/>
  <c r="M37" i="9" s="1"/>
  <c r="N31" i="9"/>
  <c r="N37" i="9" s="1"/>
  <c r="F31" i="9"/>
  <c r="F37" i="9" s="1"/>
  <c r="I31" i="9"/>
  <c r="I37" i="9" s="1"/>
  <c r="U27" i="11"/>
  <c r="Y27" i="11"/>
  <c r="G27" i="11"/>
  <c r="G31" i="9"/>
  <c r="G37" i="9" s="1"/>
  <c r="S27" i="11"/>
  <c r="E31" i="9"/>
  <c r="E37" i="9" s="1"/>
  <c r="K31" i="9"/>
  <c r="K37" i="9" s="1"/>
  <c r="K27" i="11"/>
  <c r="E27" i="11"/>
  <c r="J31" i="9"/>
  <c r="J37" i="9" s="1"/>
  <c r="C27" i="11"/>
  <c r="Q27" i="11"/>
  <c r="I27" i="11"/>
  <c r="H31" i="9"/>
  <c r="H37" i="9" s="1"/>
  <c r="O27" i="11"/>
  <c r="C31" i="9"/>
  <c r="C37" i="9" s="1"/>
  <c r="L31" i="9"/>
  <c r="L37" i="9" s="1"/>
  <c r="P75" i="9"/>
  <c r="E81" i="9"/>
  <c r="I81" i="9"/>
  <c r="AA71" i="11"/>
  <c r="O46" i="9"/>
  <c r="C48" i="9"/>
  <c r="P46" i="9"/>
  <c r="E43" i="11"/>
  <c r="E44" i="11" s="1"/>
  <c r="G43" i="11"/>
  <c r="G44" i="11" s="1"/>
  <c r="W43" i="11"/>
  <c r="W44" i="11" s="1"/>
  <c r="U43" i="11"/>
  <c r="U44" i="11" s="1"/>
  <c r="I43" i="11"/>
  <c r="I44" i="11" s="1"/>
  <c r="Q43" i="11"/>
  <c r="Q44" i="11" s="1"/>
  <c r="S43" i="11"/>
  <c r="S44" i="11" s="1"/>
  <c r="K43" i="11"/>
  <c r="K44" i="11" s="1"/>
  <c r="Y43" i="11"/>
  <c r="Y44" i="11" s="1"/>
  <c r="C43" i="11"/>
  <c r="O43" i="11"/>
  <c r="O44" i="11" s="1"/>
  <c r="I12" i="1"/>
  <c r="J12" i="1" s="1"/>
  <c r="M43" i="11"/>
  <c r="M44" i="11" s="1"/>
  <c r="C81" i="9"/>
  <c r="P79" i="9"/>
  <c r="O79" i="9"/>
  <c r="Q76" i="11"/>
  <c r="Q77" i="11" s="1"/>
  <c r="M76" i="11"/>
  <c r="M77" i="11" s="1"/>
  <c r="C76" i="11"/>
  <c r="S76" i="11"/>
  <c r="S77" i="11" s="1"/>
  <c r="K76" i="11"/>
  <c r="K77" i="11" s="1"/>
  <c r="I76" i="11"/>
  <c r="I77" i="11" s="1"/>
  <c r="G76" i="11"/>
  <c r="G77" i="11" s="1"/>
  <c r="I15" i="1"/>
  <c r="J15" i="1" s="1"/>
  <c r="W76" i="11"/>
  <c r="W77" i="11" s="1"/>
  <c r="O76" i="11"/>
  <c r="O77" i="11" s="1"/>
  <c r="Y76" i="11"/>
  <c r="Y77" i="11" s="1"/>
  <c r="U76" i="11"/>
  <c r="U77" i="11" s="1"/>
  <c r="E76" i="11"/>
  <c r="E77" i="11" s="1"/>
  <c r="O135" i="9"/>
  <c r="O137" i="9" s="1"/>
  <c r="C137" i="9"/>
  <c r="N20" i="1"/>
  <c r="N18" i="1"/>
  <c r="AA120" i="11"/>
  <c r="AA121" i="11" s="1"/>
  <c r="C121" i="11"/>
  <c r="J9" i="1"/>
  <c r="W32" i="11"/>
  <c r="U32" i="11"/>
  <c r="C32" i="11"/>
  <c r="M32" i="11"/>
  <c r="O32" i="11"/>
  <c r="G32" i="11"/>
  <c r="I32" i="11"/>
  <c r="K32" i="11"/>
  <c r="S32" i="11"/>
  <c r="E32" i="11"/>
  <c r="Y32" i="11"/>
  <c r="I11" i="1"/>
  <c r="J11" i="1" s="1"/>
  <c r="Q32" i="11"/>
  <c r="P35" i="9"/>
  <c r="N14" i="1"/>
  <c r="C132" i="11"/>
  <c r="AA87" i="11"/>
  <c r="AA9" i="11"/>
  <c r="M66" i="11" l="1"/>
  <c r="AA65" i="11"/>
  <c r="W66" i="11"/>
  <c r="I21" i="1"/>
  <c r="U66" i="11"/>
  <c r="G66" i="11"/>
  <c r="Y66" i="11"/>
  <c r="E66" i="11"/>
  <c r="S49" i="11"/>
  <c r="S55" i="11" s="1"/>
  <c r="W49" i="11"/>
  <c r="W55" i="11" s="1"/>
  <c r="G53" i="9"/>
  <c r="G59" i="9" s="1"/>
  <c r="D9" i="1"/>
  <c r="U4" i="11" s="1"/>
  <c r="U10" i="11" s="1"/>
  <c r="K53" i="9"/>
  <c r="K59" i="9" s="1"/>
  <c r="C53" i="9"/>
  <c r="C59" i="9" s="1"/>
  <c r="F53" i="9"/>
  <c r="F59" i="9" s="1"/>
  <c r="I53" i="9"/>
  <c r="I59" i="9" s="1"/>
  <c r="G49" i="11"/>
  <c r="G55" i="11" s="1"/>
  <c r="I49" i="11"/>
  <c r="I55" i="11" s="1"/>
  <c r="C49" i="11"/>
  <c r="C55" i="11" s="1"/>
  <c r="E49" i="11"/>
  <c r="E55" i="11" s="1"/>
  <c r="Q49" i="11"/>
  <c r="Q55" i="11" s="1"/>
  <c r="E53" i="9"/>
  <c r="E59" i="9" s="1"/>
  <c r="J53" i="9"/>
  <c r="J59" i="9" s="1"/>
  <c r="O49" i="11"/>
  <c r="O55" i="11" s="1"/>
  <c r="Y49" i="11"/>
  <c r="Y55" i="11" s="1"/>
  <c r="H53" i="9"/>
  <c r="H59" i="9" s="1"/>
  <c r="N13" i="1"/>
  <c r="U49" i="11"/>
  <c r="U55" i="11" s="1"/>
  <c r="N53" i="9"/>
  <c r="N59" i="9" s="1"/>
  <c r="K49" i="11"/>
  <c r="K55" i="11" s="1"/>
  <c r="AA131" i="11"/>
  <c r="AA132" i="11" s="1"/>
  <c r="M33" i="11"/>
  <c r="E82" i="11"/>
  <c r="E88" i="11" s="1"/>
  <c r="E86" i="9"/>
  <c r="E92" i="9" s="1"/>
  <c r="C86" i="9"/>
  <c r="C92" i="9" s="1"/>
  <c r="K86" i="9"/>
  <c r="K92" i="9" s="1"/>
  <c r="H86" i="9"/>
  <c r="H92" i="9" s="1"/>
  <c r="M86" i="9"/>
  <c r="M92" i="9" s="1"/>
  <c r="Q82" i="11"/>
  <c r="Q88" i="11" s="1"/>
  <c r="Y82" i="11"/>
  <c r="Y88" i="11" s="1"/>
  <c r="I82" i="11"/>
  <c r="I88" i="11" s="1"/>
  <c r="D86" i="9"/>
  <c r="D92" i="9" s="1"/>
  <c r="M82" i="11"/>
  <c r="M88" i="11" s="1"/>
  <c r="G86" i="9"/>
  <c r="G92" i="9" s="1"/>
  <c r="O82" i="11"/>
  <c r="O88" i="11" s="1"/>
  <c r="J86" i="9"/>
  <c r="J92" i="9" s="1"/>
  <c r="N16" i="1"/>
  <c r="S82" i="11"/>
  <c r="S88" i="11" s="1"/>
  <c r="G82" i="11"/>
  <c r="G88" i="11" s="1"/>
  <c r="U82" i="11"/>
  <c r="U88" i="11" s="1"/>
  <c r="N86" i="9"/>
  <c r="N92" i="9" s="1"/>
  <c r="W82" i="11"/>
  <c r="W88" i="11" s="1"/>
  <c r="F86" i="9"/>
  <c r="F92" i="9" s="1"/>
  <c r="I86" i="9"/>
  <c r="I92" i="9" s="1"/>
  <c r="K82" i="11"/>
  <c r="K88" i="11" s="1"/>
  <c r="C82" i="11"/>
  <c r="C88" i="11" s="1"/>
  <c r="O70" i="9"/>
  <c r="AA60" i="11"/>
  <c r="AA66" i="11" s="1"/>
  <c r="P64" i="9"/>
  <c r="O64" i="9"/>
  <c r="O33" i="11"/>
  <c r="U33" i="11"/>
  <c r="Q33" i="11"/>
  <c r="E33" i="11"/>
  <c r="J151" i="1"/>
  <c r="W33" i="11"/>
  <c r="O37" i="9"/>
  <c r="P31" i="9"/>
  <c r="O31" i="9"/>
  <c r="S33" i="11"/>
  <c r="K33" i="11"/>
  <c r="AA16" i="11"/>
  <c r="AA22" i="11" s="1"/>
  <c r="C22" i="11"/>
  <c r="O81" i="9"/>
  <c r="O48" i="9"/>
  <c r="Y33" i="11"/>
  <c r="AA27" i="11"/>
  <c r="I33" i="11"/>
  <c r="G33" i="11"/>
  <c r="P20" i="9"/>
  <c r="O20" i="9"/>
  <c r="C26" i="9"/>
  <c r="O26" i="9" s="1"/>
  <c r="N12" i="1"/>
  <c r="C44" i="11"/>
  <c r="AA43" i="11"/>
  <c r="AA44" i="11" s="1"/>
  <c r="N15" i="1"/>
  <c r="C77" i="11"/>
  <c r="AA76" i="11"/>
  <c r="AA77" i="11" s="1"/>
  <c r="J21" i="1"/>
  <c r="N11" i="1"/>
  <c r="AA32" i="11"/>
  <c r="C33" i="11"/>
  <c r="G9" i="9" l="1"/>
  <c r="G15" i="9" s="1"/>
  <c r="N9" i="9"/>
  <c r="N15" i="9" s="1"/>
  <c r="J9" i="9"/>
  <c r="J15" i="9" s="1"/>
  <c r="O4" i="11"/>
  <c r="O10" i="11" s="1"/>
  <c r="N9" i="1"/>
  <c r="N21" i="1" s="1"/>
  <c r="N24" i="1" s="1"/>
  <c r="S4" i="11"/>
  <c r="S10" i="11" s="1"/>
  <c r="E9" i="9"/>
  <c r="E15" i="9" s="1"/>
  <c r="M9" i="9"/>
  <c r="M15" i="9" s="1"/>
  <c r="G4" i="11"/>
  <c r="G10" i="11" s="1"/>
  <c r="Q4" i="11"/>
  <c r="Q10" i="11" s="1"/>
  <c r="C9" i="9"/>
  <c r="C15" i="9" s="1"/>
  <c r="I9" i="9"/>
  <c r="I15" i="9" s="1"/>
  <c r="M4" i="11"/>
  <c r="M10" i="11" s="1"/>
  <c r="D21" i="1"/>
  <c r="K4" i="11"/>
  <c r="K10" i="11" s="1"/>
  <c r="F9" i="9"/>
  <c r="F15" i="9" s="1"/>
  <c r="W4" i="11"/>
  <c r="W10" i="11" s="1"/>
  <c r="L9" i="9"/>
  <c r="L15" i="9" s="1"/>
  <c r="C4" i="11"/>
  <c r="H9" i="9"/>
  <c r="H15" i="9" s="1"/>
  <c r="K9" i="9"/>
  <c r="K15" i="9" s="1"/>
  <c r="Y4" i="11"/>
  <c r="Y10" i="11" s="1"/>
  <c r="E4" i="11"/>
  <c r="E10" i="11" s="1"/>
  <c r="I4" i="11"/>
  <c r="I10" i="11" s="1"/>
  <c r="D9" i="9"/>
  <c r="D15" i="9" s="1"/>
  <c r="P53" i="9"/>
  <c r="O53" i="9"/>
  <c r="AA49" i="11"/>
  <c r="AA55" i="11" s="1"/>
  <c r="AA33" i="11"/>
  <c r="O92" i="9"/>
  <c r="P86" i="9"/>
  <c r="O86" i="9"/>
  <c r="AA82" i="11"/>
  <c r="AA88" i="11" s="1"/>
  <c r="O59" i="9"/>
  <c r="C10" i="11"/>
  <c r="AA4" i="11" l="1"/>
  <c r="AA10" i="11" s="1"/>
  <c r="O15" i="9"/>
  <c r="P9" i="9"/>
  <c r="O9" i="9"/>
  <c r="J59" i="4"/>
  <c r="K59" i="4" s="1"/>
  <c r="P59" i="4" l="1"/>
  <c r="P62" i="4" s="1"/>
  <c r="N59" i="4"/>
  <c r="N62" i="4" s="1"/>
  <c r="R59" i="4"/>
  <c r="R62" i="4" s="1"/>
  <c r="K62" i="4"/>
  <c r="AC15" i="4" l="1"/>
  <c r="O62" i="4"/>
  <c r="AB15" i="4" s="1"/>
  <c r="AI15" i="4" s="1"/>
  <c r="AJ15" i="4" s="1"/>
  <c r="AE15" i="4"/>
  <c r="Q62" i="4"/>
  <c r="AD15" i="4" s="1"/>
  <c r="AK15" i="4" s="1"/>
  <c r="AL15" i="4" s="1"/>
  <c r="AA15" i="4"/>
  <c r="M62" i="4"/>
  <c r="Z15" i="4" s="1"/>
  <c r="AG15" i="4" s="1"/>
  <c r="AH15" i="4" s="1"/>
  <c r="AN15" i="4" s="1"/>
  <c r="AR15" i="4" l="1"/>
  <c r="K14" i="1"/>
  <c r="L14" i="1" s="1"/>
  <c r="M14" i="1" s="1"/>
  <c r="K13" i="1"/>
  <c r="L13" i="1" s="1"/>
  <c r="M13" i="1" s="1"/>
  <c r="K17" i="1"/>
  <c r="L17" i="1" s="1"/>
  <c r="M17" i="1" s="1"/>
  <c r="K9" i="1"/>
  <c r="K10" i="1"/>
  <c r="L10" i="1" s="1"/>
  <c r="M10" i="1" s="1"/>
  <c r="K16" i="1"/>
  <c r="L16" i="1" s="1"/>
  <c r="M16" i="1" s="1"/>
  <c r="K18" i="1"/>
  <c r="L18" i="1" s="1"/>
  <c r="M18" i="1" s="1"/>
  <c r="K20" i="1"/>
  <c r="L20" i="1" s="1"/>
  <c r="M20" i="1" s="1"/>
  <c r="K12" i="1"/>
  <c r="L12" i="1" s="1"/>
  <c r="K19" i="1"/>
  <c r="L19" i="1" s="1"/>
  <c r="M19" i="1" s="1"/>
  <c r="K11" i="1"/>
  <c r="L11" i="1" s="1"/>
  <c r="M11" i="1" s="1"/>
  <c r="K15" i="1"/>
  <c r="L15" i="1" s="1"/>
  <c r="M15" i="1" s="1"/>
  <c r="AP15" i="4"/>
  <c r="L9" i="1" l="1"/>
  <c r="K21" i="1"/>
  <c r="M12" i="1"/>
  <c r="L21" i="1" l="1"/>
  <c r="M9" i="1"/>
  <c r="M21" i="1" s="1"/>
  <c r="M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EncRecreativa</author>
  </authors>
  <commentList>
    <comment ref="G159" authorId="0" shapeId="0" xr:uid="{1A4E9797-63AE-4967-A9C7-C80708ABB2CC}">
      <text>
        <r>
          <rPr>
            <b/>
            <sz val="9"/>
            <color indexed="81"/>
            <rFont val="Tahoma"/>
            <charset val="1"/>
          </rPr>
          <t>EncRecreativa:</t>
        </r>
        <r>
          <rPr>
            <sz val="9"/>
            <color indexed="81"/>
            <rFont val="Tahoma"/>
            <charset val="1"/>
          </rPr>
          <t xml:space="preserve">
Proyeccion a Dic 2025 + 4,5 reajuste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Rojas Carlos, EP. Encargado Planes</author>
  </authors>
  <commentList>
    <comment ref="W77" authorId="0" shapeId="0" xr:uid="{00000000-0006-0000-0700-000001000000}">
      <text>
        <r>
          <rPr>
            <b/>
            <sz val="9"/>
            <color indexed="81"/>
            <rFont val="Tahoma"/>
            <family val="2"/>
          </rPr>
          <t>Rojas Carlos, EP. Encargado Planes:</t>
        </r>
        <r>
          <rPr>
            <sz val="9"/>
            <color indexed="81"/>
            <rFont val="Tahoma"/>
            <family val="2"/>
          </rPr>
          <t xml:space="preserve">
Gastos de reparación  de vehículos.</t>
        </r>
      </text>
    </comment>
    <comment ref="W79" authorId="0" shapeId="0" xr:uid="{00000000-0006-0000-0700-000002000000}">
      <text>
        <r>
          <rPr>
            <b/>
            <sz val="9"/>
            <color indexed="81"/>
            <rFont val="Tahoma"/>
            <family val="2"/>
          </rPr>
          <t>Rojas Carlos, EP. Encargado Planes:</t>
        </r>
        <r>
          <rPr>
            <sz val="9"/>
            <color indexed="81"/>
            <rFont val="Tahoma"/>
            <family val="2"/>
          </rPr>
          <t xml:space="preserve">
Esta Cuenta considerara  gasto por Compra de Insumos computacionales y  otros materiales de uso consumo corriente.
</t>
        </r>
      </text>
    </comment>
  </commentList>
</comments>
</file>

<file path=xl/sharedStrings.xml><?xml version="1.0" encoding="utf-8"?>
<sst xmlns="http://schemas.openxmlformats.org/spreadsheetml/2006/main" count="3299" uniqueCount="659">
  <si>
    <t>RESUMEN DE INGRESOS Y EGRESOS</t>
  </si>
  <si>
    <t>REPARTICION:</t>
  </si>
  <si>
    <t>TABLA 1: RESUMEN DE INGRESOS Y EGRESOS DE CENTROS DE BENEFICIOS</t>
  </si>
  <si>
    <t>Centro de Beneficio</t>
  </si>
  <si>
    <t>Ingreso por Ventas</t>
  </si>
  <si>
    <t>Ingresos por reintegro C.A.R.</t>
  </si>
  <si>
    <t>Ingresos Totales</t>
  </si>
  <si>
    <t>REMUNERACIONES</t>
  </si>
  <si>
    <t>CONS. BÁSICOS + MATERIALES DE ASEO</t>
  </si>
  <si>
    <t>SEGURO</t>
  </si>
  <si>
    <t>MANTENCIÓN</t>
  </si>
  <si>
    <t>COSTO OPERACIÓN</t>
  </si>
  <si>
    <t>COSTO DIRECTO TOTAL</t>
  </si>
  <si>
    <t xml:space="preserve">Costos Indirectos </t>
  </si>
  <si>
    <t>Egresos Totales</t>
  </si>
  <si>
    <t>Excedente</t>
  </si>
  <si>
    <t>R.O</t>
  </si>
  <si>
    <t>% Distribución Costo Indirecto</t>
  </si>
  <si>
    <t>C.N.C. Tumbes</t>
  </si>
  <si>
    <t>C.R. Faro Tumbes</t>
  </si>
  <si>
    <t>Cancha Golf Tumbes</t>
  </si>
  <si>
    <t xml:space="preserve">TOTAL </t>
  </si>
  <si>
    <t>APORTE CAR PISCINAS</t>
  </si>
  <si>
    <t>RESULTADO FINAL PROYECTADO</t>
  </si>
  <si>
    <t>TABLA 2: DETALLE DE INGRESOS POR PRESTACIÓN Y SEGMENTO</t>
  </si>
  <si>
    <t>Centro de Costo</t>
  </si>
  <si>
    <t>Prestación</t>
  </si>
  <si>
    <t>Cálculo Ingreso</t>
  </si>
  <si>
    <t xml:space="preserve">Ingreso por reintegro C.A.R. </t>
  </si>
  <si>
    <t xml:space="preserve">Total Anual </t>
  </si>
  <si>
    <t>C.A.R.</t>
  </si>
  <si>
    <t>Segmento 1</t>
  </si>
  <si>
    <t>Segmento 2</t>
  </si>
  <si>
    <t>Segmento 3</t>
  </si>
  <si>
    <t xml:space="preserve">   </t>
  </si>
  <si>
    <t>Meta Ocupación</t>
  </si>
  <si>
    <t>Ingreso anual</t>
  </si>
  <si>
    <t>Ingreso total anual</t>
  </si>
  <si>
    <t>TABLA N°2-A: INGRESOS ESTIMADOS POR UNIDAD DE NEGOCIOS</t>
  </si>
  <si>
    <t>CENTRO DE COSTO</t>
  </si>
  <si>
    <t>CUENTA</t>
  </si>
  <si>
    <t>ITEM</t>
  </si>
  <si>
    <t>HISTORICO INGRESOS ACUMULADO ANUAL</t>
  </si>
  <si>
    <t>OTROS INGRESOS OPERACIONALES</t>
  </si>
  <si>
    <t xml:space="preserve"> SERVICIO DE RESTORACION</t>
  </si>
  <si>
    <t>SERVICIO DE BAR</t>
  </si>
  <si>
    <t>ARRIENDO DE INMUEBLES</t>
  </si>
  <si>
    <t>VENTA DE ENTRADAS</t>
  </si>
  <si>
    <t>Cancha de Golf Tumbes</t>
  </si>
  <si>
    <t>VENTAS CANCHAS DE GOLF</t>
  </si>
  <si>
    <t>REAJUSTE DE TARIFAS Y METAS DE OCUPACIÓN POR CENTRO DE BENEFICIO</t>
  </si>
  <si>
    <t>BIENTALC</t>
  </si>
  <si>
    <t>TABLA 3: REAJUSTE DE TARIFAS POR PRESTACIÓN Y SEGMENTO</t>
  </si>
  <si>
    <t>TABLA 4: METAS DE OCUPACIÓN POR PRESTACIÓN Y SEGMENTO</t>
  </si>
  <si>
    <t>Reajuste propuesto</t>
  </si>
  <si>
    <t>Reajuste</t>
  </si>
  <si>
    <t>Total Ocupación</t>
  </si>
  <si>
    <t>CAR</t>
  </si>
  <si>
    <t>C. H. Carlos Condell</t>
  </si>
  <si>
    <t>Superior</t>
  </si>
  <si>
    <t>Simple</t>
  </si>
  <si>
    <t>Doble</t>
  </si>
  <si>
    <t>Matrimonial</t>
  </si>
  <si>
    <t xml:space="preserve">Uso en transito/Early check in/Late Check out </t>
  </si>
  <si>
    <t>Centro Termal Liquiñe</t>
  </si>
  <si>
    <t>Pensión completa adulto</t>
  </si>
  <si>
    <t>Pensión completa niño</t>
  </si>
  <si>
    <t>Alojamiento sin pensión</t>
  </si>
  <si>
    <t>Pasante (almuerzo)</t>
  </si>
  <si>
    <t>Piscina aduto</t>
  </si>
  <si>
    <t>Piscina niños</t>
  </si>
  <si>
    <t>Cabañas C.N.C. Tumbes</t>
  </si>
  <si>
    <t>Cabañas - día/cabaña</t>
  </si>
  <si>
    <t>Piscina C.N.C. Tumbes</t>
  </si>
  <si>
    <t>Piscina adultos</t>
  </si>
  <si>
    <t>Canchas C.N.C. Tumbes</t>
  </si>
  <si>
    <t>Cancha tenis (Single)</t>
  </si>
  <si>
    <t>Cancha tenis (Doble)</t>
  </si>
  <si>
    <t>Cabañas C.R. Faro Tumbes</t>
  </si>
  <si>
    <t>Piscina C.R. Faro Tumbes</t>
  </si>
  <si>
    <t>Quinchos y Canchas 
C.R. Faro Tumbes</t>
  </si>
  <si>
    <t>Quincho 1 [1 a 20 pp.]</t>
  </si>
  <si>
    <t>Quincho 1 [persona adicional)</t>
  </si>
  <si>
    <t>Quincho 2 (41-80 personas)</t>
  </si>
  <si>
    <t>Quincho 2 (persona adicional)</t>
  </si>
  <si>
    <t>Picnic 1- 10 personas</t>
  </si>
  <si>
    <t>Picnic (persona adicional)</t>
  </si>
  <si>
    <t>Cancha pasto sintético</t>
  </si>
  <si>
    <t xml:space="preserve">ESTIMACION DE COSTOS DIRECTOS </t>
  </si>
  <si>
    <t>TABLA 5: COSTOS DIRECTOS DE CENTROS DE BENEFICIOS</t>
  </si>
  <si>
    <t>Número de Cuenta</t>
  </si>
  <si>
    <t>ítem de Gasto (según Plan de Cuenta Institucional)</t>
  </si>
  <si>
    <t>Costos Fijos</t>
  </si>
  <si>
    <t>Costos Variables</t>
  </si>
  <si>
    <t>DETALLE / OBSERVACIONES</t>
  </si>
  <si>
    <t>Costo Unitario Promedio</t>
  </si>
  <si>
    <t>Cantidad</t>
  </si>
  <si>
    <t>Total</t>
  </si>
  <si>
    <t>COSTOS DE OPERACIÓN</t>
  </si>
  <si>
    <t>REMUNERACIONES DIRECTAS</t>
  </si>
  <si>
    <t>REMUNERACIONES CÓDIGO DEL TRABAJO</t>
  </si>
  <si>
    <t>SUPLENCIAS Y REEMPLAZOS</t>
  </si>
  <si>
    <t>PERSONAL A TRATO Y TEMPORAL</t>
  </si>
  <si>
    <t>OTRAS REMUNERACIONES</t>
  </si>
  <si>
    <t>COSTOS DE MATERIALES DIRECTOS</t>
  </si>
  <si>
    <t>COSTO EXISTENCIAS VENDIDAS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</si>
  <si>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</si>
  <si>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</si>
  <si>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</si>
  <si>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</si>
  <si>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</si>
  <si>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</si>
  <si>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</si>
  <si>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</si>
  <si>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</si>
  <si>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</si>
  <si>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</si>
  <si>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</si>
  <si>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</si>
  <si>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</si>
  <si>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</si>
  <si>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</si>
  <si>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 DE SUSCRIPCION</t>
  </si>
  <si>
    <t>SERVICIOS INFORMATICOS</t>
  </si>
  <si>
    <t>GASTOS MENORES (FOFI)</t>
  </si>
  <si>
    <t>MAQUINAS Y EQUIPOS DE OFICINA</t>
  </si>
  <si>
    <t>GASTOS DE ADMINISTRACIÓN Y VENTAS</t>
  </si>
  <si>
    <t>GASTO EN PERSONAL</t>
  </si>
  <si>
    <t>VESTUARIO ACC.Y PRENDAS DIVERS</t>
  </si>
  <si>
    <t>CALZADO</t>
  </si>
  <si>
    <t>CURSOS DE CAPACITACION</t>
  </si>
  <si>
    <t>VIATICOS PERSONAL COD.TRABAJO</t>
  </si>
  <si>
    <t>CONSUMOS BÁSICOS</t>
  </si>
  <si>
    <t>ENLACES DE TELECOMUNICACIONES</t>
  </si>
  <si>
    <t>OTROS SERVICIOS BASICOS</t>
  </si>
  <si>
    <t>BIENES DE CONSUMO</t>
  </si>
  <si>
    <t>COMB.LUBR.DIRECTOS-INDIRECTOS</t>
  </si>
  <si>
    <t>MATERIALES DE OFICINA</t>
  </si>
  <si>
    <t>PROD.QUIMIC,FARMACEUTICOS IND.</t>
  </si>
  <si>
    <t>FERT.INSECT.FUNG.Y OTROS</t>
  </si>
  <si>
    <t>MATERIALES Y UTILES DE ASEO</t>
  </si>
  <si>
    <t>MENAJE OFICINA CASINO Y OTROS</t>
  </si>
  <si>
    <t>MOBILIARIO Y OTROS</t>
  </si>
  <si>
    <t>EQUIPOS COMPUTACIONALES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</si>
  <si>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</si>
  <si>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</si>
  <si>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</si>
  <si>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</si>
  <si>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</si>
  <si>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</si>
  <si>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</si>
  <si>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</si>
  <si>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</si>
  <si>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</si>
  <si>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</si>
  <si>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</si>
  <si>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</si>
  <si>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MANT.Y REPAR. MOBILIARIO Y OTROS</t>
  </si>
  <si>
    <t>MANT.Y REPAR. DE EQUIPOS OFICINA</t>
  </si>
  <si>
    <t>MANT.Y REPAR. OTRAS MAQ. Y EQUIP.</t>
  </si>
  <si>
    <t>MANT.Y REPAR. EQUIPOS INFORMATICOS</t>
  </si>
  <si>
    <t>OTROS MANTEN. Y REPAR. MENORES</t>
  </si>
  <si>
    <t>SERVICIO DE MANTENCION JARDINES</t>
  </si>
  <si>
    <t>OTROS GASTOS IMPREVISTOS</t>
  </si>
  <si>
    <t>OTROS GASTOS</t>
  </si>
  <si>
    <t>COMISIONES TRANSBANK</t>
  </si>
  <si>
    <t>OTROS MATERIALES DE USO CONSUMO</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</si>
  <si>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</si>
  <si>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</si>
  <si>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</si>
  <si>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</si>
  <si>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TABLA 10: RESUMEN DISTRIBUCION COSTOS OPERACIÓN ADMINISTRACION CENTRAL  Y APOYO ADMINISTRATIVO A. RECREATIVA</t>
  </si>
  <si>
    <t>TABLA 11: FINANCIAMIENTO ADM. CENTRAL  Y APOYO ADMINISTRATIVO 
(REMUNERACIONES + COSTO OPERACIÓN)</t>
  </si>
  <si>
    <t>Unidades de Apoyo Administrativo</t>
  </si>
  <si>
    <t>Nombre</t>
  </si>
  <si>
    <t>Apellido</t>
  </si>
  <si>
    <t>Ocupación / Cargo</t>
  </si>
  <si>
    <t>ASISTENCIA RECREATIVA</t>
  </si>
  <si>
    <t>ASISTENCIA EDUCACIONAL</t>
  </si>
  <si>
    <t>ASISTENCIA COMERCIAL</t>
  </si>
  <si>
    <t>Tiempo Total</t>
  </si>
  <si>
    <t>Total Bonos anual</t>
  </si>
  <si>
    <t>Total Aguinaldos anual</t>
  </si>
  <si>
    <t>% tiempo</t>
  </si>
  <si>
    <t>$ Costo</t>
  </si>
  <si>
    <t>$ Costo Total</t>
  </si>
  <si>
    <t>$Costo Total</t>
  </si>
  <si>
    <t>ADMINISTRACIÓN CENTRAL</t>
  </si>
  <si>
    <t>Departamento de Finanzas y Abastecimiento</t>
  </si>
  <si>
    <t>Departamento de RR.HH.</t>
  </si>
  <si>
    <t>Departamento de Informática</t>
  </si>
  <si>
    <t>MAT.Y UTILES DE ASEO</t>
  </si>
  <si>
    <t>ÁREA APOYO A. RECREATIVA</t>
  </si>
  <si>
    <t>Asistencia Recreativa</t>
  </si>
  <si>
    <t>COSTO  TOTAL</t>
  </si>
  <si>
    <t>RESUMEN DE TARIFADO</t>
  </si>
  <si>
    <t>TABLA 12: RESUMEN DE TARIFADO</t>
  </si>
  <si>
    <t>Reajuste en pesos ($)</t>
  </si>
  <si>
    <t xml:space="preserve">Reajuste en porcentaje (%) </t>
  </si>
  <si>
    <t>Seg. 1</t>
  </si>
  <si>
    <t>Seg. 2</t>
  </si>
  <si>
    <t>Seg. 3</t>
  </si>
  <si>
    <t>REMUNERACIONES DEL PERSONAL CÓDIGO DEL TRABAJO</t>
  </si>
  <si>
    <t>TABLA13: REMUNERACIONES DEL PERSONAL LEY 18.712 DE CENTROS DE BENEFICIOS</t>
  </si>
  <si>
    <t>Tipo Personal</t>
  </si>
  <si>
    <t>Costo Total Remuneraciones por Centro de Beneficio</t>
  </si>
  <si>
    <t>Personal Permanente</t>
  </si>
  <si>
    <t>Personal No Permanente
 (Estival)</t>
  </si>
  <si>
    <t>COMPARACIÓN TARIFAS CON PRECIOS DE MERCADO</t>
  </si>
  <si>
    <r>
      <t xml:space="preserve">Con el objeto de medir comparativamente el bienestar otorgado al personal de la Armada por el Area Recreativa, es necesario recabar antecedentes comparativos que permitan cuantificar las alternativas de precios que ofrece el mercado </t>
    </r>
    <r>
      <rPr>
        <b/>
        <u/>
        <sz val="10"/>
        <rFont val="Arial"/>
        <family val="2"/>
      </rPr>
      <t>dentro de la misma comuna en la que se encuentran los Centros Recreativos de su Repartición</t>
    </r>
    <r>
      <rPr>
        <sz val="11"/>
        <color theme="1"/>
        <rFont val="Calibri"/>
        <family val="2"/>
        <scheme val="minor"/>
      </rPr>
      <t xml:space="preserve">. Este cuadro comparativo debe ser completado con, </t>
    </r>
    <r>
      <rPr>
        <b/>
        <u/>
        <sz val="10"/>
        <rFont val="Arial"/>
        <family val="2"/>
      </rPr>
      <t>AL MENOS</t>
    </r>
    <r>
      <rPr>
        <sz val="11"/>
        <color theme="1"/>
        <rFont val="Calibri"/>
        <family val="2"/>
        <scheme val="minor"/>
      </rPr>
      <t xml:space="preserve">, dos instituciones públicas o privadas </t>
    </r>
    <r>
      <rPr>
        <b/>
        <u/>
        <sz val="10"/>
        <rFont val="Arial"/>
        <family val="2"/>
      </rPr>
      <t>que puedan considerarse como principal competencias directas</t>
    </r>
    <r>
      <rPr>
        <sz val="11"/>
        <color theme="1"/>
        <rFont val="Calibri"/>
        <family val="2"/>
        <scheme val="minor"/>
      </rPr>
      <t xml:space="preserve"> y que otorguen </t>
    </r>
    <r>
      <rPr>
        <b/>
        <u/>
        <sz val="10"/>
        <rFont val="Arial"/>
        <family val="2"/>
      </rPr>
      <t>prestaciones de calidad igual o similar</t>
    </r>
    <r>
      <rPr>
        <sz val="11"/>
        <color theme="1"/>
        <rFont val="Calibri"/>
        <family val="2"/>
        <scheme val="minor"/>
      </rPr>
      <t xml:space="preserve"> a las brindadas por las instalaciones de este Departamento/Delegación.</t>
    </r>
  </si>
  <si>
    <t>TABLA 14: COMPARACIÓN TARIFAS CON PRECIOS DE MERCADO</t>
  </si>
  <si>
    <t>% respecto a Precio Promedio Mercado</t>
  </si>
  <si>
    <t>COMPARACIÓN 1</t>
  </si>
  <si>
    <t>COMPARACIÓN 2</t>
  </si>
  <si>
    <t>Precio promedio mercado</t>
  </si>
  <si>
    <t>Institución</t>
  </si>
  <si>
    <t>Precio</t>
  </si>
  <si>
    <t>DETALLE DE DATOS COMPLEMENTARIOS</t>
  </si>
  <si>
    <t>Producto</t>
  </si>
  <si>
    <t>Costo neto</t>
  </si>
  <si>
    <t xml:space="preserve">Pan </t>
  </si>
  <si>
    <t>Mineral individual sin gas 600 cc</t>
  </si>
  <si>
    <t>Barra de cereal</t>
  </si>
  <si>
    <t>Yogurth Individual 125 grs</t>
  </si>
  <si>
    <t>Sachet de café</t>
  </si>
  <si>
    <t>Sachet de te</t>
  </si>
  <si>
    <t>Sachet de endulzante</t>
  </si>
  <si>
    <t>Sachet de azucar</t>
  </si>
  <si>
    <t>Servilleta</t>
  </si>
  <si>
    <t>Envase sandwich</t>
  </si>
  <si>
    <t>Costo Desayuno</t>
  </si>
  <si>
    <t xml:space="preserve">Solo para efectos de calculo y de obtener un valor del costo desayuno, considerar queso y jamon como acompañamientos de Sandwich </t>
  </si>
  <si>
    <t>Tabla 15: Costo desayuno</t>
  </si>
  <si>
    <t>REPARTICIÓN:</t>
  </si>
  <si>
    <t>CENTRO DE BENEFICIO "C. H. Carlos Condell"</t>
  </si>
  <si>
    <t>ENERO</t>
  </si>
  <si>
    <t>FEBRERO</t>
  </si>
  <si>
    <t>MARZO</t>
  </si>
  <si>
    <t>ABRIL</t>
  </si>
  <si>
    <t>MAYO</t>
  </si>
  <si>
    <t>JUNIO</t>
  </si>
  <si>
    <t>JULIO</t>
  </si>
  <si>
    <t>AGOSTO</t>
  </si>
  <si>
    <t>SEPTIEMBRE</t>
  </si>
  <si>
    <t>OCTUBRE</t>
  </si>
  <si>
    <t>NOVIEMBRE</t>
  </si>
  <si>
    <t>DICIEMBRE</t>
  </si>
  <si>
    <t>ACUMULADO A DICIEMBRE</t>
  </si>
  <si>
    <t>INGRESOS DE OPERACIÓN</t>
  </si>
  <si>
    <t>REMUNERACIONES COD.DEL TRABAJO (Personal Permanente)</t>
  </si>
  <si>
    <t>REMUNERACIONES COD.DEL TRABAJO (Personal No Permanente)</t>
  </si>
  <si>
    <t>BONOS Y AGUINALDOS CÓDIGO DEL TRABAJO</t>
  </si>
  <si>
    <t>COSTOS  DE OPERACIÓN</t>
  </si>
  <si>
    <t>RESULTADO OPERACIONAL</t>
  </si>
  <si>
    <t>DISTRIBUCIÓN INGRESOS</t>
  </si>
  <si>
    <t xml:space="preserve">        DISTRIBUCIÓN COSTOS DE OPERACIÓN</t>
  </si>
  <si>
    <t>CENTRO DE BENEFICIO  "Centro Termal Liquiñe"</t>
  </si>
  <si>
    <t>CENTRO DE BENEFICIO  "Cabañas C.N.C. Tumbes"</t>
  </si>
  <si>
    <t>CENTRO DE BENEFICIO  "Piscina C.N.C. Tumbes"</t>
  </si>
  <si>
    <t>CENTRO DE BENEFICIO  "Canchas C.N.C. Tumbes"</t>
  </si>
  <si>
    <t>CENTRO DE BENEFICIO  "Cabañas C.R. Faro Tumbes"</t>
  </si>
  <si>
    <t>CENTRO DE BENEFICIO  "Piscina C.R. Faro Tumbes"</t>
  </si>
  <si>
    <t>CENTRO DE BENEFICIO  "Quinchos y Canchas 
C.R. Faro Tumbes"</t>
  </si>
  <si>
    <t>CENTRO DE BENEFICIO  "Casino de Tripulación Apostadero"</t>
  </si>
  <si>
    <t>CENTRO DE BENEFICIO  "C.N.C. Tumbes"</t>
  </si>
  <si>
    <t>CENTRO DE BENEFICIO  "C.R. Faro Tumbes"</t>
  </si>
  <si>
    <t>CENTRO DE BENEFICIO  "Cancha Golf Tumbes"</t>
  </si>
  <si>
    <t>REAL REMUNERACION</t>
  </si>
  <si>
    <t>REAL ENERO</t>
  </si>
  <si>
    <t>REAL FEBRERO</t>
  </si>
  <si>
    <t>REAL MARZO</t>
  </si>
  <si>
    <t>REAL ABRIL</t>
  </si>
  <si>
    <t>REAL MAYO</t>
  </si>
  <si>
    <t>REAL JUNIO</t>
  </si>
  <si>
    <t>REAL JULIO</t>
  </si>
  <si>
    <t>REAL AGOSTO</t>
  </si>
  <si>
    <t>REAL SEPTIEMBRE</t>
  </si>
  <si>
    <t>REAL OCTUBRE</t>
  </si>
  <si>
    <t>REAL NOVIEMBRE</t>
  </si>
  <si>
    <t>REAL DICIEMBRE</t>
  </si>
  <si>
    <t>Pp Enero</t>
  </si>
  <si>
    <t>Real Enero</t>
  </si>
  <si>
    <t>Pp Febrero</t>
  </si>
  <si>
    <t xml:space="preserve">Real Febrero </t>
  </si>
  <si>
    <t>Pp Marzo</t>
  </si>
  <si>
    <t>Real Marzo</t>
  </si>
  <si>
    <t>Pp Abril</t>
  </si>
  <si>
    <t>Real Abril</t>
  </si>
  <si>
    <t>Pp Mayo</t>
  </si>
  <si>
    <t>Real Mayo</t>
  </si>
  <si>
    <t>Pp Junio</t>
  </si>
  <si>
    <t>Real Junio</t>
  </si>
  <si>
    <t>Pp Julio</t>
  </si>
  <si>
    <t>Real Julio</t>
  </si>
  <si>
    <t>Pp Agosto</t>
  </si>
  <si>
    <t>Real Agosto</t>
  </si>
  <si>
    <t>Pp Septiembre</t>
  </si>
  <si>
    <t>Real Septiembre</t>
  </si>
  <si>
    <t>Pp Octubre</t>
  </si>
  <si>
    <t>Real Octubre</t>
  </si>
  <si>
    <t>Pp Noviembre</t>
  </si>
  <si>
    <t>Real Noviembre</t>
  </si>
  <si>
    <t>Pp Diciembre</t>
  </si>
  <si>
    <t>Real Diciembre</t>
  </si>
  <si>
    <t>INGRESO</t>
  </si>
  <si>
    <t>REMUNERACION</t>
  </si>
  <si>
    <t>RENTABILIDAD</t>
  </si>
  <si>
    <t>MES</t>
  </si>
  <si>
    <t>CONSOLIDADO</t>
  </si>
  <si>
    <t>REAL</t>
  </si>
  <si>
    <t>GASTOS DE ADM. Y VENTAS</t>
  </si>
  <si>
    <t>DISTRIBUCION GASTOS DE ADM. Y VENTAS</t>
  </si>
  <si>
    <t>PORCENTAJE DE INCREMENTO</t>
  </si>
  <si>
    <t>ÍNDICE DE TABLAS</t>
  </si>
  <si>
    <t>A) Resumen Ingresos y Egresos</t>
  </si>
  <si>
    <t>TABLA 2:  DETALLE DE INGRESOS POR PRESTACIÓN Y SEGMENTO</t>
  </si>
  <si>
    <t>TABLA 2-A: INGRESOS ESTIMADOS POR UNIDAD DE NEGOCIO</t>
  </si>
  <si>
    <t>B) Reajuste Tarifa y Ocupación</t>
  </si>
  <si>
    <t>C) Estimación Costos Directos</t>
  </si>
  <si>
    <t xml:space="preserve">TABLA 5: COSTOS DIRECTOS DE CENTROS DE BENEFICIOS </t>
  </si>
  <si>
    <t>D) Costos Indirectos</t>
  </si>
  <si>
    <t>E) Resumen Tarifado</t>
  </si>
  <si>
    <t>F) Remuneraciones</t>
  </si>
  <si>
    <t>TABLA 13: REMUNERACIONES DEL PERSONAL LEY 18.712 DE CENTROS DE BENEFICIOS</t>
  </si>
  <si>
    <t>G) Comparación Mercado</t>
  </si>
  <si>
    <t>TABLA 14:COMPARACIÓN TARIFAS CON PRECIOS DE MERCADO</t>
  </si>
  <si>
    <t>H) Detalle Datos</t>
  </si>
  <si>
    <t>I) Costo Desayuno</t>
  </si>
  <si>
    <t>TABLA 15: COSTO DESAYUNO</t>
  </si>
  <si>
    <t>TABLA N°16:  RESULTADO OPERACIONAL MENSUAL</t>
  </si>
  <si>
    <t>J) ESTRUCTURA ECONÓMICA MENS</t>
  </si>
  <si>
    <t>ACUMULADO A LA FECHA</t>
  </si>
  <si>
    <t>Cantidad de celdas no vacias</t>
  </si>
  <si>
    <t>INGRESOS 2023
(Referencia)</t>
  </si>
  <si>
    <t>DISTRIBUCIÓN COSTOS DE OPERACIÓN</t>
  </si>
  <si>
    <t>Adicional</t>
  </si>
  <si>
    <t>Acompañamiento (Queso)</t>
  </si>
  <si>
    <t>Acompañamiento (Jamon)</t>
  </si>
  <si>
    <t xml:space="preserve">Total </t>
  </si>
  <si>
    <t>Club de Oficiales los Pelicanos</t>
  </si>
  <si>
    <t>CENTRO DE BENEFICIO  "Club Los Pelicanos"</t>
  </si>
  <si>
    <t>Otros</t>
  </si>
  <si>
    <t>Tarifas 2024</t>
  </si>
  <si>
    <t>Tarifas 2025</t>
  </si>
  <si>
    <t>INGRESOS 2024
(Referencia)</t>
  </si>
  <si>
    <t>Encargada de Ppto. y Area Inst.</t>
  </si>
  <si>
    <t>Operadora de Sistemas</t>
  </si>
  <si>
    <t>Encargada de Descuentos</t>
  </si>
  <si>
    <t>Cajera</t>
  </si>
  <si>
    <t>Analista de Cuentas</t>
  </si>
  <si>
    <t>Administración Central</t>
  </si>
  <si>
    <t xml:space="preserve"> Elsa  Graciela</t>
  </si>
  <si>
    <t>Conztanzo Montecinos</t>
  </si>
  <si>
    <t>Amelia  Perla</t>
  </si>
  <si>
    <t>Garcia  Arredondo</t>
  </si>
  <si>
    <t>Erika Katherine</t>
  </si>
  <si>
    <t xml:space="preserve">Groth Vega </t>
  </si>
  <si>
    <t>Maritza Cristina</t>
  </si>
  <si>
    <t>Mellado Medina</t>
  </si>
  <si>
    <t>Roxana Isabel</t>
  </si>
  <si>
    <t>Muñoz Cruces</t>
  </si>
  <si>
    <t>Lilian Andrea</t>
  </si>
  <si>
    <t>Macarena Lilian</t>
  </si>
  <si>
    <t>Richard Abraham</t>
  </si>
  <si>
    <t>Gargia Ponce</t>
  </si>
  <si>
    <t>Meriño  Muñoz</t>
  </si>
  <si>
    <t>Jara Diaz</t>
  </si>
  <si>
    <t>Administrativo</t>
  </si>
  <si>
    <t>Encargado Rec. Humanos</t>
  </si>
  <si>
    <t>Maximo Cesar</t>
  </si>
  <si>
    <t>Aravena Bustos</t>
  </si>
  <si>
    <t>Adm. Adquisiciones</t>
  </si>
  <si>
    <t>Hector David</t>
  </si>
  <si>
    <t>Valencia Coronado</t>
  </si>
  <si>
    <t>Carlos</t>
  </si>
  <si>
    <t>Sylvia Edia</t>
  </si>
  <si>
    <t>Rojas Solar</t>
  </si>
  <si>
    <t>Soto Villegas</t>
  </si>
  <si>
    <t xml:space="preserve"> Planes y Gestión</t>
  </si>
  <si>
    <t>Auditoria Interna</t>
  </si>
  <si>
    <t>Mena Meriño</t>
  </si>
  <si>
    <t>Silvana</t>
  </si>
  <si>
    <t>Prevenc. de Riesgos</t>
  </si>
  <si>
    <t>Jorge Gabriel</t>
  </si>
  <si>
    <t>Ramirez Sepulveda</t>
  </si>
  <si>
    <t>Mant. y Cons de Predio</t>
  </si>
  <si>
    <t>Raul Isaac</t>
  </si>
  <si>
    <t>Asencio Peña</t>
  </si>
  <si>
    <t>Adm. Hospedaje Y Recreación</t>
  </si>
  <si>
    <t>Rosa Adriana</t>
  </si>
  <si>
    <t>Jara Fuentes</t>
  </si>
  <si>
    <t>Apoyo Administrtaivo</t>
  </si>
  <si>
    <t>Apoyo Administrativo</t>
  </si>
  <si>
    <t>XXXXXXXXXXX</t>
  </si>
  <si>
    <t>Camarera y Recepcionista</t>
  </si>
  <si>
    <t>Recepcionista</t>
  </si>
  <si>
    <t>Marcela del Carmen</t>
  </si>
  <si>
    <t xml:space="preserve">Arredondo Valdivia </t>
  </si>
  <si>
    <t xml:space="preserve">Saldaña Maldonado </t>
  </si>
  <si>
    <t>Casa de Huespedes Oficiales Carlos Condell</t>
  </si>
  <si>
    <t>Margarita Soledad</t>
  </si>
  <si>
    <t>Camarera</t>
  </si>
  <si>
    <t>Auxiliar de Servicio</t>
  </si>
  <si>
    <t>Garzon</t>
  </si>
  <si>
    <t>Cocinero</t>
  </si>
  <si>
    <t>Servicio General</t>
  </si>
  <si>
    <t>Ayudante Cocina</t>
  </si>
  <si>
    <t>Lavandera/o y Panadera/o</t>
  </si>
  <si>
    <t>Enc. Operac. Termas de Liquiñe</t>
  </si>
  <si>
    <t>Termas de Liquiñe</t>
  </si>
  <si>
    <t>XXXXXXXX</t>
  </si>
  <si>
    <t>Marcia Nieves</t>
  </si>
  <si>
    <t xml:space="preserve">Mora Araya </t>
  </si>
  <si>
    <t>Patricia Elizabeth</t>
  </si>
  <si>
    <t xml:space="preserve">Santos Tapia </t>
  </si>
  <si>
    <t>Cabañas Club Naval de Campo Tumbes</t>
  </si>
  <si>
    <t>Burgos Molina Mauricio Eduardo</t>
  </si>
  <si>
    <t>Enc. A. verdes y piscinas</t>
  </si>
  <si>
    <t>Piscina Club Naval de Campo tumbes</t>
  </si>
  <si>
    <t>Control Ingreso Piscina</t>
  </si>
  <si>
    <t>Salvavidas</t>
  </si>
  <si>
    <t>Piscina Centro Recreativo Faro Tumbes</t>
  </si>
  <si>
    <t>Gastón Fernando</t>
  </si>
  <si>
    <t xml:space="preserve">Rebolledo Basoalto </t>
  </si>
  <si>
    <t>Aux. Aseador y Apoyo Mant.</t>
  </si>
  <si>
    <t>Ayudante Bodega</t>
  </si>
  <si>
    <t>Auxiliar de Aseo</t>
  </si>
  <si>
    <t>Cajero</t>
  </si>
  <si>
    <t>Mayordomo</t>
  </si>
  <si>
    <t>Club Naval de Campo tumbes</t>
  </si>
  <si>
    <t>Joaquín Ezequiel</t>
  </si>
  <si>
    <t xml:space="preserve">Vásquez Soto </t>
  </si>
  <si>
    <t>Encargado Centro Recreativo</t>
  </si>
  <si>
    <t>Olivia del Carmen</t>
  </si>
  <si>
    <t>José Cristián</t>
  </si>
  <si>
    <t xml:space="preserve">González Garrido </t>
  </si>
  <si>
    <t xml:space="preserve">Ortiz Jara </t>
  </si>
  <si>
    <t>Centro Recreativo Faro Tumbes</t>
  </si>
  <si>
    <t>Cancha de Golf Club de Campo Tumbes</t>
  </si>
  <si>
    <t>Jose Del Carmen</t>
  </si>
  <si>
    <t>Héctor Enrique</t>
  </si>
  <si>
    <t>Daniel Andrés</t>
  </si>
  <si>
    <t>Victoriano Onofre</t>
  </si>
  <si>
    <t xml:space="preserve">Alarcón Vergara </t>
  </si>
  <si>
    <t xml:space="preserve">Faúndez Flores </t>
  </si>
  <si>
    <t xml:space="preserve">Rubilar López </t>
  </si>
  <si>
    <t xml:space="preserve">Rubilar Neira </t>
  </si>
  <si>
    <t xml:space="preserve">Ramos Pérez </t>
  </si>
  <si>
    <t xml:space="preserve">En esta hoja deberá incorporar toda la información, tablas y cálculos complementarios que permitan explicar y justificar sus proyecciones de ingresos y egresos, de acuerdo a los datos incorporados en las hojas anteriores.
</t>
  </si>
  <si>
    <t>Jardinero y Auxiliar de Servicio</t>
  </si>
  <si>
    <t>Fernanda Carolina</t>
  </si>
  <si>
    <t>Marcelino Alejandro</t>
  </si>
  <si>
    <t>Hotel Diego de Almagro</t>
  </si>
  <si>
    <t>Hotel Ibis</t>
  </si>
  <si>
    <t>Termas de Coñaripe</t>
  </si>
  <si>
    <t>Termas Rio Liquiñe</t>
  </si>
  <si>
    <t>Termas Rio Liquiñe niños hasta 12 años.</t>
  </si>
  <si>
    <t>Termas de Coñaripe niños hasta 12 años.</t>
  </si>
  <si>
    <t>Cabañas Don Amador</t>
  </si>
  <si>
    <t>Cabañas Pura Lodge</t>
  </si>
  <si>
    <t>Piscina Las Tinajas adulto</t>
  </si>
  <si>
    <t>Piscina Las Tinajas Niños</t>
  </si>
  <si>
    <t>Piscina Ainahue adulto</t>
  </si>
  <si>
    <t>Piscina Ainahue niño</t>
  </si>
  <si>
    <t>Cabañas Borderio</t>
  </si>
  <si>
    <t>Cabañas Ainahue</t>
  </si>
  <si>
    <t>Centro Filiación Azul Talcahuano</t>
  </si>
  <si>
    <t>Pianura Sport</t>
  </si>
  <si>
    <t>Centro deportivo Las salinas</t>
  </si>
  <si>
    <t>Parcela Nongen</t>
  </si>
  <si>
    <t>Total act. 5%</t>
  </si>
  <si>
    <t>ANEXO D</t>
  </si>
  <si>
    <t>D) COSTOS INDIRECTOS ASISTENCIA EDUCACIONAL</t>
  </si>
  <si>
    <t>TABLA 6: REMUNERACIONES DEL PERSONAL LEY 18.712 ADMINISTRACION CENTRAL Y APOYO ADMINISTRATIVO ASISTENCIA EDUCACIONAL</t>
  </si>
  <si>
    <t>TABLA 7: DISTRIBUCION COSTOS REMUNERACIONES ADMINISTRACION CENTRAL Y APOYO ADMINISTRATIVO A. EDUCACIONAL</t>
  </si>
  <si>
    <t>TABLA 8: COSTOS DE OPERACION ADMINISTRACIÓN CENTRAL Y  APOYO ADMINISTRATIVO ASISTENCIA EDUCACIONAL</t>
  </si>
  <si>
    <t>TABLA 9: RESUMEN DISTRIBUCION COSTOS REMUNERACIONES ADMINISTRACION CENTRAL Y APOYO ADMINISTRATIVO A. EDUCACIONAL</t>
  </si>
  <si>
    <t>TABLA 10: RESUMEN DISTRIBUCION COSTOS OPERACIÓN ADMINISTRACION CENTRAL  Y APOYO ADMINISTRATIVO A. EDUCACIONAL</t>
  </si>
  <si>
    <t>Gasto Total empresa</t>
  </si>
  <si>
    <t>ÁREA APOYO A. EDUCACIONAL</t>
  </si>
  <si>
    <t>Asistencia Educacional</t>
  </si>
  <si>
    <t>APOYO ADM.</t>
  </si>
  <si>
    <t>Asistencia Comercial</t>
  </si>
  <si>
    <t xml:space="preserve"> Reajuste ($)</t>
  </si>
  <si>
    <t>Segmento
 1</t>
  </si>
  <si>
    <t>Segmento 
2</t>
  </si>
  <si>
    <t>Segmento 
3</t>
  </si>
  <si>
    <t>Cabaña VIP (día)</t>
  </si>
  <si>
    <t>CABAÑAS CNC TUMBES</t>
  </si>
  <si>
    <t>REMUNERACIONES 2025</t>
  </si>
  <si>
    <t>Costo Total por Servidor Reajustado 2026</t>
  </si>
  <si>
    <t>Tarifas  2025</t>
  </si>
  <si>
    <t>Tarifas 2026</t>
  </si>
  <si>
    <t>Propuesta Tarifas 2026</t>
  </si>
  <si>
    <t>COSTO DIRECTO ESTIMADO 2026</t>
  </si>
  <si>
    <t>Costo Total anual por Servidor 2025</t>
  </si>
  <si>
    <t>FORMULACIÓN INGRESOS 2026</t>
  </si>
  <si>
    <t>Tarifa 2026</t>
  </si>
  <si>
    <t>Meta Ocupación 2026</t>
  </si>
  <si>
    <t>COSTO INDIRECTO ESTIMADO 2026</t>
  </si>
  <si>
    <t>Costo total empresa
2025</t>
  </si>
  <si>
    <t xml:space="preserve"> </t>
  </si>
  <si>
    <t>Juan Segundo</t>
  </si>
  <si>
    <t>Vasquez Vega</t>
  </si>
  <si>
    <t>XXXXXXXXX</t>
  </si>
  <si>
    <t>Encargada de Cobranza y Sistemas</t>
  </si>
  <si>
    <t>Karina Solange</t>
  </si>
  <si>
    <t>Albornoz Nova</t>
  </si>
  <si>
    <t>Karem Lorena</t>
  </si>
  <si>
    <t xml:space="preserve">Alarcón Zambrano </t>
  </si>
  <si>
    <t>Encargada de Contratos y Finiq</t>
  </si>
  <si>
    <t>Constanza Alejandra</t>
  </si>
  <si>
    <t xml:space="preserve">Bastias León </t>
  </si>
  <si>
    <t xml:space="preserve"> Ninoska Romanett</t>
  </si>
  <si>
    <t xml:space="preserve">Díaz Illanes </t>
  </si>
  <si>
    <t>Susana Alicia</t>
  </si>
  <si>
    <t xml:space="preserve">Alveal Gutiérrez </t>
  </si>
  <si>
    <t>Javier Segundo</t>
  </si>
  <si>
    <t xml:space="preserve">Candia Aravena </t>
  </si>
  <si>
    <t>Carpintero</t>
  </si>
  <si>
    <t>Domingo Emiliano</t>
  </si>
  <si>
    <t xml:space="preserve">Cares Mora </t>
  </si>
  <si>
    <t>Gustavo</t>
  </si>
  <si>
    <t xml:space="preserve">Escobar Pérez </t>
  </si>
  <si>
    <t>Miguel Alfonso</t>
  </si>
  <si>
    <t xml:space="preserve">Herrera Sandoval </t>
  </si>
  <si>
    <t>Cecilia del Carmen</t>
  </si>
  <si>
    <t xml:space="preserve">Herrera Stuardo </t>
  </si>
  <si>
    <t>Adela Jaquelín</t>
  </si>
  <si>
    <t xml:space="preserve">Lefinao Cuminao </t>
  </si>
  <si>
    <t>Nelsi Miriam</t>
  </si>
  <si>
    <t>Meliñanco Meliñanco</t>
  </si>
  <si>
    <t>Nilsa Elena</t>
  </si>
  <si>
    <t xml:space="preserve">Moncada Vásquez </t>
  </si>
  <si>
    <t>Luz Eliana</t>
  </si>
  <si>
    <t xml:space="preserve">Neira Barra Luz </t>
  </si>
  <si>
    <t>Cocinera y Copera</t>
  </si>
  <si>
    <t>Valeria Nicole</t>
  </si>
  <si>
    <t xml:space="preserve">Pacheco Hernández </t>
  </si>
  <si>
    <t>José Federico</t>
  </si>
  <si>
    <t xml:space="preserve">Paredes Cabrera </t>
  </si>
  <si>
    <t>Yessica Isabel</t>
  </si>
  <si>
    <t xml:space="preserve">Quisulef Catalán </t>
  </si>
  <si>
    <t>Patricia Alejandra</t>
  </si>
  <si>
    <t xml:space="preserve">Quizulef Queupumill </t>
  </si>
  <si>
    <t>Juan Guillermo</t>
  </si>
  <si>
    <t xml:space="preserve">Rivas Carrasco </t>
  </si>
  <si>
    <t>Bodeguero</t>
  </si>
  <si>
    <t>Rene Aliro</t>
  </si>
  <si>
    <t xml:space="preserve">Rojas Sepúlveda </t>
  </si>
  <si>
    <t>Germán Marcelo</t>
  </si>
  <si>
    <t xml:space="preserve">Valdebenito Valencia </t>
  </si>
  <si>
    <t>María Francisca</t>
  </si>
  <si>
    <t xml:space="preserve">Vergara Carrasco </t>
  </si>
  <si>
    <t>Elba Rosa</t>
  </si>
  <si>
    <t xml:space="preserve">Vivanco Pacheco </t>
  </si>
  <si>
    <t>Denisse Loreto</t>
  </si>
  <si>
    <t xml:space="preserve">Acuña Sanhueza </t>
  </si>
  <si>
    <t>Ariela Ignacia</t>
  </si>
  <si>
    <t xml:space="preserve">Acuña Vergara </t>
  </si>
  <si>
    <t>Recepcionista y Asistente Adm</t>
  </si>
  <si>
    <t>Manuela Hortencia</t>
  </si>
  <si>
    <t xml:space="preserve">Alluelef Catrilaf </t>
  </si>
  <si>
    <t>Jovita del Carmen</t>
  </si>
  <si>
    <t xml:space="preserve">Illanes Muñoz </t>
  </si>
  <si>
    <t>Copera y Aseadora</t>
  </si>
  <si>
    <t>Rosa Isabel</t>
  </si>
  <si>
    <t>Pastén Muñoz</t>
  </si>
  <si>
    <t>Jorge Octavio</t>
  </si>
  <si>
    <t xml:space="preserve">Alarcón Araneda </t>
  </si>
  <si>
    <t>Dayana Andrea</t>
  </si>
  <si>
    <t xml:space="preserve">Chavez Reyes </t>
  </si>
  <si>
    <t>Nataly Francisca</t>
  </si>
  <si>
    <t xml:space="preserve">Flores Muñoz </t>
  </si>
  <si>
    <t>Vania Constanza</t>
  </si>
  <si>
    <t xml:space="preserve">Luengo Soto </t>
  </si>
  <si>
    <t>Benjamín Esteban</t>
  </si>
  <si>
    <t xml:space="preserve">Muñoz Lagos </t>
  </si>
  <si>
    <t>Martín Arturo</t>
  </si>
  <si>
    <t xml:space="preserve"> Angélica del Carmen</t>
  </si>
  <si>
    <t xml:space="preserve">Olivares Mondaca </t>
  </si>
  <si>
    <t xml:space="preserve"> Andrea Valentina</t>
  </si>
  <si>
    <t xml:space="preserve">Orias Paredes </t>
  </si>
  <si>
    <t>Garzón y Cajero</t>
  </si>
  <si>
    <t>Luis Alberto</t>
  </si>
  <si>
    <t xml:space="preserve">Poblete Villa </t>
  </si>
  <si>
    <t>Valentina Teresa</t>
  </si>
  <si>
    <t xml:space="preserve">Quidel Paredes </t>
  </si>
  <si>
    <t>Marioly Tomasa</t>
  </si>
  <si>
    <t xml:space="preserve">San Martín Moraga </t>
  </si>
  <si>
    <t>Jacqueline Paola</t>
  </si>
  <si>
    <t xml:space="preserve">Soto Sáez </t>
  </si>
  <si>
    <t>Cajero y Garzón</t>
  </si>
  <si>
    <t>Verónica Maria</t>
  </si>
  <si>
    <t xml:space="preserve">Soto Urra </t>
  </si>
  <si>
    <t>Mauricio</t>
  </si>
  <si>
    <t>Vega Ríos</t>
  </si>
  <si>
    <t>Bryan Ignacio</t>
  </si>
  <si>
    <t xml:space="preserve">Velasquez Machuca </t>
  </si>
  <si>
    <t>Pedro Alejandro</t>
  </si>
  <si>
    <t>Montecinos Leal</t>
  </si>
  <si>
    <t>Nancucheo Fernández</t>
  </si>
  <si>
    <t>Rodrigo Esteban</t>
  </si>
  <si>
    <t xml:space="preserve">San Martín Saavedra </t>
  </si>
  <si>
    <t xml:space="preserve">Valdebenito Alarcón </t>
  </si>
  <si>
    <t>IVA Proporcional  anual  proyectado.</t>
  </si>
  <si>
    <t>Considera Otros materiales de uso y consumo corriente.</t>
  </si>
  <si>
    <t>Considera Material de computación.</t>
  </si>
  <si>
    <t>1) Calculo gasto Alimentacion del personal 2025</t>
  </si>
  <si>
    <t>NR</t>
  </si>
  <si>
    <t>Valor Rac. Proyec.</t>
  </si>
  <si>
    <t>Dias Mes</t>
  </si>
  <si>
    <t>Total C/U</t>
  </si>
  <si>
    <t>DESC.</t>
  </si>
  <si>
    <t>TOTAL  COSTO</t>
  </si>
  <si>
    <t>Total E.P.</t>
  </si>
  <si>
    <t>Total Mes</t>
  </si>
  <si>
    <t>SUB Total  Anual</t>
  </si>
  <si>
    <t>DIST. ADM.</t>
  </si>
  <si>
    <t>Total Anual</t>
  </si>
  <si>
    <t>RACIONES</t>
  </si>
  <si>
    <t>Casa de Huespedes Oficiales</t>
  </si>
  <si>
    <t>20</t>
  </si>
  <si>
    <t>Cabañas Club de Campo tumbes</t>
  </si>
  <si>
    <t>Cabañas Centro Recreativo</t>
  </si>
  <si>
    <t>Centro Termal Liquiñe Eventual</t>
  </si>
  <si>
    <t>Piscina CRA</t>
  </si>
  <si>
    <t>Piscina CRA Temporada</t>
  </si>
  <si>
    <t>Quinchos y Canchas CRA Faro Tumbes</t>
  </si>
  <si>
    <t>Piscina COT</t>
  </si>
  <si>
    <t>Piscina COT Temporada</t>
  </si>
  <si>
    <t>REMUNERACIONES 2024</t>
  </si>
  <si>
    <t>Costo Total por Servidor Reajustado por 5%</t>
  </si>
  <si>
    <t>Total Haberes anual</t>
  </si>
  <si>
    <t xml:space="preserve">Costo Total anual por Servidor </t>
  </si>
  <si>
    <t>Piscina Club de Campo Tumbes</t>
  </si>
  <si>
    <t>TOTAL</t>
  </si>
  <si>
    <t xml:space="preserve">El Casino Club Naval de Campo  Tumbes ha presentado rendimientos operacionales negativos através del tiempo, actualmente  se ha efectuado una proyección de </t>
  </si>
  <si>
    <t>FERTILIZANTES PARA MANTENCION CANCHA DE GOLF</t>
  </si>
  <si>
    <t>MONTO CONDIDERADO PARA  PAGO DE SALIDAS DE GOLF A FEDERACION.</t>
  </si>
  <si>
    <t>Club PelicanoS</t>
  </si>
  <si>
    <t>Venta entradas y encargada  kisoco</t>
  </si>
  <si>
    <t>Auxiliar de Servicios baño dama</t>
  </si>
  <si>
    <t>Auxiliar de Servicios baño varon</t>
  </si>
  <si>
    <t>Auxiliar de Servicios y jardinero</t>
  </si>
  <si>
    <t xml:space="preserve">Jugo </t>
  </si>
  <si>
    <t>El  Casino de tripulacion se encuentra encuentra externalizado,  operado  por la Empresa Claudia Cartagena</t>
  </si>
  <si>
    <t xml:space="preserve">ingresos basada en comportamiento año 2025, para lo cual se han proyectado los ingresos del periodo agosto- diciembre y el monto calculado se ha incrementado </t>
  </si>
  <si>
    <t>Considera Indeminizacion  por termino de temporada</t>
  </si>
  <si>
    <t>2) Gastos Personal temporada Piscina CRA</t>
  </si>
  <si>
    <t>3) Gastos Personal temporada Piscina COT</t>
  </si>
  <si>
    <t xml:space="preserve">4) Gastos de desayuno </t>
  </si>
  <si>
    <t>5)  Casino de Tripulación</t>
  </si>
  <si>
    <t xml:space="preserve">6) Casino Club Naval de Campo  Tumbes </t>
  </si>
  <si>
    <t>en un porcentaje de IPC de un 5 % y meta de ingresos para el añoa 2026.</t>
  </si>
  <si>
    <t>Costo anual empresa 2025</t>
  </si>
  <si>
    <t>INGRESOS 2025
(Referencia) a Septiembre</t>
  </si>
  <si>
    <t xml:space="preserve">Ines Alejandra </t>
  </si>
  <si>
    <t>Cubillos Loyola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</si>
</sst>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quot;$ &quot;* #,##0_-;&quot;-$ &quot;* #,##0_-;_-&quot;$ &quot;* \-_-;_-@_-"/>
    <numFmt numFmtId="166" formatCode="0.0\ %"/>
    <numFmt numFmtId="167" formatCode="#,##0_ ;[Red]\-#,##0\ "/>
    <numFmt numFmtId="168" formatCode="_-\ * #,##0_-;&quot;$ &quot;* #,##0_-;_-\ * \-_-;_-@_-"/>
    <numFmt numFmtId="169" formatCode="_-* #,##0_-;\-* #,##0_-;_-* \-??_-;_-@_-"/>
    <numFmt numFmtId="170" formatCode="_-\$* #,##0_-;&quot;-$&quot;* #,##0_-;_-\$* \-??_-;_-@_-"/>
    <numFmt numFmtId="171" formatCode="_-&quot;$&quot;* #,##0_-;\-&quot;$&quot;* #,##0_-;_-&quot;$&quot;* &quot;-&quot;??_-;_-@_-"/>
    <numFmt numFmtId="172" formatCode="0.0%"/>
    <numFmt numFmtId="173" formatCode="#,##0_ ;\-#,##0\ "/>
    <numFmt numFmtId="174" formatCode="_-* #,##0.0_-;\-* #,##0.0_-;_-* \-??_-;_-@_-"/>
    <numFmt numFmtId="175" formatCode="_(* #,##0_);_(* \(#,##0\);_(* \-_);_(@_)"/>
    <numFmt numFmtId="176" formatCode="\$#,##0_);&quot;($&quot;#,##0\)"/>
    <numFmt numFmtId="177" formatCode="&quot;$&quot;\ #,##0"/>
    <numFmt numFmtId="178" formatCode="_-[$$-340A]\ * #,##0_-;\-[$$-340A]\ * #,##0_-;_-[$$-340A]\ * &quot;-&quot;??_-;_-@_-"/>
    <numFmt numFmtId="179" formatCode="0.0000"/>
    <numFmt numFmtId="180" formatCode="0.00\ %"/>
    <numFmt numFmtId="181" formatCode="_-* #,##0_-;\-* #,##0_-;_-* &quot;-&quot;??_-;_-@_-"/>
    <numFmt numFmtId="182" formatCode="_-&quot;$&quot;\ * #,##0_-;\-&quot;$&quot;\ * #,##0_-;_-&quot;$&quot;\ * &quot;-&quot;??_-;_-@_-"/>
    <numFmt numFmtId="183" formatCode="_-\$* #,##0.00_-;&quot;-$&quot;* #,##0.00_-;_-\$* \-??_-;_-@_-"/>
  </numFmts>
  <fonts count="40" x14ac:knownFonts="1">
    <font>
      <sz val="11"/>
      <color theme="1"/>
      <name val="Calibri"/>
      <family val="2"/>
      <scheme val="minor"/>
    </font>
    <font>
      <b/>
      <sz val="10"/>
      <color indexed="10"/>
      <name val="Arial"/>
      <family val="2"/>
    </font>
    <font>
      <b/>
      <sz val="10"/>
      <name val="Arial"/>
      <family val="2"/>
    </font>
    <font>
      <b/>
      <sz val="10"/>
      <color indexed="40"/>
      <name val="Arial"/>
      <family val="2"/>
    </font>
    <font>
      <sz val="10"/>
      <name val="Arial"/>
      <family val="2"/>
    </font>
    <font>
      <b/>
      <sz val="12"/>
      <name val="Arial"/>
      <family val="2"/>
    </font>
    <font>
      <b/>
      <sz val="11"/>
      <name val="Arial"/>
      <family val="2"/>
    </font>
    <font>
      <b/>
      <sz val="10"/>
      <color indexed="8"/>
      <name val="Arial"/>
      <family val="2"/>
    </font>
    <font>
      <sz val="10"/>
      <color indexed="8"/>
      <name val="Arial"/>
      <family val="2"/>
    </font>
    <font>
      <b/>
      <sz val="10"/>
      <color indexed="9"/>
      <name val="Arial"/>
      <family val="2"/>
    </font>
    <font>
      <b/>
      <sz val="16"/>
      <name val="Arial"/>
      <family val="2"/>
    </font>
    <font>
      <b/>
      <u/>
      <sz val="10"/>
      <name val="Arial"/>
      <family val="2"/>
    </font>
    <font>
      <b/>
      <sz val="14"/>
      <name val="Arial"/>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0"/>
      <color theme="1"/>
      <name val="Arial"/>
      <family val="2"/>
    </font>
    <font>
      <b/>
      <u/>
      <sz val="12"/>
      <color rgb="FF0000CC"/>
      <name val="Arial"/>
      <family val="2"/>
    </font>
    <font>
      <sz val="10"/>
      <color rgb="FFFF0000"/>
      <name val="Arial"/>
      <family val="2"/>
    </font>
    <font>
      <b/>
      <sz val="10"/>
      <color theme="0"/>
      <name val="Arial"/>
      <family val="2"/>
    </font>
    <font>
      <sz val="10"/>
      <color theme="0"/>
      <name val="Arial"/>
      <family val="2"/>
    </font>
    <font>
      <b/>
      <sz val="11"/>
      <name val="Calibri"/>
      <family val="2"/>
      <scheme val="minor"/>
    </font>
    <font>
      <b/>
      <u/>
      <sz val="11"/>
      <color theme="1"/>
      <name val="Calibri"/>
      <family val="2"/>
      <scheme val="minor"/>
    </font>
    <font>
      <sz val="11"/>
      <name val="Calibri"/>
      <family val="2"/>
      <scheme val="minor"/>
    </font>
    <font>
      <b/>
      <sz val="10"/>
      <color rgb="FFFF0000"/>
      <name val="Arial"/>
      <family val="2"/>
    </font>
    <font>
      <b/>
      <sz val="9"/>
      <color rgb="FFFF0000"/>
      <name val="Arial"/>
      <family val="2"/>
    </font>
    <font>
      <b/>
      <sz val="14"/>
      <color rgb="FFFF0000"/>
      <name val="Arial"/>
      <family val="2"/>
    </font>
    <font>
      <sz val="10"/>
      <color theme="1"/>
      <name val="Arial"/>
      <family val="2"/>
    </font>
    <font>
      <sz val="11"/>
      <color theme="1"/>
      <name val="Arial"/>
      <family val="2"/>
    </font>
    <font>
      <b/>
      <sz val="11"/>
      <color indexed="10"/>
      <name val="Calibri"/>
      <family val="2"/>
      <scheme val="minor"/>
    </font>
    <font>
      <b/>
      <sz val="11"/>
      <color indexed="40"/>
      <name val="Calibri"/>
      <family val="2"/>
      <scheme val="minor"/>
    </font>
    <font>
      <b/>
      <sz val="11"/>
      <color rgb="FF0000CC"/>
      <name val="Calibri"/>
      <family val="2"/>
      <scheme val="minor"/>
    </font>
    <font>
      <b/>
      <sz val="12"/>
      <color theme="0"/>
      <name val="Arial"/>
      <family val="2"/>
    </font>
    <font>
      <b/>
      <sz val="9"/>
      <color indexed="81"/>
      <name val="Tahoma"/>
      <family val="2"/>
    </font>
    <font>
      <sz val="9"/>
      <color indexed="81"/>
      <name val="Tahoma"/>
      <family val="2"/>
    </font>
    <font>
      <sz val="9"/>
      <color indexed="81"/>
      <name val="Tahoma"/>
      <charset val="1"/>
    </font>
    <font>
      <b/>
      <sz val="9"/>
      <color indexed="81"/>
      <name val="Tahoma"/>
      <charset val="1"/>
    </font>
  </fonts>
  <fills count="60">
    <fill>
      <patternFill patternType="none"/>
    </fill>
    <fill>
      <patternFill patternType="gray125"/>
    </fill>
    <fill>
      <patternFill patternType="solid">
        <fgColor indexed="9"/>
        <bgColor indexed="26"/>
      </patternFill>
    </fill>
    <fill>
      <patternFill patternType="gray125">
        <bgColor indexed="9"/>
      </patternFill>
    </fill>
    <fill>
      <patternFill patternType="solid">
        <fgColor theme="3" tint="0.39997558519241921"/>
        <bgColor indexed="26"/>
      </patternFill>
    </fill>
    <fill>
      <patternFill patternType="solid">
        <fgColor theme="3" tint="0.79998168889431442"/>
        <bgColor indexed="24"/>
      </patternFill>
    </fill>
    <fill>
      <patternFill patternType="gray125">
        <fgColor indexed="24"/>
        <bgColor theme="3" tint="0.79998168889431442"/>
      </patternFill>
    </fill>
    <fill>
      <patternFill patternType="solid">
        <fgColor theme="3" tint="0.39997558519241921"/>
        <bgColor indexed="44"/>
      </patternFill>
    </fill>
    <fill>
      <patternFill patternType="solid">
        <fgColor rgb="FFFFFF00"/>
        <bgColor indexed="64"/>
      </patternFill>
    </fill>
    <fill>
      <patternFill patternType="solid">
        <fgColor theme="0" tint="-0.249977111117893"/>
        <bgColor indexed="24"/>
      </patternFill>
    </fill>
    <fill>
      <patternFill patternType="solid">
        <fgColor theme="5" tint="0.39997558519241921"/>
        <bgColor indexed="24"/>
      </patternFill>
    </fill>
    <fill>
      <patternFill patternType="solid">
        <fgColor theme="5" tint="0.39997558519241921"/>
        <bgColor indexed="40"/>
      </patternFill>
    </fill>
    <fill>
      <patternFill patternType="solid">
        <fgColor theme="5" tint="0.39994506668294322"/>
        <bgColor indexed="65"/>
      </patternFill>
    </fill>
    <fill>
      <patternFill patternType="gray125">
        <bgColor theme="5" tint="0.39997558519241921"/>
      </patternFill>
    </fill>
    <fill>
      <patternFill patternType="solid">
        <fgColor theme="5" tint="0.79998168889431442"/>
        <bgColor indexed="24"/>
      </patternFill>
    </fill>
    <fill>
      <patternFill patternType="gray125">
        <bgColor theme="5" tint="0.79998168889431442"/>
      </patternFill>
    </fill>
    <fill>
      <patternFill patternType="solid">
        <fgColor theme="4" tint="0.79998168889431442"/>
        <bgColor indexed="64"/>
      </patternFill>
    </fill>
    <fill>
      <patternFill patternType="gray125">
        <bgColor theme="3" tint="0.79998168889431442"/>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39997558519241921"/>
        <bgColor indexed="24"/>
      </patternFill>
    </fill>
    <fill>
      <patternFill patternType="gray125">
        <bgColor theme="3" tint="0.39997558519241921"/>
      </patternFill>
    </fill>
    <fill>
      <patternFill patternType="solid">
        <fgColor rgb="FFFFFFFF"/>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0" tint="-0.249977111117893"/>
        <bgColor indexed="26"/>
      </patternFill>
    </fill>
    <fill>
      <patternFill patternType="solid">
        <fgColor theme="0" tint="-0.14999847407452621"/>
        <bgColor indexed="64"/>
      </patternFill>
    </fill>
    <fill>
      <patternFill patternType="gray125">
        <bgColor theme="0" tint="-0.14999847407452621"/>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bgColor indexed="26"/>
      </patternFill>
    </fill>
    <fill>
      <patternFill patternType="solid">
        <fgColor theme="5" tint="0.39997558519241921"/>
        <bgColor indexed="26"/>
      </patternFill>
    </fill>
    <fill>
      <patternFill patternType="solid">
        <fgColor rgb="FFC00000"/>
        <bgColor indexed="26"/>
      </patternFill>
    </fill>
    <fill>
      <patternFill patternType="gray125">
        <bgColor theme="4" tint="0.79995117038483843"/>
      </patternFill>
    </fill>
    <fill>
      <patternFill patternType="gray125">
        <bgColor rgb="FFFFFF00"/>
      </patternFill>
    </fill>
    <fill>
      <patternFill patternType="solid">
        <fgColor theme="7"/>
        <bgColor indexed="64"/>
      </patternFill>
    </fill>
    <fill>
      <patternFill patternType="gray125">
        <bgColor theme="7"/>
      </patternFill>
    </fill>
    <fill>
      <patternFill patternType="solid">
        <fgColor theme="3"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gray125">
        <bgColor theme="0"/>
      </patternFill>
    </fill>
    <fill>
      <patternFill patternType="gray125">
        <bgColor theme="4" tint="0.59999389629810485"/>
      </patternFill>
    </fill>
    <fill>
      <patternFill patternType="solid">
        <fgColor rgb="FF92D050"/>
        <bgColor indexed="64"/>
      </patternFill>
    </fill>
    <fill>
      <patternFill patternType="solid">
        <fgColor theme="3" tint="-0.249977111117893"/>
        <bgColor indexed="2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26"/>
      </patternFill>
    </fill>
    <fill>
      <patternFill patternType="solid">
        <fgColor theme="4" tint="-0.249977111117893"/>
        <bgColor indexed="24"/>
      </patternFill>
    </fill>
    <fill>
      <patternFill patternType="solid">
        <fgColor theme="0" tint="-0.249977111117893"/>
        <bgColor indexed="44"/>
      </patternFill>
    </fill>
    <fill>
      <patternFill patternType="solid">
        <fgColor theme="2"/>
        <bgColor indexed="64"/>
      </patternFill>
    </fill>
    <fill>
      <patternFill patternType="solid">
        <fgColor theme="0" tint="-0.14996795556505021"/>
        <bgColor indexed="64"/>
      </patternFill>
    </fill>
  </fills>
  <borders count="127">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bottom/>
      <diagonal/>
    </border>
    <border>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style="medium">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8"/>
      </right>
      <top/>
      <bottom/>
      <diagonal/>
    </border>
    <border>
      <left/>
      <right style="thin">
        <color indexed="8"/>
      </right>
      <top style="thin">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medium">
        <color indexed="64"/>
      </left>
      <right style="thin">
        <color indexed="64"/>
      </right>
      <top style="medium">
        <color indexed="64"/>
      </top>
      <bottom/>
      <diagonal/>
    </border>
    <border>
      <left style="thin">
        <color rgb="FF0070C0"/>
      </left>
      <right style="thin">
        <color rgb="FF0070C0"/>
      </right>
      <top/>
      <bottom style="thin">
        <color rgb="FF0070C0"/>
      </bottom>
      <diagonal/>
    </border>
    <border>
      <left style="medium">
        <color rgb="FFC00000"/>
      </left>
      <right/>
      <top/>
      <bottom style="thin">
        <color indexed="64"/>
      </bottom>
      <diagonal/>
    </border>
    <border>
      <left style="thin">
        <color indexed="8"/>
      </left>
      <right style="thin">
        <color indexed="8"/>
      </right>
      <top style="medium">
        <color indexed="64"/>
      </top>
      <bottom/>
      <diagonal/>
    </border>
    <border>
      <left/>
      <right/>
      <top/>
      <bottom style="thin">
        <color auto="1"/>
      </bottom>
      <diagonal/>
    </border>
  </borders>
  <cellStyleXfs count="14">
    <xf numFmtId="0" fontId="0" fillId="0" borderId="0"/>
    <xf numFmtId="0" fontId="16" fillId="0" borderId="0" applyNumberForma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183" fontId="4" fillId="0" borderId="0"/>
    <xf numFmtId="0" fontId="4" fillId="0" borderId="0"/>
    <xf numFmtId="0" fontId="14" fillId="0" borderId="0"/>
    <xf numFmtId="0" fontId="4" fillId="0" borderId="0"/>
    <xf numFmtId="0" fontId="4" fillId="0" borderId="0"/>
    <xf numFmtId="9" fontId="14" fillId="0" borderId="0" applyFont="0" applyFill="0" applyBorder="0" applyAlignment="0" applyProtection="0"/>
    <xf numFmtId="9" fontId="4" fillId="0" borderId="0" applyFont="0" applyFill="0" applyBorder="0" applyAlignment="0" applyProtection="0"/>
    <xf numFmtId="41" fontId="14" fillId="0" borderId="0" applyFont="0" applyFill="0" applyBorder="0" applyAlignment="0" applyProtection="0"/>
  </cellStyleXfs>
  <cellXfs count="1516">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9" fontId="1" fillId="0" borderId="0" xfId="11" applyFont="1" applyBorder="1" applyAlignment="1" applyProtection="1">
      <alignment vertical="center"/>
    </xf>
    <xf numFmtId="9" fontId="14" fillId="0" borderId="0" xfId="11" applyFont="1" applyProtection="1"/>
    <xf numFmtId="0" fontId="2" fillId="0" borderId="0" xfId="0" applyFont="1" applyAlignment="1">
      <alignment horizontal="right" vertical="center"/>
    </xf>
    <xf numFmtId="9" fontId="2" fillId="0" borderId="0" xfId="11" applyFont="1" applyFill="1" applyBorder="1" applyAlignment="1" applyProtection="1">
      <alignment horizontal="center" vertical="center"/>
    </xf>
    <xf numFmtId="165" fontId="2" fillId="0" borderId="0" xfId="4" applyNumberFormat="1" applyFont="1" applyFill="1" applyBorder="1" applyAlignment="1" applyProtection="1">
      <alignment vertical="center"/>
    </xf>
    <xf numFmtId="44" fontId="2" fillId="0" borderId="0" xfId="4" applyFont="1" applyFill="1" applyBorder="1" applyAlignment="1" applyProtection="1">
      <alignment vertical="center"/>
    </xf>
    <xf numFmtId="0" fontId="0" fillId="0" borderId="0" xfId="0" applyAlignment="1">
      <alignment horizontal="center" vertical="center"/>
    </xf>
    <xf numFmtId="165" fontId="2" fillId="0" borderId="0" xfId="0" applyNumberFormat="1" applyFont="1" applyAlignment="1">
      <alignment horizontal="center" vertical="center" wrapText="1"/>
    </xf>
    <xf numFmtId="165" fontId="2" fillId="4" borderId="1" xfId="0" applyNumberFormat="1" applyFont="1" applyFill="1" applyBorder="1" applyAlignment="1">
      <alignment horizontal="center" vertical="center" wrapText="1"/>
    </xf>
    <xf numFmtId="165" fontId="14" fillId="0" borderId="0" xfId="4" applyNumberFormat="1" applyFont="1" applyFill="1" applyBorder="1" applyAlignment="1" applyProtection="1">
      <alignment vertical="center"/>
    </xf>
    <xf numFmtId="165" fontId="0" fillId="0" borderId="2" xfId="0" applyNumberFormat="1" applyBorder="1" applyAlignment="1">
      <alignment vertical="center"/>
    </xf>
    <xf numFmtId="165" fontId="4" fillId="0" borderId="2" xfId="4" applyNumberFormat="1" applyFont="1" applyFill="1" applyBorder="1" applyAlignment="1" applyProtection="1">
      <alignment vertical="center"/>
    </xf>
    <xf numFmtId="168" fontId="14" fillId="0" borderId="0" xfId="2" applyNumberFormat="1" applyFont="1" applyFill="1" applyBorder="1" applyAlignment="1" applyProtection="1">
      <alignment vertical="center"/>
    </xf>
    <xf numFmtId="168" fontId="14" fillId="0" borderId="1" xfId="2" applyNumberFormat="1" applyFont="1" applyFill="1" applyBorder="1" applyAlignment="1" applyProtection="1">
      <alignment vertical="center"/>
    </xf>
    <xf numFmtId="165" fontId="2" fillId="5" borderId="2" xfId="0" applyNumberFormat="1" applyFont="1" applyFill="1" applyBorder="1" applyAlignment="1">
      <alignment vertical="center"/>
    </xf>
    <xf numFmtId="165" fontId="2" fillId="5" borderId="2" xfId="4" applyNumberFormat="1" applyFont="1" applyFill="1" applyBorder="1" applyAlignment="1" applyProtection="1">
      <alignment vertical="center"/>
    </xf>
    <xf numFmtId="165" fontId="2" fillId="5" borderId="2" xfId="4" applyNumberFormat="1" applyFont="1" applyFill="1" applyBorder="1" applyAlignment="1" applyProtection="1">
      <alignment horizontal="right" vertical="center"/>
    </xf>
    <xf numFmtId="165" fontId="14" fillId="0" borderId="3" xfId="4" applyNumberFormat="1" applyFont="1" applyFill="1" applyBorder="1" applyAlignment="1" applyProtection="1">
      <alignment vertical="center"/>
    </xf>
    <xf numFmtId="168" fontId="14" fillId="0" borderId="2" xfId="2" applyNumberFormat="1" applyFont="1" applyFill="1" applyBorder="1" applyAlignment="1" applyProtection="1">
      <alignment vertical="center"/>
    </xf>
    <xf numFmtId="165" fontId="14" fillId="0" borderId="2" xfId="4" applyNumberFormat="1" applyFont="1" applyFill="1" applyBorder="1" applyAlignment="1" applyProtection="1">
      <alignment vertical="center"/>
    </xf>
    <xf numFmtId="165" fontId="2" fillId="6" borderId="2" xfId="0" applyNumberFormat="1" applyFont="1" applyFill="1" applyBorder="1" applyAlignment="1">
      <alignment vertical="center"/>
    </xf>
    <xf numFmtId="165" fontId="2" fillId="0" borderId="0" xfId="4" applyNumberFormat="1" applyFont="1" applyFill="1" applyBorder="1" applyAlignment="1" applyProtection="1">
      <alignment vertical="center" wrapText="1"/>
    </xf>
    <xf numFmtId="165" fontId="6" fillId="7" borderId="3" xfId="4" applyNumberFormat="1" applyFont="1" applyFill="1" applyBorder="1" applyAlignment="1" applyProtection="1">
      <alignment vertical="center" wrapText="1"/>
    </xf>
    <xf numFmtId="165" fontId="0" fillId="1" borderId="1" xfId="0" applyNumberFormat="1" applyFill="1" applyBorder="1" applyAlignment="1">
      <alignment horizontal="center" vertical="center"/>
    </xf>
    <xf numFmtId="165" fontId="0" fillId="1" borderId="3" xfId="0" applyNumberFormat="1" applyFill="1" applyBorder="1" applyAlignment="1">
      <alignment horizontal="center" vertical="center"/>
    </xf>
    <xf numFmtId="169" fontId="14" fillId="0" borderId="4" xfId="2" applyNumberFormat="1" applyBorder="1" applyAlignment="1" applyProtection="1">
      <alignment horizontal="left" vertical="center" wrapText="1"/>
    </xf>
    <xf numFmtId="0" fontId="0" fillId="0" borderId="5" xfId="0" applyBorder="1" applyAlignment="1">
      <alignment vertical="center" wrapText="1"/>
    </xf>
    <xf numFmtId="170" fontId="14" fillId="8" borderId="7" xfId="4" applyNumberFormat="1" applyFill="1" applyBorder="1" applyAlignment="1" applyProtection="1">
      <alignment vertical="center"/>
      <protection locked="0"/>
    </xf>
    <xf numFmtId="169" fontId="14" fillId="0" borderId="8" xfId="2" applyNumberFormat="1" applyBorder="1" applyAlignment="1" applyProtection="1">
      <alignment horizontal="left" vertical="center" wrapText="1"/>
    </xf>
    <xf numFmtId="0" fontId="0" fillId="0" borderId="9" xfId="0" applyBorder="1" applyAlignment="1">
      <alignment vertical="center" wrapText="1"/>
    </xf>
    <xf numFmtId="170" fontId="14" fillId="8" borderId="11" xfId="4" applyNumberFormat="1" applyFill="1" applyBorder="1" applyAlignment="1" applyProtection="1">
      <alignment vertical="center"/>
      <protection locked="0"/>
    </xf>
    <xf numFmtId="170" fontId="14" fillId="8" borderId="12" xfId="4" applyNumberFormat="1" applyFill="1" applyBorder="1" applyAlignment="1" applyProtection="1">
      <alignment vertical="center"/>
      <protection locked="0"/>
    </xf>
    <xf numFmtId="169" fontId="14" fillId="0" borderId="13" xfId="2" applyNumberFormat="1" applyBorder="1" applyAlignment="1" applyProtection="1">
      <alignment horizontal="left" vertical="center" wrapText="1"/>
    </xf>
    <xf numFmtId="0" fontId="0" fillId="0" borderId="0" xfId="0" applyAlignment="1">
      <alignment vertical="center" wrapText="1"/>
    </xf>
    <xf numFmtId="0" fontId="0" fillId="0" borderId="14" xfId="0" applyBorder="1" applyAlignment="1">
      <alignment vertical="center" wrapText="1"/>
    </xf>
    <xf numFmtId="170" fontId="14" fillId="8" borderId="16" xfId="4" applyNumberFormat="1" applyFill="1" applyBorder="1" applyAlignment="1" applyProtection="1">
      <alignment vertical="center"/>
      <protection locked="0"/>
    </xf>
    <xf numFmtId="170" fontId="14" fillId="8" borderId="17" xfId="4" applyNumberFormat="1" applyFill="1" applyBorder="1" applyAlignment="1" applyProtection="1">
      <alignment vertical="center"/>
      <protection locked="0"/>
    </xf>
    <xf numFmtId="169" fontId="14" fillId="0" borderId="18" xfId="2" applyNumberFormat="1" applyBorder="1" applyAlignment="1" applyProtection="1">
      <alignment horizontal="left" vertical="center" wrapText="1"/>
    </xf>
    <xf numFmtId="0" fontId="0" fillId="0" borderId="19" xfId="0" applyBorder="1" applyAlignment="1">
      <alignment vertical="center" wrapText="1"/>
    </xf>
    <xf numFmtId="170" fontId="14" fillId="8" borderId="21" xfId="4" applyNumberFormat="1" applyFill="1" applyBorder="1" applyAlignment="1" applyProtection="1">
      <alignment vertical="center"/>
      <protection locked="0"/>
    </xf>
    <xf numFmtId="170" fontId="14" fillId="8" borderId="22" xfId="4" applyNumberFormat="1" applyFill="1" applyBorder="1" applyAlignment="1" applyProtection="1">
      <alignment vertical="center"/>
      <protection locked="0"/>
    </xf>
    <xf numFmtId="169" fontId="14" fillId="0" borderId="23" xfId="2" applyNumberFormat="1" applyBorder="1" applyAlignment="1" applyProtection="1">
      <alignment horizontal="left" vertical="center" wrapText="1"/>
    </xf>
    <xf numFmtId="0" fontId="0" fillId="0" borderId="24" xfId="0" applyBorder="1" applyAlignment="1">
      <alignment vertical="center" wrapText="1"/>
    </xf>
    <xf numFmtId="170" fontId="14" fillId="8" borderId="26" xfId="4" applyNumberFormat="1" applyFill="1" applyBorder="1" applyAlignment="1" applyProtection="1">
      <alignment vertical="center"/>
      <protection locked="0"/>
    </xf>
    <xf numFmtId="170" fontId="14" fillId="8" borderId="27" xfId="4" applyNumberFormat="1" applyFill="1" applyBorder="1" applyAlignment="1" applyProtection="1">
      <alignment vertical="center"/>
      <protection locked="0"/>
    </xf>
    <xf numFmtId="170" fontId="14" fillId="8" borderId="28" xfId="4" applyNumberFormat="1" applyFill="1" applyBorder="1" applyAlignment="1" applyProtection="1">
      <alignment vertical="center"/>
      <protection locked="0"/>
    </xf>
    <xf numFmtId="171" fontId="4" fillId="0" borderId="20" xfId="4" applyNumberFormat="1" applyFont="1" applyFill="1" applyBorder="1" applyAlignment="1" applyProtection="1">
      <alignment vertical="center"/>
    </xf>
    <xf numFmtId="171" fontId="4" fillId="0" borderId="21" xfId="4" applyNumberFormat="1" applyFont="1" applyFill="1" applyBorder="1" applyAlignment="1" applyProtection="1">
      <alignment vertical="center"/>
    </xf>
    <xf numFmtId="171" fontId="4" fillId="0" borderId="22" xfId="4" applyNumberFormat="1" applyFont="1" applyFill="1" applyBorder="1" applyAlignment="1" applyProtection="1">
      <alignment vertical="center"/>
    </xf>
    <xf numFmtId="171" fontId="4" fillId="0" borderId="16" xfId="4" applyNumberFormat="1" applyFont="1" applyFill="1" applyBorder="1" applyAlignment="1" applyProtection="1">
      <alignment vertical="center"/>
    </xf>
    <xf numFmtId="171" fontId="4" fillId="0" borderId="26" xfId="4" applyNumberFormat="1" applyFont="1" applyFill="1" applyBorder="1" applyAlignment="1" applyProtection="1">
      <alignment vertical="center"/>
    </xf>
    <xf numFmtId="171" fontId="4" fillId="0" borderId="27" xfId="4" applyNumberFormat="1" applyFont="1" applyFill="1" applyBorder="1" applyAlignment="1" applyProtection="1">
      <alignment vertical="center"/>
    </xf>
    <xf numFmtId="171" fontId="4" fillId="0" borderId="25" xfId="4" applyNumberFormat="1" applyFont="1" applyFill="1" applyBorder="1" applyAlignment="1" applyProtection="1">
      <alignment vertical="center"/>
    </xf>
    <xf numFmtId="174" fontId="14" fillId="0" borderId="0" xfId="2" applyNumberFormat="1" applyFont="1" applyFill="1" applyBorder="1" applyAlignment="1" applyProtection="1">
      <alignment vertical="center"/>
    </xf>
    <xf numFmtId="0" fontId="2" fillId="9" borderId="1" xfId="0" applyFont="1" applyFill="1" applyBorder="1" applyAlignment="1">
      <alignment horizontal="center" vertical="center" wrapText="1"/>
    </xf>
    <xf numFmtId="174" fontId="2" fillId="9" borderId="1" xfId="2" applyNumberFormat="1" applyFont="1" applyFill="1" applyBorder="1" applyAlignment="1" applyProtection="1">
      <alignment horizontal="center" vertical="center" wrapText="1"/>
    </xf>
    <xf numFmtId="0" fontId="7" fillId="9" borderId="2" xfId="0" applyFont="1" applyFill="1" applyBorder="1" applyAlignment="1">
      <alignment horizontal="center" vertical="center"/>
    </xf>
    <xf numFmtId="0" fontId="2" fillId="10" borderId="29" xfId="0" applyFont="1" applyFill="1" applyBorder="1" applyAlignment="1">
      <alignment horizontal="center" vertical="center"/>
    </xf>
    <xf numFmtId="0" fontId="7" fillId="11" borderId="30" xfId="0" applyFont="1" applyFill="1" applyBorder="1" applyAlignment="1">
      <alignment horizontal="left" vertical="center"/>
    </xf>
    <xf numFmtId="165" fontId="2" fillId="12" borderId="11" xfId="4" applyNumberFormat="1" applyFont="1" applyFill="1" applyBorder="1" applyAlignment="1">
      <alignment vertical="center"/>
    </xf>
    <xf numFmtId="165" fontId="7" fillId="13" borderId="11" xfId="4" applyNumberFormat="1" applyFont="1" applyFill="1" applyBorder="1" applyAlignment="1">
      <alignment vertical="center"/>
    </xf>
    <xf numFmtId="165" fontId="7" fillId="11" borderId="9" xfId="4" applyNumberFormat="1" applyFont="1" applyFill="1" applyBorder="1" applyAlignment="1">
      <alignment horizontal="center" vertical="center"/>
    </xf>
    <xf numFmtId="0" fontId="2" fillId="14" borderId="31" xfId="0" applyFont="1" applyFill="1" applyBorder="1" applyAlignment="1">
      <alignment horizontal="center" vertical="center" wrapText="1"/>
    </xf>
    <xf numFmtId="0" fontId="7" fillId="14" borderId="30" xfId="0" applyFont="1" applyFill="1" applyBorder="1" applyAlignment="1">
      <alignment horizontal="left" vertical="center"/>
    </xf>
    <xf numFmtId="165" fontId="7" fillId="14" borderId="11" xfId="4" applyNumberFormat="1" applyFont="1" applyFill="1" applyBorder="1" applyAlignment="1">
      <alignment horizontal="center" vertical="center"/>
    </xf>
    <xf numFmtId="165" fontId="2" fillId="15" borderId="11" xfId="4" applyNumberFormat="1" applyFont="1" applyFill="1" applyBorder="1" applyAlignment="1">
      <alignment vertical="center"/>
    </xf>
    <xf numFmtId="165" fontId="7" fillId="14" borderId="9" xfId="4" applyNumberFormat="1" applyFont="1" applyFill="1" applyBorder="1" applyAlignment="1">
      <alignment horizontal="center" vertical="center"/>
    </xf>
    <xf numFmtId="1" fontId="0" fillId="0" borderId="31" xfId="0" applyNumberFormat="1" applyBorder="1" applyAlignment="1">
      <alignment horizontal="center" vertical="center" wrapText="1"/>
    </xf>
    <xf numFmtId="175" fontId="8" fillId="0" borderId="30" xfId="0" applyNumberFormat="1" applyFont="1" applyBorder="1" applyAlignment="1">
      <alignment horizontal="left"/>
    </xf>
    <xf numFmtId="165" fontId="4" fillId="16" borderId="11" xfId="4" applyNumberFormat="1" applyFont="1" applyFill="1" applyBorder="1" applyAlignment="1">
      <alignment vertical="center"/>
    </xf>
    <xf numFmtId="165" fontId="8" fillId="17" borderId="11" xfId="4" applyNumberFormat="1" applyFont="1" applyFill="1" applyBorder="1" applyAlignment="1">
      <alignment vertical="center"/>
    </xf>
    <xf numFmtId="165" fontId="7" fillId="18" borderId="9" xfId="4" applyNumberFormat="1" applyFont="1" applyFill="1" applyBorder="1" applyAlignment="1">
      <alignment vertical="center"/>
    </xf>
    <xf numFmtId="165" fontId="4" fillId="8" borderId="7" xfId="4" applyNumberFormat="1" applyFont="1" applyFill="1" applyBorder="1" applyAlignment="1" applyProtection="1">
      <alignment vertical="center"/>
      <protection locked="0"/>
    </xf>
    <xf numFmtId="165" fontId="8" fillId="8" borderId="7" xfId="4" applyNumberFormat="1" applyFont="1" applyFill="1" applyBorder="1" applyAlignment="1" applyProtection="1">
      <alignment vertical="center"/>
      <protection locked="0"/>
    </xf>
    <xf numFmtId="169" fontId="8" fillId="8" borderId="7" xfId="2" applyNumberFormat="1" applyFont="1" applyFill="1" applyBorder="1" applyAlignment="1" applyProtection="1">
      <alignment vertical="center"/>
      <protection locked="0"/>
    </xf>
    <xf numFmtId="165" fontId="8" fillId="19" borderId="31" xfId="4" applyNumberFormat="1" applyFont="1" applyFill="1" applyBorder="1" applyAlignment="1">
      <alignment vertical="center"/>
    </xf>
    <xf numFmtId="165" fontId="7" fillId="18" borderId="32" xfId="4" applyNumberFormat="1" applyFont="1" applyFill="1" applyBorder="1" applyAlignment="1">
      <alignment vertical="center"/>
    </xf>
    <xf numFmtId="165" fontId="4" fillId="8" borderId="11" xfId="4" applyNumberFormat="1" applyFont="1" applyFill="1" applyBorder="1" applyAlignment="1" applyProtection="1">
      <alignment vertical="center"/>
      <protection locked="0"/>
    </xf>
    <xf numFmtId="165" fontId="8" fillId="8" borderId="11" xfId="4" applyNumberFormat="1" applyFont="1" applyFill="1" applyBorder="1" applyAlignment="1" applyProtection="1">
      <alignment vertical="center"/>
      <protection locked="0"/>
    </xf>
    <xf numFmtId="169" fontId="8" fillId="8" borderId="11" xfId="2" applyNumberFormat="1" applyFont="1" applyFill="1" applyBorder="1" applyAlignment="1" applyProtection="1">
      <alignment vertical="center"/>
      <protection locked="0"/>
    </xf>
    <xf numFmtId="165" fontId="8" fillId="19" borderId="29" xfId="4" applyNumberFormat="1" applyFont="1" applyFill="1" applyBorder="1" applyAlignment="1">
      <alignment vertical="center"/>
    </xf>
    <xf numFmtId="165" fontId="7" fillId="18" borderId="30" xfId="4" applyNumberFormat="1" applyFont="1" applyFill="1" applyBorder="1" applyAlignment="1">
      <alignment vertical="center"/>
    </xf>
    <xf numFmtId="165" fontId="7" fillId="15" borderId="11" xfId="4" applyNumberFormat="1" applyFont="1" applyFill="1" applyBorder="1" applyAlignment="1">
      <alignment vertical="center"/>
    </xf>
    <xf numFmtId="165" fontId="7" fillId="14" borderId="29" xfId="4" applyNumberFormat="1" applyFont="1" applyFill="1" applyBorder="1" applyAlignment="1">
      <alignment vertical="center"/>
    </xf>
    <xf numFmtId="165" fontId="7" fillId="14" borderId="33" xfId="4" applyNumberFormat="1" applyFont="1" applyFill="1" applyBorder="1" applyAlignment="1">
      <alignment horizontal="center" vertical="center"/>
    </xf>
    <xf numFmtId="165" fontId="7" fillId="14" borderId="31" xfId="4" applyNumberFormat="1" applyFont="1" applyFill="1" applyBorder="1" applyAlignment="1">
      <alignment horizontal="center" vertical="center"/>
    </xf>
    <xf numFmtId="165" fontId="4" fillId="20" borderId="11" xfId="4" applyNumberFormat="1" applyFont="1" applyFill="1" applyBorder="1" applyAlignment="1" applyProtection="1">
      <alignment vertical="center"/>
      <protection locked="0"/>
    </xf>
    <xf numFmtId="165" fontId="8" fillId="20" borderId="11" xfId="4" applyNumberFormat="1" applyFont="1" applyFill="1" applyBorder="1" applyAlignment="1" applyProtection="1">
      <alignment vertical="center"/>
      <protection locked="0"/>
    </xf>
    <xf numFmtId="169" fontId="8" fillId="20" borderId="11" xfId="2" applyNumberFormat="1" applyFont="1" applyFill="1" applyBorder="1" applyAlignment="1" applyProtection="1">
      <alignment vertical="center"/>
      <protection locked="0"/>
    </xf>
    <xf numFmtId="175" fontId="8" fillId="20" borderId="30" xfId="0" applyNumberFormat="1" applyFont="1" applyFill="1" applyBorder="1" applyAlignment="1">
      <alignment horizontal="left"/>
    </xf>
    <xf numFmtId="165" fontId="7" fillId="11" borderId="11" xfId="4" applyNumberFormat="1" applyFont="1" applyFill="1" applyBorder="1" applyAlignment="1">
      <alignment horizontal="center" vertical="center"/>
    </xf>
    <xf numFmtId="165" fontId="7" fillId="11" borderId="31" xfId="4" applyNumberFormat="1" applyFont="1" applyFill="1" applyBorder="1" applyAlignment="1">
      <alignment horizontal="center" vertical="center"/>
    </xf>
    <xf numFmtId="165" fontId="7" fillId="11" borderId="33" xfId="4" applyNumberFormat="1" applyFont="1" applyFill="1" applyBorder="1" applyAlignment="1">
      <alignment horizontal="center" vertical="center"/>
    </xf>
    <xf numFmtId="165" fontId="7" fillId="14" borderId="30" xfId="4" applyNumberFormat="1" applyFont="1" applyFill="1" applyBorder="1" applyAlignment="1">
      <alignment vertical="center"/>
    </xf>
    <xf numFmtId="175" fontId="8" fillId="21" borderId="30" xfId="0" applyNumberFormat="1" applyFont="1" applyFill="1" applyBorder="1" applyAlignment="1">
      <alignment horizontal="left"/>
    </xf>
    <xf numFmtId="165" fontId="4" fillId="22" borderId="11" xfId="4" applyNumberFormat="1" applyFont="1" applyFill="1" applyBorder="1" applyAlignment="1" applyProtection="1">
      <alignment vertical="center"/>
      <protection locked="0"/>
    </xf>
    <xf numFmtId="165" fontId="7" fillId="18" borderId="34" xfId="4" applyNumberFormat="1" applyFont="1" applyFill="1" applyBorder="1" applyAlignment="1">
      <alignment vertical="center"/>
    </xf>
    <xf numFmtId="1" fontId="0" fillId="0" borderId="35" xfId="0" applyNumberFormat="1" applyBorder="1" applyAlignment="1">
      <alignment horizontal="center" vertical="center" wrapText="1"/>
    </xf>
    <xf numFmtId="175" fontId="8" fillId="0" borderId="34" xfId="0" applyNumberFormat="1" applyFont="1" applyBorder="1" applyAlignment="1">
      <alignment horizontal="left"/>
    </xf>
    <xf numFmtId="165" fontId="8" fillId="19" borderId="36" xfId="4" applyNumberFormat="1" applyFont="1" applyFill="1" applyBorder="1" applyAlignment="1">
      <alignment vertical="center"/>
    </xf>
    <xf numFmtId="0" fontId="2" fillId="23" borderId="37" xfId="0" applyFont="1" applyFill="1" applyBorder="1" applyAlignment="1">
      <alignment horizontal="center" vertical="center" wrapText="1"/>
    </xf>
    <xf numFmtId="0" fontId="2" fillId="7" borderId="38" xfId="0" applyFont="1" applyFill="1" applyBorder="1" applyAlignment="1">
      <alignment vertical="center"/>
    </xf>
    <xf numFmtId="176" fontId="2" fillId="7" borderId="39" xfId="4" applyNumberFormat="1" applyFont="1" applyFill="1" applyBorder="1" applyAlignment="1">
      <alignment vertical="center"/>
    </xf>
    <xf numFmtId="176" fontId="2" fillId="24" borderId="38" xfId="4" applyNumberFormat="1" applyFont="1" applyFill="1" applyBorder="1" applyAlignment="1">
      <alignment vertical="center"/>
    </xf>
    <xf numFmtId="176" fontId="2" fillId="7" borderId="40" xfId="4" applyNumberFormat="1" applyFont="1" applyFill="1" applyBorder="1" applyAlignment="1">
      <alignment vertical="center"/>
    </xf>
    <xf numFmtId="165" fontId="14" fillId="20" borderId="11" xfId="4" applyNumberFormat="1" applyFont="1" applyFill="1" applyBorder="1" applyAlignment="1" applyProtection="1">
      <alignment vertical="center"/>
      <protection locked="0"/>
    </xf>
    <xf numFmtId="176" fontId="2" fillId="7" borderId="39" xfId="4" applyNumberFormat="1" applyFont="1" applyFill="1" applyBorder="1" applyAlignment="1" applyProtection="1">
      <alignment vertical="center"/>
    </xf>
    <xf numFmtId="176" fontId="2" fillId="24" borderId="38" xfId="4" applyNumberFormat="1" applyFont="1" applyFill="1" applyBorder="1" applyAlignment="1" applyProtection="1">
      <alignment vertical="center"/>
    </xf>
    <xf numFmtId="176" fontId="2" fillId="7" borderId="40" xfId="4" applyNumberFormat="1" applyFont="1" applyFill="1" applyBorder="1" applyAlignment="1" applyProtection="1">
      <alignment vertical="center"/>
    </xf>
    <xf numFmtId="0" fontId="0" fillId="25" borderId="0" xfId="0" applyFill="1"/>
    <xf numFmtId="0" fontId="0" fillId="25" borderId="0" xfId="0" applyFill="1" applyAlignment="1">
      <alignment horizontal="left" vertical="center"/>
    </xf>
    <xf numFmtId="0" fontId="2" fillId="27" borderId="16" xfId="0" applyFont="1" applyFill="1" applyBorder="1" applyAlignment="1">
      <alignment horizontal="center" vertical="center" wrapText="1"/>
    </xf>
    <xf numFmtId="0" fontId="2" fillId="27" borderId="17" xfId="0" applyFont="1" applyFill="1" applyBorder="1" applyAlignment="1">
      <alignment horizontal="center" vertical="center" wrapText="1"/>
    </xf>
    <xf numFmtId="0" fontId="0" fillId="8" borderId="21" xfId="0" applyFill="1" applyBorder="1" applyAlignment="1" applyProtection="1">
      <alignment horizontal="left" vertical="center"/>
      <protection locked="0"/>
    </xf>
    <xf numFmtId="171" fontId="4" fillId="8" borderId="21" xfId="4" applyNumberFormat="1" applyFont="1" applyFill="1" applyBorder="1" applyAlignment="1" applyProtection="1">
      <alignment vertical="center"/>
      <protection locked="0"/>
    </xf>
    <xf numFmtId="171" fontId="4" fillId="8" borderId="19" xfId="4" applyNumberFormat="1" applyFont="1" applyFill="1" applyBorder="1" applyAlignment="1" applyProtection="1">
      <alignment vertical="center"/>
      <protection locked="0"/>
    </xf>
    <xf numFmtId="177" fontId="0" fillId="19" borderId="41" xfId="0" applyNumberFormat="1" applyFill="1" applyBorder="1" applyAlignment="1">
      <alignment horizontal="right" vertical="center"/>
    </xf>
    <xf numFmtId="177" fontId="0" fillId="0" borderId="41" xfId="0" applyNumberFormat="1" applyBorder="1" applyAlignment="1">
      <alignment horizontal="right" vertical="center"/>
    </xf>
    <xf numFmtId="0" fontId="0" fillId="8" borderId="11" xfId="0" applyFill="1" applyBorder="1" applyAlignment="1" applyProtection="1">
      <alignment horizontal="left" vertical="center"/>
      <protection locked="0"/>
    </xf>
    <xf numFmtId="171" fontId="4" fillId="8" borderId="11" xfId="4" applyNumberFormat="1" applyFont="1" applyFill="1" applyBorder="1" applyAlignment="1" applyProtection="1">
      <alignment vertical="center"/>
      <protection locked="0"/>
    </xf>
    <xf numFmtId="177" fontId="0" fillId="19" borderId="42" xfId="0" applyNumberFormat="1" applyFill="1" applyBorder="1" applyAlignment="1">
      <alignment horizontal="right" vertical="center"/>
    </xf>
    <xf numFmtId="177" fontId="0" fillId="0" borderId="42" xfId="0" applyNumberFormat="1" applyBorder="1" applyAlignment="1">
      <alignment horizontal="right" vertical="center"/>
    </xf>
    <xf numFmtId="0" fontId="0" fillId="8" borderId="23" xfId="0" applyFill="1" applyBorder="1" applyAlignment="1" applyProtection="1">
      <alignment horizontal="left" vertical="center"/>
      <protection locked="0"/>
    </xf>
    <xf numFmtId="0" fontId="0" fillId="8" borderId="26" xfId="0" applyFill="1" applyBorder="1" applyAlignment="1" applyProtection="1">
      <alignment horizontal="left" vertical="center"/>
      <protection locked="0"/>
    </xf>
    <xf numFmtId="0" fontId="0" fillId="8" borderId="26" xfId="0" applyFill="1" applyBorder="1" applyProtection="1">
      <protection locked="0"/>
    </xf>
    <xf numFmtId="0" fontId="0" fillId="8" borderId="24" xfId="0" applyFill="1" applyBorder="1" applyProtection="1">
      <protection locked="0"/>
    </xf>
    <xf numFmtId="171" fontId="4" fillId="8" borderId="26" xfId="4" applyNumberFormat="1" applyFont="1" applyFill="1" applyBorder="1" applyAlignment="1" applyProtection="1">
      <alignment vertical="center"/>
      <protection locked="0"/>
    </xf>
    <xf numFmtId="171" fontId="4" fillId="8" borderId="24" xfId="4" applyNumberFormat="1" applyFont="1" applyFill="1" applyBorder="1" applyAlignment="1" applyProtection="1">
      <alignment vertical="center"/>
      <protection locked="0"/>
    </xf>
    <xf numFmtId="177" fontId="0" fillId="19" borderId="43" xfId="0" applyNumberFormat="1" applyFill="1" applyBorder="1" applyAlignment="1">
      <alignment horizontal="right" vertical="center"/>
    </xf>
    <xf numFmtId="177" fontId="0" fillId="0" borderId="43" xfId="0" applyNumberFormat="1" applyBorder="1" applyAlignment="1">
      <alignment horizontal="right" vertical="center"/>
    </xf>
    <xf numFmtId="0" fontId="0" fillId="8" borderId="16" xfId="0" applyFill="1" applyBorder="1" applyAlignment="1" applyProtection="1">
      <alignment horizontal="left" vertical="center"/>
      <protection locked="0"/>
    </xf>
    <xf numFmtId="177" fontId="5" fillId="28" borderId="44" xfId="0" applyNumberFormat="1" applyFont="1" applyFill="1" applyBorder="1" applyAlignment="1">
      <alignment horizontal="right" vertical="center"/>
    </xf>
    <xf numFmtId="9" fontId="19" fillId="26" borderId="123" xfId="11" applyFont="1" applyFill="1" applyBorder="1" applyAlignment="1" applyProtection="1">
      <alignment horizontal="center" vertical="center"/>
    </xf>
    <xf numFmtId="0" fontId="0" fillId="8" borderId="4" xfId="0" applyFill="1" applyBorder="1" applyAlignment="1" applyProtection="1">
      <alignment horizontal="left" vertical="center"/>
      <protection locked="0"/>
    </xf>
    <xf numFmtId="0" fontId="0" fillId="8" borderId="7" xfId="0" applyFill="1" applyBorder="1" applyAlignment="1" applyProtection="1">
      <alignment horizontal="left" vertical="center"/>
      <protection locked="0"/>
    </xf>
    <xf numFmtId="177" fontId="0" fillId="25" borderId="0" xfId="0" applyNumberFormat="1" applyFill="1"/>
    <xf numFmtId="9" fontId="2" fillId="0" borderId="0" xfId="0" applyNumberFormat="1" applyFont="1" applyAlignment="1">
      <alignment vertical="center"/>
    </xf>
    <xf numFmtId="179" fontId="2" fillId="0" borderId="0" xfId="0" applyNumberFormat="1" applyFont="1" applyAlignment="1">
      <alignment vertical="center"/>
    </xf>
    <xf numFmtId="165" fontId="2" fillId="4" borderId="15" xfId="0" applyNumberFormat="1" applyFont="1" applyFill="1" applyBorder="1" applyAlignment="1">
      <alignment horizontal="center" vertical="center" wrapText="1"/>
    </xf>
    <xf numFmtId="165" fontId="2" fillId="4" borderId="16" xfId="0" applyNumberFormat="1" applyFont="1" applyFill="1" applyBorder="1" applyAlignment="1">
      <alignment horizontal="center" vertical="center" wrapText="1"/>
    </xf>
    <xf numFmtId="165" fontId="2" fillId="4" borderId="17" xfId="0" applyNumberFormat="1" applyFont="1" applyFill="1" applyBorder="1" applyAlignment="1">
      <alignment horizontal="center" vertical="center" wrapText="1"/>
    </xf>
    <xf numFmtId="165" fontId="2" fillId="29" borderId="15" xfId="0" applyNumberFormat="1" applyFont="1" applyFill="1" applyBorder="1" applyAlignment="1">
      <alignment horizontal="center" vertical="center" wrapText="1"/>
    </xf>
    <xf numFmtId="165" fontId="2" fillId="29" borderId="16" xfId="0" applyNumberFormat="1" applyFont="1" applyFill="1" applyBorder="1" applyAlignment="1">
      <alignment horizontal="center" vertical="center" wrapText="1"/>
    </xf>
    <xf numFmtId="165" fontId="2" fillId="29" borderId="17" xfId="0" applyNumberFormat="1" applyFont="1" applyFill="1" applyBorder="1" applyAlignment="1">
      <alignment horizontal="center" vertical="center" wrapText="1"/>
    </xf>
    <xf numFmtId="165" fontId="4" fillId="19" borderId="20" xfId="4" applyNumberFormat="1" applyFont="1" applyFill="1" applyBorder="1" applyAlignment="1" applyProtection="1">
      <alignment vertical="center"/>
    </xf>
    <xf numFmtId="165" fontId="4" fillId="19" borderId="21" xfId="4" applyNumberFormat="1" applyFont="1" applyFill="1" applyBorder="1" applyAlignment="1" applyProtection="1">
      <alignment vertical="center"/>
    </xf>
    <xf numFmtId="165" fontId="4" fillId="19" borderId="22" xfId="4" applyNumberFormat="1" applyFont="1" applyFill="1" applyBorder="1" applyAlignment="1" applyProtection="1">
      <alignment vertical="center"/>
    </xf>
    <xf numFmtId="165" fontId="4" fillId="30" borderId="20" xfId="4" applyNumberFormat="1" applyFont="1" applyFill="1" applyBorder="1" applyAlignment="1" applyProtection="1">
      <alignment vertical="center"/>
    </xf>
    <xf numFmtId="165" fontId="4" fillId="30" borderId="21" xfId="4" applyNumberFormat="1" applyFont="1" applyFill="1" applyBorder="1" applyAlignment="1" applyProtection="1">
      <alignment vertical="center"/>
    </xf>
    <xf numFmtId="165" fontId="4" fillId="30" borderId="22" xfId="4" applyNumberFormat="1" applyFont="1" applyFill="1" applyBorder="1" applyAlignment="1" applyProtection="1">
      <alignment vertical="center"/>
    </xf>
    <xf numFmtId="165" fontId="14" fillId="0" borderId="20" xfId="4" applyNumberFormat="1" applyFont="1" applyFill="1" applyBorder="1" applyAlignment="1" applyProtection="1">
      <alignment vertical="center"/>
    </xf>
    <xf numFmtId="165" fontId="14" fillId="0" borderId="21" xfId="4" applyNumberFormat="1" applyFont="1" applyFill="1" applyBorder="1" applyAlignment="1" applyProtection="1">
      <alignment vertical="center"/>
    </xf>
    <xf numFmtId="165" fontId="14" fillId="0" borderId="19" xfId="4" applyNumberFormat="1" applyFont="1" applyFill="1" applyBorder="1" applyAlignment="1" applyProtection="1">
      <alignment vertical="center"/>
    </xf>
    <xf numFmtId="166" fontId="14" fillId="0" borderId="20" xfId="11" applyNumberFormat="1" applyFont="1" applyBorder="1" applyAlignment="1" applyProtection="1">
      <alignment horizontal="center" vertical="center"/>
    </xf>
    <xf numFmtId="166" fontId="14" fillId="0" borderId="21" xfId="11" applyNumberFormat="1" applyFont="1" applyBorder="1" applyAlignment="1" applyProtection="1">
      <alignment horizontal="center" vertical="center"/>
    </xf>
    <xf numFmtId="165" fontId="4" fillId="19" borderId="10" xfId="4" applyNumberFormat="1" applyFont="1" applyFill="1" applyBorder="1" applyAlignment="1" applyProtection="1">
      <alignment vertical="center"/>
    </xf>
    <xf numFmtId="165" fontId="4" fillId="30" borderId="10" xfId="4" applyNumberFormat="1" applyFont="1" applyFill="1" applyBorder="1" applyAlignment="1" applyProtection="1">
      <alignment vertical="center"/>
    </xf>
    <xf numFmtId="165" fontId="14" fillId="0" borderId="10" xfId="4" applyNumberFormat="1" applyFont="1" applyFill="1" applyBorder="1" applyAlignment="1" applyProtection="1">
      <alignment vertical="center"/>
    </xf>
    <xf numFmtId="165" fontId="14" fillId="0" borderId="11" xfId="4" applyNumberFormat="1" applyFont="1" applyFill="1" applyBorder="1" applyAlignment="1" applyProtection="1">
      <alignment vertical="center"/>
    </xf>
    <xf numFmtId="165" fontId="14" fillId="0" borderId="9" xfId="4" applyNumberFormat="1" applyFont="1" applyFill="1" applyBorder="1" applyAlignment="1" applyProtection="1">
      <alignment vertical="center"/>
    </xf>
    <xf numFmtId="166" fontId="14" fillId="0" borderId="10" xfId="11" applyNumberFormat="1" applyFont="1" applyBorder="1" applyAlignment="1" applyProtection="1">
      <alignment horizontal="center" vertical="center"/>
    </xf>
    <xf numFmtId="165" fontId="4" fillId="17" borderId="10" xfId="4" applyNumberFormat="1" applyFont="1" applyFill="1" applyBorder="1" applyAlignment="1" applyProtection="1">
      <alignment vertical="center"/>
    </xf>
    <xf numFmtId="165" fontId="4" fillId="17" borderId="11" xfId="4" applyNumberFormat="1" applyFont="1" applyFill="1" applyBorder="1" applyAlignment="1" applyProtection="1">
      <alignment vertical="center"/>
    </xf>
    <xf numFmtId="165" fontId="4" fillId="17" borderId="12" xfId="4" applyNumberFormat="1" applyFont="1" applyFill="1" applyBorder="1" applyAlignment="1" applyProtection="1">
      <alignment vertical="center"/>
    </xf>
    <xf numFmtId="165" fontId="4" fillId="31" borderId="10" xfId="4" applyNumberFormat="1" applyFont="1" applyFill="1" applyBorder="1" applyAlignment="1" applyProtection="1">
      <alignment vertical="center"/>
    </xf>
    <xf numFmtId="165" fontId="14" fillId="1" borderId="10" xfId="4" applyNumberFormat="1" applyFont="1" applyFill="1" applyBorder="1" applyAlignment="1" applyProtection="1">
      <alignment vertical="center"/>
    </xf>
    <xf numFmtId="165" fontId="14" fillId="1" borderId="11" xfId="4" applyNumberFormat="1" applyFont="1" applyFill="1" applyBorder="1" applyAlignment="1" applyProtection="1">
      <alignment vertical="center"/>
    </xf>
    <xf numFmtId="165" fontId="14" fillId="1" borderId="9" xfId="4" applyNumberFormat="1" applyFont="1" applyFill="1" applyBorder="1" applyAlignment="1" applyProtection="1">
      <alignment vertical="center"/>
    </xf>
    <xf numFmtId="166" fontId="14" fillId="1" borderId="10" xfId="11" applyNumberFormat="1" applyFont="1" applyFill="1" applyBorder="1" applyAlignment="1" applyProtection="1">
      <alignment horizontal="center" vertical="center"/>
    </xf>
    <xf numFmtId="165" fontId="4" fillId="19" borderId="26" xfId="4" applyNumberFormat="1" applyFont="1" applyFill="1" applyBorder="1" applyAlignment="1" applyProtection="1">
      <alignment vertical="center"/>
    </xf>
    <xf numFmtId="165" fontId="4" fillId="19" borderId="27" xfId="4" applyNumberFormat="1" applyFont="1" applyFill="1" applyBorder="1" applyAlignment="1" applyProtection="1">
      <alignment vertical="center"/>
    </xf>
    <xf numFmtId="165" fontId="4" fillId="31" borderId="25" xfId="4" applyNumberFormat="1" applyFont="1" applyFill="1" applyBorder="1" applyAlignment="1" applyProtection="1">
      <alignment vertical="center"/>
    </xf>
    <xf numFmtId="165" fontId="4" fillId="30" borderId="26" xfId="4" applyNumberFormat="1" applyFont="1" applyFill="1" applyBorder="1" applyAlignment="1" applyProtection="1">
      <alignment vertical="center"/>
    </xf>
    <xf numFmtId="165" fontId="4" fillId="30" borderId="27" xfId="4" applyNumberFormat="1" applyFont="1" applyFill="1" applyBorder="1" applyAlignment="1" applyProtection="1">
      <alignment vertical="center"/>
    </xf>
    <xf numFmtId="165" fontId="14" fillId="1" borderId="25" xfId="4" applyNumberFormat="1" applyFont="1" applyFill="1" applyBorder="1" applyAlignment="1" applyProtection="1">
      <alignment vertical="center"/>
    </xf>
    <xf numFmtId="165" fontId="14" fillId="0" borderId="26" xfId="4" applyNumberFormat="1" applyFont="1" applyFill="1" applyBorder="1" applyAlignment="1" applyProtection="1">
      <alignment vertical="center"/>
    </xf>
    <xf numFmtId="165" fontId="14" fillId="0" borderId="24" xfId="4" applyNumberFormat="1" applyFont="1" applyFill="1" applyBorder="1" applyAlignment="1" applyProtection="1">
      <alignment vertical="center"/>
    </xf>
    <xf numFmtId="166" fontId="14" fillId="1" borderId="25" xfId="11" applyNumberFormat="1" applyFont="1" applyFill="1" applyBorder="1" applyAlignment="1" applyProtection="1">
      <alignment horizontal="center" vertical="center"/>
    </xf>
    <xf numFmtId="166" fontId="14" fillId="1" borderId="26" xfId="11" applyNumberFormat="1" applyFont="1" applyFill="1" applyBorder="1" applyAlignment="1" applyProtection="1">
      <alignment horizontal="center" vertical="center"/>
    </xf>
    <xf numFmtId="166" fontId="14" fillId="1" borderId="27" xfId="11" applyNumberFormat="1" applyFont="1" applyFill="1" applyBorder="1" applyAlignment="1" applyProtection="1">
      <alignment horizontal="center" vertical="center"/>
    </xf>
    <xf numFmtId="165" fontId="4" fillId="19" borderId="6" xfId="4" applyNumberFormat="1" applyFont="1" applyFill="1" applyBorder="1" applyAlignment="1" applyProtection="1">
      <alignment vertical="center"/>
    </xf>
    <xf numFmtId="165" fontId="4" fillId="30" borderId="6" xfId="4" applyNumberFormat="1" applyFont="1" applyFill="1" applyBorder="1" applyAlignment="1" applyProtection="1">
      <alignment vertical="center"/>
    </xf>
    <xf numFmtId="165" fontId="14" fillId="0" borderId="6" xfId="4" applyNumberFormat="1" applyFont="1" applyFill="1" applyBorder="1" applyAlignment="1" applyProtection="1">
      <alignment vertical="center"/>
    </xf>
    <xf numFmtId="165" fontId="14" fillId="0" borderId="7" xfId="4" applyNumberFormat="1" applyFont="1" applyFill="1" applyBorder="1" applyAlignment="1" applyProtection="1">
      <alignment vertical="center"/>
    </xf>
    <xf numFmtId="165" fontId="14" fillId="0" borderId="5" xfId="4" applyNumberFormat="1" applyFont="1" applyFill="1" applyBorder="1" applyAlignment="1" applyProtection="1">
      <alignment vertical="center"/>
    </xf>
    <xf numFmtId="165" fontId="4" fillId="31" borderId="15" xfId="4" applyNumberFormat="1" applyFont="1" applyFill="1" applyBorder="1" applyAlignment="1" applyProtection="1">
      <alignment vertical="center"/>
    </xf>
    <xf numFmtId="165" fontId="4" fillId="30" borderId="16" xfId="4" applyNumberFormat="1" applyFont="1" applyFill="1" applyBorder="1" applyAlignment="1" applyProtection="1">
      <alignment vertical="center"/>
    </xf>
    <xf numFmtId="165" fontId="4" fillId="30" borderId="17" xfId="4" applyNumberFormat="1" applyFont="1" applyFill="1" applyBorder="1" applyAlignment="1" applyProtection="1">
      <alignment vertical="center"/>
    </xf>
    <xf numFmtId="165" fontId="14" fillId="1" borderId="15" xfId="4" applyNumberFormat="1" applyFont="1" applyFill="1" applyBorder="1" applyAlignment="1" applyProtection="1">
      <alignment vertical="center"/>
    </xf>
    <xf numFmtId="165" fontId="14" fillId="0" borderId="16" xfId="4" applyNumberFormat="1" applyFont="1" applyFill="1" applyBorder="1" applyAlignment="1" applyProtection="1">
      <alignment vertical="center"/>
    </xf>
    <xf numFmtId="165" fontId="14" fillId="0" borderId="14" xfId="4" applyNumberFormat="1" applyFont="1" applyFill="1" applyBorder="1" applyAlignment="1" applyProtection="1">
      <alignment vertical="center"/>
    </xf>
    <xf numFmtId="165" fontId="4" fillId="17" borderId="6" xfId="4" applyNumberFormat="1" applyFont="1" applyFill="1" applyBorder="1" applyAlignment="1" applyProtection="1">
      <alignment vertical="center"/>
    </xf>
    <xf numFmtId="165" fontId="4" fillId="31" borderId="6" xfId="4" applyNumberFormat="1" applyFont="1" applyFill="1" applyBorder="1" applyAlignment="1" applyProtection="1">
      <alignment vertical="center"/>
    </xf>
    <xf numFmtId="165" fontId="14" fillId="1" borderId="6" xfId="4" applyNumberFormat="1" applyFont="1" applyFill="1" applyBorder="1" applyAlignment="1" applyProtection="1">
      <alignment vertical="center"/>
    </xf>
    <xf numFmtId="165" fontId="4" fillId="19" borderId="25" xfId="4" applyNumberFormat="1" applyFont="1" applyFill="1" applyBorder="1" applyAlignment="1" applyProtection="1">
      <alignment vertical="center"/>
    </xf>
    <xf numFmtId="165" fontId="14" fillId="0" borderId="25" xfId="4" applyNumberFormat="1" applyFont="1" applyFill="1" applyBorder="1" applyAlignment="1" applyProtection="1">
      <alignment vertical="center"/>
    </xf>
    <xf numFmtId="166" fontId="14" fillId="0" borderId="25" xfId="11" applyNumberFormat="1" applyFont="1" applyBorder="1" applyAlignment="1" applyProtection="1">
      <alignment horizontal="center" vertical="center"/>
    </xf>
    <xf numFmtId="165" fontId="4" fillId="31" borderId="20" xfId="4" applyNumberFormat="1" applyFont="1" applyFill="1" applyBorder="1" applyAlignment="1" applyProtection="1">
      <alignment vertical="center"/>
    </xf>
    <xf numFmtId="165" fontId="14" fillId="1" borderId="20" xfId="4" applyNumberFormat="1" applyFont="1" applyFill="1" applyBorder="1" applyAlignment="1" applyProtection="1">
      <alignment vertical="center"/>
    </xf>
    <xf numFmtId="166" fontId="14" fillId="1" borderId="20" xfId="11" applyNumberFormat="1" applyFont="1" applyFill="1" applyBorder="1" applyAlignment="1" applyProtection="1">
      <alignment horizontal="center" vertical="center"/>
    </xf>
    <xf numFmtId="0" fontId="0" fillId="21" borderId="0" xfId="0" applyFill="1"/>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applyAlignment="1">
      <alignment horizontal="right" vertical="center"/>
    </xf>
    <xf numFmtId="0" fontId="21" fillId="8" borderId="11" xfId="0" applyFont="1" applyFill="1" applyBorder="1" applyAlignment="1" applyProtection="1">
      <alignment horizontal="left" vertical="center"/>
      <protection locked="0"/>
    </xf>
    <xf numFmtId="0" fontId="0" fillId="8" borderId="20" xfId="0" applyFill="1" applyBorder="1" applyAlignment="1" applyProtection="1">
      <alignment horizontal="left" vertical="center"/>
      <protection locked="0"/>
    </xf>
    <xf numFmtId="0" fontId="2" fillId="0" borderId="35"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27" borderId="15" xfId="0" applyFont="1" applyFill="1" applyBorder="1" applyAlignment="1">
      <alignment horizontal="center" vertical="center" wrapText="1"/>
    </xf>
    <xf numFmtId="0" fontId="2" fillId="29" borderId="13" xfId="0" applyFont="1" applyFill="1" applyBorder="1" applyAlignment="1">
      <alignment horizontal="center" vertical="center"/>
    </xf>
    <xf numFmtId="176" fontId="14" fillId="0" borderId="46" xfId="4" applyNumberFormat="1" applyFont="1" applyFill="1" applyBorder="1" applyAlignment="1" applyProtection="1">
      <alignment vertical="center"/>
    </xf>
    <xf numFmtId="180" fontId="14" fillId="30" borderId="20" xfId="11" applyNumberFormat="1" applyFill="1" applyBorder="1" applyAlignment="1" applyProtection="1">
      <alignment horizontal="center" vertical="center"/>
    </xf>
    <xf numFmtId="180" fontId="14" fillId="30" borderId="21" xfId="11" applyNumberFormat="1" applyFill="1" applyBorder="1" applyAlignment="1" applyProtection="1">
      <alignment horizontal="center" vertical="center"/>
    </xf>
    <xf numFmtId="180" fontId="14" fillId="30" borderId="22" xfId="11" applyNumberFormat="1" applyFill="1" applyBorder="1" applyAlignment="1" applyProtection="1">
      <alignment horizontal="center" vertical="center"/>
    </xf>
    <xf numFmtId="165" fontId="4" fillId="19" borderId="47" xfId="4" applyNumberFormat="1" applyFont="1" applyFill="1" applyBorder="1" applyAlignment="1" applyProtection="1">
      <alignment vertical="center"/>
    </xf>
    <xf numFmtId="180" fontId="14" fillId="30" borderId="10" xfId="11" applyNumberFormat="1" applyFill="1" applyBorder="1" applyAlignment="1" applyProtection="1">
      <alignment horizontal="center" vertical="center"/>
    </xf>
    <xf numFmtId="180" fontId="14" fillId="30" borderId="11" xfId="11" applyNumberFormat="1" applyFill="1" applyBorder="1" applyAlignment="1" applyProtection="1">
      <alignment horizontal="center" vertical="center"/>
    </xf>
    <xf numFmtId="180" fontId="14" fillId="30" borderId="12" xfId="11" applyNumberFormat="1" applyFill="1" applyBorder="1" applyAlignment="1" applyProtection="1">
      <alignment horizontal="center" vertical="center"/>
    </xf>
    <xf numFmtId="165" fontId="4" fillId="19" borderId="48" xfId="4" applyNumberFormat="1" applyFont="1" applyFill="1" applyBorder="1" applyAlignment="1" applyProtection="1">
      <alignment vertical="center"/>
    </xf>
    <xf numFmtId="176" fontId="2" fillId="0" borderId="40" xfId="4" applyNumberFormat="1" applyFont="1" applyFill="1" applyBorder="1" applyAlignment="1" applyProtection="1">
      <alignment vertical="center"/>
    </xf>
    <xf numFmtId="180" fontId="14" fillId="31" borderId="10" xfId="11" applyNumberFormat="1" applyFill="1" applyBorder="1" applyAlignment="1" applyProtection="1">
      <alignment horizontal="center" vertical="center"/>
    </xf>
    <xf numFmtId="180" fontId="14" fillId="31" borderId="11" xfId="11" applyNumberFormat="1" applyFill="1" applyBorder="1" applyAlignment="1" applyProtection="1">
      <alignment horizontal="center" vertical="center"/>
    </xf>
    <xf numFmtId="180" fontId="14" fillId="31" borderId="12" xfId="11" applyNumberFormat="1" applyFill="1" applyBorder="1" applyAlignment="1" applyProtection="1">
      <alignment horizontal="center" vertical="center"/>
    </xf>
    <xf numFmtId="165" fontId="4" fillId="17" borderId="48" xfId="4" applyNumberFormat="1" applyFont="1" applyFill="1" applyBorder="1" applyAlignment="1" applyProtection="1">
      <alignment vertical="center"/>
    </xf>
    <xf numFmtId="165" fontId="4" fillId="8" borderId="12" xfId="4" applyNumberFormat="1" applyFont="1" applyFill="1" applyBorder="1" applyAlignment="1" applyProtection="1">
      <alignment vertical="center"/>
      <protection locked="0"/>
    </xf>
    <xf numFmtId="176" fontId="14" fillId="0" borderId="49" xfId="4" applyNumberFormat="1" applyFont="1" applyFill="1" applyBorder="1" applyAlignment="1" applyProtection="1">
      <alignment horizontal="right" vertical="center"/>
    </xf>
    <xf numFmtId="180" fontId="14" fillId="30" borderId="25" xfId="11" applyNumberFormat="1" applyFill="1" applyBorder="1" applyAlignment="1" applyProtection="1">
      <alignment horizontal="center" vertical="center"/>
    </xf>
    <xf numFmtId="180" fontId="14" fillId="30" borderId="26" xfId="11" applyNumberFormat="1" applyFill="1" applyBorder="1" applyAlignment="1" applyProtection="1">
      <alignment horizontal="center" vertical="center"/>
    </xf>
    <xf numFmtId="180" fontId="14" fillId="30" borderId="27" xfId="11" applyNumberFormat="1" applyFill="1" applyBorder="1" applyAlignment="1" applyProtection="1">
      <alignment horizontal="center" vertical="center"/>
    </xf>
    <xf numFmtId="165" fontId="4" fillId="8" borderId="26" xfId="4" applyNumberFormat="1" applyFont="1" applyFill="1" applyBorder="1" applyAlignment="1" applyProtection="1">
      <alignment vertical="center"/>
      <protection locked="0"/>
    </xf>
    <xf numFmtId="165" fontId="4" fillId="19" borderId="50" xfId="4" applyNumberFormat="1" applyFont="1" applyFill="1" applyBorder="1" applyAlignment="1" applyProtection="1">
      <alignment vertical="center"/>
    </xf>
    <xf numFmtId="0" fontId="0" fillId="8" borderId="124" xfId="0" applyFill="1" applyBorder="1" applyAlignment="1" applyProtection="1">
      <alignment horizontal="left" vertical="center"/>
      <protection locked="0"/>
    </xf>
    <xf numFmtId="165" fontId="4" fillId="8" borderId="21" xfId="4" applyNumberFormat="1" applyFont="1" applyFill="1" applyBorder="1" applyAlignment="1" applyProtection="1">
      <alignment vertical="center"/>
      <protection locked="0"/>
    </xf>
    <xf numFmtId="165" fontId="4" fillId="8" borderId="22" xfId="4" applyNumberFormat="1" applyFont="1" applyFill="1" applyBorder="1" applyAlignment="1" applyProtection="1">
      <alignment vertical="center"/>
      <protection locked="0"/>
    </xf>
    <xf numFmtId="0" fontId="22" fillId="32" borderId="11" xfId="0" applyFont="1" applyFill="1" applyBorder="1" applyAlignment="1">
      <alignment horizontal="center" vertical="center"/>
    </xf>
    <xf numFmtId="170" fontId="14" fillId="0" borderId="11" xfId="4" applyNumberFormat="1" applyBorder="1"/>
    <xf numFmtId="0" fontId="2" fillId="21" borderId="44" xfId="0" applyFont="1" applyFill="1" applyBorder="1"/>
    <xf numFmtId="170" fontId="14" fillId="0" borderId="44" xfId="4" applyNumberFormat="1" applyBorder="1"/>
    <xf numFmtId="0" fontId="0" fillId="21" borderId="0" xfId="0" applyFill="1" applyAlignment="1">
      <alignment vertical="center"/>
    </xf>
    <xf numFmtId="0" fontId="2" fillId="21" borderId="35" xfId="0" applyFont="1" applyFill="1" applyBorder="1" applyAlignment="1">
      <alignment horizontal="center" vertical="center"/>
    </xf>
    <xf numFmtId="0" fontId="20" fillId="21" borderId="0" xfId="0" applyFont="1" applyFill="1" applyAlignment="1">
      <alignment vertical="center"/>
    </xf>
    <xf numFmtId="0" fontId="0" fillId="21" borderId="0" xfId="0" applyFill="1" applyAlignment="1">
      <alignment horizontal="center" vertical="center"/>
    </xf>
    <xf numFmtId="0" fontId="18" fillId="22" borderId="44" xfId="0" applyFont="1" applyFill="1" applyBorder="1" applyAlignment="1">
      <alignment horizontal="left" vertical="center" indent="1"/>
    </xf>
    <xf numFmtId="0" fontId="18" fillId="33" borderId="44" xfId="0" applyFont="1" applyFill="1" applyBorder="1" applyAlignment="1">
      <alignment horizontal="center" vertical="center" wrapText="1"/>
    </xf>
    <xf numFmtId="0" fontId="0" fillId="21" borderId="42" xfId="0" applyFill="1" applyBorder="1" applyAlignment="1">
      <alignment horizontal="left" indent="2"/>
    </xf>
    <xf numFmtId="182" fontId="0" fillId="21" borderId="8" xfId="0" applyNumberFormat="1" applyFill="1" applyBorder="1"/>
    <xf numFmtId="182" fontId="18" fillId="21" borderId="42" xfId="0" applyNumberFormat="1" applyFont="1" applyFill="1" applyBorder="1"/>
    <xf numFmtId="182" fontId="0" fillId="21" borderId="11" xfId="0" applyNumberFormat="1" applyFill="1" applyBorder="1"/>
    <xf numFmtId="182" fontId="0" fillId="21" borderId="9" xfId="0" applyNumberFormat="1" applyFill="1" applyBorder="1"/>
    <xf numFmtId="0" fontId="0" fillId="21" borderId="43" xfId="0" applyFill="1" applyBorder="1" applyAlignment="1">
      <alignment horizontal="left" indent="2"/>
    </xf>
    <xf numFmtId="182" fontId="0" fillId="21" borderId="13" xfId="0" applyNumberFormat="1" applyFill="1" applyBorder="1"/>
    <xf numFmtId="0" fontId="18" fillId="16" borderId="44" xfId="0" applyFont="1" applyFill="1" applyBorder="1" applyAlignment="1">
      <alignment horizontal="left" indent="2"/>
    </xf>
    <xf numFmtId="182" fontId="18" fillId="21" borderId="52" xfId="0" applyNumberFormat="1" applyFont="1" applyFill="1" applyBorder="1"/>
    <xf numFmtId="182" fontId="18" fillId="21" borderId="53" xfId="0" applyNumberFormat="1" applyFont="1" applyFill="1" applyBorder="1"/>
    <xf numFmtId="182" fontId="18" fillId="21" borderId="54" xfId="0" applyNumberFormat="1" applyFont="1" applyFill="1" applyBorder="1"/>
    <xf numFmtId="182" fontId="18" fillId="21" borderId="44" xfId="0" applyNumberFormat="1" applyFont="1" applyFill="1" applyBorder="1"/>
    <xf numFmtId="0" fontId="18" fillId="0" borderId="0" xfId="0" applyFont="1" applyAlignment="1">
      <alignment horizontal="left" indent="2"/>
    </xf>
    <xf numFmtId="9" fontId="4" fillId="21" borderId="0" xfId="12" applyFont="1" applyFill="1" applyAlignment="1">
      <alignment horizontal="center"/>
    </xf>
    <xf numFmtId="182" fontId="18" fillId="21" borderId="0" xfId="0" applyNumberFormat="1" applyFont="1" applyFill="1"/>
    <xf numFmtId="0" fontId="24" fillId="21" borderId="0" xfId="0" applyFont="1" applyFill="1" applyAlignment="1">
      <alignment horizontal="left"/>
    </xf>
    <xf numFmtId="9" fontId="4" fillId="0" borderId="0" xfId="11" applyFont="1" applyAlignment="1">
      <alignment horizontal="center"/>
    </xf>
    <xf numFmtId="0" fontId="0" fillId="21" borderId="55" xfId="0" applyFill="1" applyBorder="1" applyAlignment="1">
      <alignment horizontal="left" indent="2"/>
    </xf>
    <xf numFmtId="182" fontId="18" fillId="21" borderId="55" xfId="0" applyNumberFormat="1" applyFont="1" applyFill="1" applyBorder="1"/>
    <xf numFmtId="182" fontId="0" fillId="21" borderId="40" xfId="0" applyNumberFormat="1" applyFill="1" applyBorder="1"/>
    <xf numFmtId="182" fontId="0" fillId="21" borderId="56" xfId="0" applyNumberFormat="1" applyFill="1" applyBorder="1"/>
    <xf numFmtId="182" fontId="18" fillId="21" borderId="57" xfId="0" applyNumberFormat="1" applyFont="1" applyFill="1" applyBorder="1"/>
    <xf numFmtId="0" fontId="0" fillId="34" borderId="11" xfId="0" applyFill="1" applyBorder="1"/>
    <xf numFmtId="0" fontId="0" fillId="16" borderId="11" xfId="0" applyFill="1" applyBorder="1"/>
    <xf numFmtId="0" fontId="0" fillId="35" borderId="11" xfId="0" applyFill="1" applyBorder="1"/>
    <xf numFmtId="0" fontId="0" fillId="0" borderId="11" xfId="0" applyBorder="1"/>
    <xf numFmtId="42" fontId="14" fillId="0" borderId="11" xfId="5" applyFont="1" applyBorder="1"/>
    <xf numFmtId="42" fontId="0" fillId="0" borderId="11" xfId="0" applyNumberFormat="1" applyBorder="1"/>
    <xf numFmtId="0" fontId="0" fillId="0" borderId="11" xfId="0" applyBorder="1" applyAlignment="1">
      <alignment horizontal="center"/>
    </xf>
    <xf numFmtId="9" fontId="14" fillId="0" borderId="11" xfId="11" applyFont="1" applyBorder="1"/>
    <xf numFmtId="182" fontId="0" fillId="21" borderId="4" xfId="0" applyNumberFormat="1" applyFill="1" applyBorder="1"/>
    <xf numFmtId="182" fontId="0" fillId="21" borderId="58" xfId="0" applyNumberFormat="1" applyFill="1" applyBorder="1"/>
    <xf numFmtId="0" fontId="18" fillId="16" borderId="59" xfId="0" applyFont="1" applyFill="1" applyBorder="1" applyAlignment="1">
      <alignment horizontal="center" vertical="center"/>
    </xf>
    <xf numFmtId="0" fontId="18" fillId="35" borderId="53" xfId="0" applyFont="1" applyFill="1" applyBorder="1" applyAlignment="1">
      <alignment horizontal="center" vertical="center"/>
    </xf>
    <xf numFmtId="0" fontId="18" fillId="16" borderId="53" xfId="0" applyFont="1" applyFill="1" applyBorder="1" applyAlignment="1">
      <alignment horizontal="center" vertical="center"/>
    </xf>
    <xf numFmtId="0" fontId="18" fillId="35" borderId="60"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6" fillId="0" borderId="0" xfId="1" applyBorder="1" applyAlignment="1" applyProtection="1">
      <alignment vertical="center"/>
    </xf>
    <xf numFmtId="0" fontId="16" fillId="0" borderId="0" xfId="1" quotePrefix="1"/>
    <xf numFmtId="171" fontId="4" fillId="8" borderId="11" xfId="4" applyNumberFormat="1" applyFont="1" applyFill="1" applyBorder="1" applyAlignment="1" applyProtection="1">
      <alignment horizontal="right" vertical="center"/>
      <protection locked="0"/>
    </xf>
    <xf numFmtId="0" fontId="26" fillId="8" borderId="11" xfId="0" applyFont="1" applyFill="1" applyBorder="1" applyAlignment="1" applyProtection="1">
      <alignment horizontal="right" vertical="center"/>
      <protection locked="0"/>
    </xf>
    <xf numFmtId="0" fontId="26" fillId="8" borderId="26" xfId="0" applyFont="1" applyFill="1" applyBorder="1" applyAlignment="1" applyProtection="1">
      <alignment horizontal="right" vertical="center"/>
      <protection locked="0"/>
    </xf>
    <xf numFmtId="171" fontId="4" fillId="8" borderId="26" xfId="4" applyNumberFormat="1" applyFont="1" applyFill="1" applyBorder="1" applyAlignment="1" applyProtection="1">
      <alignment horizontal="right" vertical="center"/>
      <protection locked="0"/>
    </xf>
    <xf numFmtId="0" fontId="26" fillId="8" borderId="16" xfId="0" applyFont="1" applyFill="1" applyBorder="1" applyAlignment="1" applyProtection="1">
      <alignment horizontal="right" vertical="center"/>
      <protection locked="0"/>
    </xf>
    <xf numFmtId="171" fontId="4" fillId="8" borderId="16" xfId="4" applyNumberFormat="1" applyFont="1" applyFill="1" applyBorder="1" applyAlignment="1" applyProtection="1">
      <alignment horizontal="right" vertical="center"/>
      <protection locked="0"/>
    </xf>
    <xf numFmtId="171" fontId="4" fillId="8" borderId="21" xfId="4" applyNumberFormat="1" applyFont="1" applyFill="1" applyBorder="1" applyAlignment="1" applyProtection="1">
      <alignment horizontal="right" vertical="center"/>
      <protection locked="0"/>
    </xf>
    <xf numFmtId="0" fontId="26" fillId="8" borderId="7" xfId="0" applyFont="1" applyFill="1" applyBorder="1" applyAlignment="1" applyProtection="1">
      <alignment horizontal="right" vertical="center"/>
      <protection locked="0"/>
    </xf>
    <xf numFmtId="171" fontId="4" fillId="8" borderId="7" xfId="4" applyNumberFormat="1" applyFont="1" applyFill="1" applyBorder="1" applyAlignment="1" applyProtection="1">
      <alignment horizontal="right" vertical="center"/>
      <protection locked="0"/>
    </xf>
    <xf numFmtId="0" fontId="26" fillId="8" borderId="21" xfId="0" applyFont="1" applyFill="1" applyBorder="1" applyAlignment="1" applyProtection="1">
      <alignment horizontal="right" vertical="center"/>
      <protection locked="0"/>
    </xf>
    <xf numFmtId="0" fontId="0" fillId="8" borderId="9" xfId="0" applyFill="1" applyBorder="1" applyAlignment="1" applyProtection="1">
      <alignment horizontal="left" vertical="center"/>
      <protection locked="0"/>
    </xf>
    <xf numFmtId="171" fontId="4" fillId="8" borderId="9" xfId="4" applyNumberFormat="1" applyFont="1" applyFill="1" applyBorder="1" applyAlignment="1" applyProtection="1">
      <alignment vertical="center"/>
      <protection locked="0"/>
    </xf>
    <xf numFmtId="171" fontId="4" fillId="8" borderId="9" xfId="4" applyNumberFormat="1" applyFont="1" applyFill="1" applyBorder="1" applyAlignment="1" applyProtection="1">
      <alignment horizontal="right" vertical="center"/>
      <protection locked="0"/>
    </xf>
    <xf numFmtId="0" fontId="0" fillId="21" borderId="0" xfId="0" applyFill="1" applyProtection="1">
      <protection locked="0"/>
    </xf>
    <xf numFmtId="0" fontId="2" fillId="21" borderId="0" xfId="0" applyFont="1" applyFill="1" applyAlignment="1" applyProtection="1">
      <alignment horizontal="center"/>
      <protection locked="0"/>
    </xf>
    <xf numFmtId="0" fontId="2" fillId="21" borderId="0" xfId="0" applyFont="1" applyFill="1" applyProtection="1">
      <protection locked="0"/>
    </xf>
    <xf numFmtId="3" fontId="2" fillId="21" borderId="0" xfId="0" applyNumberFormat="1" applyFont="1" applyFill="1" applyProtection="1">
      <protection locked="0"/>
    </xf>
    <xf numFmtId="0" fontId="0" fillId="21" borderId="0" xfId="0" applyFill="1" applyAlignment="1" applyProtection="1">
      <alignment horizontal="center"/>
      <protection locked="0"/>
    </xf>
    <xf numFmtId="3" fontId="0" fillId="21" borderId="0" xfId="0" applyNumberFormat="1" applyFill="1" applyProtection="1">
      <protection locked="0"/>
    </xf>
    <xf numFmtId="0" fontId="27" fillId="21" borderId="0" xfId="0" applyFont="1" applyFill="1" applyAlignment="1" applyProtection="1">
      <alignment horizontal="center"/>
      <protection locked="0"/>
    </xf>
    <xf numFmtId="3" fontId="27" fillId="21" borderId="0" xfId="0" applyNumberFormat="1" applyFont="1" applyFill="1" applyProtection="1">
      <protection locked="0"/>
    </xf>
    <xf numFmtId="0" fontId="0" fillId="8" borderId="18" xfId="0" applyFill="1" applyBorder="1" applyAlignment="1" applyProtection="1">
      <alignment horizontal="left" vertical="center"/>
      <protection locked="0"/>
    </xf>
    <xf numFmtId="0" fontId="0" fillId="8" borderId="7" xfId="0" applyFill="1" applyBorder="1" applyProtection="1">
      <protection locked="0"/>
    </xf>
    <xf numFmtId="0" fontId="0" fillId="8" borderId="5" xfId="0" applyFill="1" applyBorder="1" applyProtection="1">
      <protection locked="0"/>
    </xf>
    <xf numFmtId="9" fontId="0" fillId="0" borderId="0" xfId="0" applyNumberFormat="1" applyAlignment="1">
      <alignment vertical="center"/>
    </xf>
    <xf numFmtId="42" fontId="0" fillId="21" borderId="0" xfId="0" applyNumberFormat="1" applyFill="1"/>
    <xf numFmtId="182" fontId="0" fillId="21" borderId="16" xfId="0" applyNumberFormat="1" applyFill="1" applyBorder="1"/>
    <xf numFmtId="1" fontId="0" fillId="0" borderId="0" xfId="0" applyNumberFormat="1"/>
    <xf numFmtId="1" fontId="0" fillId="21" borderId="0" xfId="0" applyNumberFormat="1" applyFill="1"/>
    <xf numFmtId="0" fontId="2" fillId="29" borderId="63" xfId="0" applyFont="1" applyFill="1" applyBorder="1" applyAlignment="1">
      <alignment horizontal="center" vertical="center" wrapText="1"/>
    </xf>
    <xf numFmtId="0" fontId="22" fillId="36" borderId="64" xfId="0" applyFont="1" applyFill="1" applyBorder="1" applyAlignment="1">
      <alignment horizontal="center" vertical="center" wrapText="1"/>
    </xf>
    <xf numFmtId="0" fontId="22" fillId="36" borderId="65" xfId="0" applyFont="1" applyFill="1" applyBorder="1" applyAlignment="1">
      <alignment horizontal="center" vertical="center" wrapText="1"/>
    </xf>
    <xf numFmtId="0" fontId="22" fillId="37" borderId="21" xfId="0" applyFont="1" applyFill="1" applyBorder="1" applyAlignment="1">
      <alignment horizontal="center" vertical="center" wrapText="1"/>
    </xf>
    <xf numFmtId="0" fontId="22" fillId="38" borderId="21" xfId="0" applyFont="1" applyFill="1" applyBorder="1" applyAlignment="1">
      <alignment horizontal="center" vertical="center" wrapText="1"/>
    </xf>
    <xf numFmtId="0" fontId="22" fillId="38" borderId="66" xfId="0" applyFont="1" applyFill="1" applyBorder="1" applyAlignment="1">
      <alignment horizontal="center" vertical="center" wrapText="1"/>
    </xf>
    <xf numFmtId="0" fontId="2" fillId="29" borderId="67" xfId="0" applyFont="1" applyFill="1" applyBorder="1" applyAlignment="1">
      <alignment horizontal="center" vertical="center" wrapText="1"/>
    </xf>
    <xf numFmtId="0" fontId="2" fillId="8" borderId="21" xfId="0" applyFont="1" applyFill="1" applyBorder="1" applyAlignment="1">
      <alignment horizontal="center" vertical="center"/>
    </xf>
    <xf numFmtId="0" fontId="2" fillId="27" borderId="47" xfId="0" applyFont="1" applyFill="1" applyBorder="1" applyAlignment="1">
      <alignment horizontal="center" vertical="center" wrapText="1"/>
    </xf>
    <xf numFmtId="0" fontId="2" fillId="0" borderId="68" xfId="0" applyFont="1" applyBorder="1" applyAlignment="1">
      <alignment horizontal="left" vertical="center"/>
    </xf>
    <xf numFmtId="165" fontId="4" fillId="26" borderId="11" xfId="4" applyNumberFormat="1" applyFont="1" applyFill="1" applyBorder="1" applyAlignment="1">
      <alignment vertical="center"/>
    </xf>
    <xf numFmtId="165" fontId="4" fillId="26" borderId="11" xfId="4" applyNumberFormat="1" applyFont="1" applyFill="1" applyBorder="1" applyAlignment="1" applyProtection="1">
      <alignment vertical="center"/>
    </xf>
    <xf numFmtId="165" fontId="2" fillId="26" borderId="8" xfId="4" applyNumberFormat="1" applyFont="1" applyFill="1" applyBorder="1" applyAlignment="1" applyProtection="1">
      <alignment vertical="center"/>
    </xf>
    <xf numFmtId="165" fontId="2" fillId="0" borderId="69" xfId="4" applyNumberFormat="1" applyFont="1" applyFill="1" applyBorder="1" applyAlignment="1" applyProtection="1">
      <alignment vertical="center"/>
    </xf>
    <xf numFmtId="165" fontId="2" fillId="8" borderId="11" xfId="0" applyNumberFormat="1" applyFont="1" applyFill="1" applyBorder="1" applyAlignment="1">
      <alignment vertical="center"/>
    </xf>
    <xf numFmtId="9" fontId="14" fillId="0" borderId="48" xfId="11" applyBorder="1" applyAlignment="1" applyProtection="1">
      <alignment horizontal="center"/>
    </xf>
    <xf numFmtId="165" fontId="4" fillId="16" borderId="2" xfId="4" applyNumberFormat="1" applyFont="1" applyFill="1" applyBorder="1" applyAlignment="1" applyProtection="1">
      <alignment vertical="center"/>
    </xf>
    <xf numFmtId="165" fontId="4" fillId="39" borderId="30" xfId="4" applyNumberFormat="1" applyFont="1" applyFill="1" applyBorder="1" applyAlignment="1" applyProtection="1">
      <alignment vertical="center"/>
    </xf>
    <xf numFmtId="165" fontId="2" fillId="16" borderId="11" xfId="4" applyNumberFormat="1" applyFont="1" applyFill="1" applyBorder="1" applyAlignment="1" applyProtection="1">
      <alignment vertical="center"/>
    </xf>
    <xf numFmtId="165" fontId="4" fillId="16" borderId="30" xfId="4" applyNumberFormat="1" applyFont="1" applyFill="1" applyBorder="1" applyAlignment="1" applyProtection="1">
      <alignment vertical="center"/>
    </xf>
    <xf numFmtId="165" fontId="2" fillId="29" borderId="70" xfId="4" applyNumberFormat="1" applyFont="1" applyFill="1" applyBorder="1" applyAlignment="1" applyProtection="1">
      <alignment vertical="center"/>
    </xf>
    <xf numFmtId="171" fontId="4" fillId="8" borderId="24" xfId="4" applyNumberFormat="1" applyFont="1" applyFill="1" applyBorder="1" applyAlignment="1" applyProtection="1">
      <alignment horizontal="right" vertical="center"/>
      <protection locked="0"/>
    </xf>
    <xf numFmtId="171" fontId="4" fillId="8" borderId="19" xfId="4" applyNumberFormat="1" applyFont="1" applyFill="1" applyBorder="1" applyAlignment="1" applyProtection="1">
      <alignment horizontal="right" vertical="center"/>
      <protection locked="0"/>
    </xf>
    <xf numFmtId="171" fontId="4" fillId="8" borderId="5" xfId="4" applyNumberFormat="1" applyFont="1" applyFill="1" applyBorder="1" applyAlignment="1" applyProtection="1">
      <alignment horizontal="right" vertical="center"/>
      <protection locked="0"/>
    </xf>
    <xf numFmtId="0" fontId="21" fillId="8" borderId="7" xfId="0" applyFont="1" applyFill="1" applyBorder="1" applyAlignment="1" applyProtection="1">
      <alignment horizontal="left" vertical="center"/>
      <protection locked="0"/>
    </xf>
    <xf numFmtId="0" fontId="4" fillId="8" borderId="5" xfId="0" applyFont="1" applyFill="1" applyBorder="1" applyAlignment="1" applyProtection="1">
      <alignment horizontal="right" vertical="center"/>
      <protection locked="0"/>
    </xf>
    <xf numFmtId="176" fontId="14" fillId="0" borderId="41" xfId="4" applyNumberFormat="1" applyFont="1" applyFill="1" applyBorder="1" applyAlignment="1" applyProtection="1">
      <alignment vertical="center"/>
    </xf>
    <xf numFmtId="176" fontId="14" fillId="0" borderId="42" xfId="4" applyNumberFormat="1" applyFont="1" applyFill="1" applyBorder="1" applyAlignment="1" applyProtection="1">
      <alignment vertical="center"/>
    </xf>
    <xf numFmtId="176" fontId="14" fillId="0" borderId="58" xfId="4" applyNumberFormat="1" applyFont="1" applyFill="1" applyBorder="1" applyAlignment="1" applyProtection="1">
      <alignment vertical="center"/>
    </xf>
    <xf numFmtId="176" fontId="14" fillId="0" borderId="56" xfId="4" applyNumberFormat="1" applyFont="1" applyFill="1" applyBorder="1" applyAlignment="1" applyProtection="1">
      <alignment horizontal="right" vertical="center"/>
    </xf>
    <xf numFmtId="176" fontId="14" fillId="0" borderId="61" xfId="4" applyNumberFormat="1" applyFont="1" applyFill="1" applyBorder="1" applyAlignment="1" applyProtection="1">
      <alignment vertical="center"/>
    </xf>
    <xf numFmtId="176" fontId="14" fillId="0" borderId="0" xfId="4" applyNumberFormat="1" applyFont="1" applyFill="1" applyBorder="1" applyAlignment="1" applyProtection="1">
      <alignment vertical="center"/>
    </xf>
    <xf numFmtId="176" fontId="14" fillId="0" borderId="43" xfId="4" applyNumberFormat="1" applyFont="1" applyFill="1" applyBorder="1" applyAlignment="1" applyProtection="1">
      <alignment vertical="center"/>
    </xf>
    <xf numFmtId="176" fontId="14" fillId="0" borderId="40" xfId="4" applyNumberFormat="1" applyFont="1" applyFill="1" applyBorder="1" applyAlignment="1" applyProtection="1">
      <alignment vertical="center"/>
    </xf>
    <xf numFmtId="176" fontId="14" fillId="0" borderId="40" xfId="4" applyNumberFormat="1" applyFont="1" applyFill="1" applyBorder="1" applyAlignment="1" applyProtection="1">
      <alignment horizontal="right" vertical="center"/>
    </xf>
    <xf numFmtId="165" fontId="4" fillId="19" borderId="7" xfId="4" applyNumberFormat="1" applyFont="1" applyFill="1" applyBorder="1" applyAlignment="1" applyProtection="1">
      <alignment vertical="center"/>
    </xf>
    <xf numFmtId="165" fontId="4" fillId="19" borderId="28" xfId="4" applyNumberFormat="1" applyFont="1" applyFill="1" applyBorder="1" applyAlignment="1" applyProtection="1">
      <alignment vertical="center"/>
    </xf>
    <xf numFmtId="165" fontId="4" fillId="19" borderId="11" xfId="4" applyNumberFormat="1" applyFont="1" applyFill="1" applyBorder="1" applyAlignment="1" applyProtection="1">
      <alignment vertical="center"/>
    </xf>
    <xf numFmtId="165" fontId="4" fillId="19" borderId="12" xfId="4" applyNumberFormat="1" applyFont="1" applyFill="1" applyBorder="1" applyAlignment="1" applyProtection="1">
      <alignment vertical="center"/>
    </xf>
    <xf numFmtId="165" fontId="14" fillId="0" borderId="18" xfId="4" applyNumberFormat="1" applyFont="1" applyFill="1" applyBorder="1" applyAlignment="1" applyProtection="1">
      <alignment vertical="center"/>
    </xf>
    <xf numFmtId="165" fontId="14" fillId="0" borderId="8" xfId="4" applyNumberFormat="1" applyFont="1" applyFill="1" applyBorder="1" applyAlignment="1" applyProtection="1">
      <alignment vertical="center"/>
    </xf>
    <xf numFmtId="165" fontId="14" fillId="1" borderId="8" xfId="4" applyNumberFormat="1" applyFont="1" applyFill="1" applyBorder="1" applyAlignment="1" applyProtection="1">
      <alignment vertical="center"/>
    </xf>
    <xf numFmtId="165" fontId="4" fillId="30" borderId="7" xfId="4" applyNumberFormat="1" applyFont="1" applyFill="1" applyBorder="1" applyAlignment="1" applyProtection="1">
      <alignment vertical="center"/>
    </xf>
    <xf numFmtId="165" fontId="4" fillId="30" borderId="28" xfId="4" applyNumberFormat="1" applyFont="1" applyFill="1" applyBorder="1" applyAlignment="1" applyProtection="1">
      <alignment vertical="center"/>
    </xf>
    <xf numFmtId="165" fontId="4" fillId="30" borderId="11" xfId="4" applyNumberFormat="1" applyFont="1" applyFill="1" applyBorder="1" applyAlignment="1" applyProtection="1">
      <alignment vertical="center"/>
    </xf>
    <xf numFmtId="165" fontId="4" fillId="31" borderId="11" xfId="4" applyNumberFormat="1" applyFont="1" applyFill="1" applyBorder="1" applyAlignment="1" applyProtection="1">
      <alignment vertical="center"/>
    </xf>
    <xf numFmtId="165" fontId="4" fillId="30" borderId="12" xfId="4" applyNumberFormat="1" applyFont="1" applyFill="1" applyBorder="1" applyAlignment="1" applyProtection="1">
      <alignment vertical="center"/>
    </xf>
    <xf numFmtId="165" fontId="4" fillId="31" borderId="12" xfId="4" applyNumberFormat="1" applyFont="1" applyFill="1" applyBorder="1" applyAlignment="1" applyProtection="1">
      <alignment vertical="center"/>
    </xf>
    <xf numFmtId="166" fontId="14" fillId="0" borderId="11" xfId="11" applyNumberFormat="1" applyFont="1" applyBorder="1" applyAlignment="1" applyProtection="1">
      <alignment horizontal="center" vertical="center"/>
    </xf>
    <xf numFmtId="166" fontId="14" fillId="1" borderId="11" xfId="11" applyNumberFormat="1" applyFont="1" applyFill="1" applyBorder="1" applyAlignment="1" applyProtection="1">
      <alignment horizontal="center" vertical="center"/>
    </xf>
    <xf numFmtId="166" fontId="14" fillId="0" borderId="22" xfId="11" applyNumberFormat="1" applyFont="1" applyBorder="1" applyAlignment="1" applyProtection="1">
      <alignment horizontal="center" vertical="center"/>
    </xf>
    <xf numFmtId="166" fontId="14" fillId="0" borderId="12" xfId="11" applyNumberFormat="1" applyFont="1" applyBorder="1" applyAlignment="1" applyProtection="1">
      <alignment horizontal="center" vertical="center"/>
    </xf>
    <xf numFmtId="166" fontId="14" fillId="1" borderId="12" xfId="11" applyNumberFormat="1" applyFont="1" applyFill="1" applyBorder="1" applyAlignment="1" applyProtection="1">
      <alignment horizontal="center" vertical="center"/>
    </xf>
    <xf numFmtId="166" fontId="14" fillId="0" borderId="7" xfId="11" applyNumberFormat="1" applyFont="1" applyBorder="1" applyAlignment="1" applyProtection="1">
      <alignment horizontal="center" vertical="center"/>
    </xf>
    <xf numFmtId="166" fontId="14" fillId="0" borderId="28" xfId="11" applyNumberFormat="1" applyFont="1" applyBorder="1" applyAlignment="1" applyProtection="1">
      <alignment horizontal="center" vertical="center"/>
    </xf>
    <xf numFmtId="166" fontId="14" fillId="0" borderId="72" xfId="11" applyNumberFormat="1" applyFont="1" applyBorder="1" applyAlignment="1" applyProtection="1">
      <alignment horizontal="center" vertical="center"/>
    </xf>
    <xf numFmtId="166" fontId="14" fillId="0" borderId="73" xfId="11" applyNumberFormat="1" applyFont="1" applyBorder="1" applyAlignment="1" applyProtection="1">
      <alignment horizontal="center" vertical="center"/>
    </xf>
    <xf numFmtId="165" fontId="4" fillId="19" borderId="72" xfId="4" applyNumberFormat="1" applyFont="1" applyFill="1" applyBorder="1" applyAlignment="1" applyProtection="1">
      <alignment vertical="center"/>
    </xf>
    <xf numFmtId="165" fontId="4" fillId="19" borderId="73" xfId="4" applyNumberFormat="1" applyFont="1" applyFill="1" applyBorder="1" applyAlignment="1" applyProtection="1">
      <alignment vertical="center"/>
    </xf>
    <xf numFmtId="165" fontId="4" fillId="31" borderId="74" xfId="4" applyNumberFormat="1" applyFont="1" applyFill="1" applyBorder="1" applyAlignment="1" applyProtection="1">
      <alignment vertical="center"/>
    </xf>
    <xf numFmtId="165" fontId="4" fillId="30" borderId="72" xfId="4" applyNumberFormat="1" applyFont="1" applyFill="1" applyBorder="1" applyAlignment="1" applyProtection="1">
      <alignment vertical="center"/>
    </xf>
    <xf numFmtId="165" fontId="4" fillId="30" borderId="73" xfId="4" applyNumberFormat="1" applyFont="1" applyFill="1" applyBorder="1" applyAlignment="1" applyProtection="1">
      <alignment vertical="center"/>
    </xf>
    <xf numFmtId="165" fontId="14" fillId="1" borderId="74" xfId="4" applyNumberFormat="1" applyFont="1" applyFill="1" applyBorder="1" applyAlignment="1" applyProtection="1">
      <alignment vertical="center"/>
    </xf>
    <xf numFmtId="165" fontId="14" fillId="0" borderId="75" xfId="4" applyNumberFormat="1" applyFont="1" applyFill="1" applyBorder="1" applyAlignment="1" applyProtection="1">
      <alignment vertical="center"/>
    </xf>
    <xf numFmtId="165" fontId="14" fillId="0" borderId="76" xfId="4" applyNumberFormat="1" applyFont="1" applyFill="1" applyBorder="1" applyAlignment="1" applyProtection="1">
      <alignment vertical="center"/>
    </xf>
    <xf numFmtId="165" fontId="14" fillId="0" borderId="72" xfId="4" applyNumberFormat="1" applyFont="1" applyFill="1" applyBorder="1" applyAlignment="1" applyProtection="1">
      <alignment vertical="center"/>
    </xf>
    <xf numFmtId="165" fontId="14" fillId="0" borderId="77" xfId="4" applyNumberFormat="1" applyFont="1" applyFill="1" applyBorder="1" applyAlignment="1" applyProtection="1">
      <alignment vertical="center"/>
    </xf>
    <xf numFmtId="166" fontId="14" fillId="0" borderId="76" xfId="11" applyNumberFormat="1" applyFont="1" applyBorder="1" applyAlignment="1" applyProtection="1">
      <alignment horizontal="center" vertical="center"/>
    </xf>
    <xf numFmtId="165" fontId="4" fillId="17" borderId="7" xfId="4" applyNumberFormat="1" applyFont="1" applyFill="1" applyBorder="1" applyAlignment="1" applyProtection="1">
      <alignment vertical="center"/>
    </xf>
    <xf numFmtId="165" fontId="4" fillId="17" borderId="28" xfId="4" applyNumberFormat="1" applyFont="1" applyFill="1" applyBorder="1" applyAlignment="1" applyProtection="1">
      <alignment vertical="center"/>
    </xf>
    <xf numFmtId="165" fontId="4" fillId="31" borderId="7" xfId="4" applyNumberFormat="1" applyFont="1" applyFill="1" applyBorder="1" applyAlignment="1" applyProtection="1">
      <alignment vertical="center"/>
    </xf>
    <xf numFmtId="165" fontId="4" fillId="31" borderId="28" xfId="4" applyNumberFormat="1" applyFont="1" applyFill="1" applyBorder="1" applyAlignment="1" applyProtection="1">
      <alignment vertical="center"/>
    </xf>
    <xf numFmtId="165" fontId="14" fillId="1" borderId="7" xfId="4" applyNumberFormat="1" applyFont="1" applyFill="1" applyBorder="1" applyAlignment="1" applyProtection="1">
      <alignment vertical="center"/>
    </xf>
    <xf numFmtId="165" fontId="14" fillId="1" borderId="5" xfId="4" applyNumberFormat="1" applyFont="1" applyFill="1" applyBorder="1" applyAlignment="1" applyProtection="1">
      <alignment vertical="center"/>
    </xf>
    <xf numFmtId="165" fontId="14" fillId="0" borderId="22" xfId="4" applyNumberFormat="1" applyFont="1" applyFill="1" applyBorder="1" applyAlignment="1" applyProtection="1">
      <alignment vertical="center"/>
    </xf>
    <xf numFmtId="165" fontId="4" fillId="19" borderId="75" xfId="4" applyNumberFormat="1" applyFont="1" applyFill="1" applyBorder="1" applyAlignment="1" applyProtection="1">
      <alignment vertical="center"/>
    </xf>
    <xf numFmtId="165" fontId="4" fillId="19" borderId="78" xfId="4" applyNumberFormat="1" applyFont="1" applyFill="1" applyBorder="1" applyAlignment="1" applyProtection="1">
      <alignment vertical="center"/>
    </xf>
    <xf numFmtId="165" fontId="4" fillId="30" borderId="79" xfId="4" applyNumberFormat="1" applyFont="1" applyFill="1" applyBorder="1" applyAlignment="1" applyProtection="1">
      <alignment vertical="center"/>
    </xf>
    <xf numFmtId="165" fontId="4" fillId="30" borderId="80" xfId="4" applyNumberFormat="1" applyFont="1" applyFill="1" applyBorder="1" applyAlignment="1" applyProtection="1">
      <alignment vertical="center"/>
    </xf>
    <xf numFmtId="166" fontId="14" fillId="1" borderId="15" xfId="11" applyNumberFormat="1" applyFont="1" applyFill="1" applyBorder="1" applyAlignment="1" applyProtection="1">
      <alignment horizontal="center" vertical="center"/>
    </xf>
    <xf numFmtId="166" fontId="14" fillId="1" borderId="16" xfId="11" applyNumberFormat="1" applyFont="1" applyFill="1" applyBorder="1" applyAlignment="1" applyProtection="1">
      <alignment horizontal="center" vertical="center"/>
    </xf>
    <xf numFmtId="166" fontId="14" fillId="1" borderId="17" xfId="11" applyNumberFormat="1" applyFont="1" applyFill="1" applyBorder="1" applyAlignment="1" applyProtection="1">
      <alignment horizontal="center" vertical="center"/>
    </xf>
    <xf numFmtId="166" fontId="14" fillId="0" borderId="26" xfId="11" applyNumberFormat="1" applyFont="1" applyBorder="1" applyAlignment="1" applyProtection="1">
      <alignment horizontal="center" vertical="center"/>
    </xf>
    <xf numFmtId="166" fontId="14" fillId="0" borderId="27" xfId="11" applyNumberFormat="1" applyFont="1" applyBorder="1" applyAlignment="1" applyProtection="1">
      <alignment horizontal="center" vertical="center"/>
    </xf>
    <xf numFmtId="166" fontId="14" fillId="0" borderId="16" xfId="11" applyNumberFormat="1" applyFont="1" applyBorder="1" applyAlignment="1" applyProtection="1">
      <alignment horizontal="center" vertical="center"/>
    </xf>
    <xf numFmtId="166" fontId="14" fillId="0" borderId="17" xfId="11" applyNumberFormat="1" applyFont="1" applyBorder="1" applyAlignment="1" applyProtection="1">
      <alignment horizontal="center" vertical="center"/>
    </xf>
    <xf numFmtId="165" fontId="4" fillId="30" borderId="25" xfId="4" applyNumberFormat="1" applyFont="1" applyFill="1" applyBorder="1" applyAlignment="1" applyProtection="1">
      <alignment vertical="center"/>
    </xf>
    <xf numFmtId="176" fontId="14" fillId="0" borderId="81" xfId="4" applyNumberFormat="1" applyFont="1" applyFill="1" applyBorder="1" applyAlignment="1" applyProtection="1">
      <alignment vertical="center"/>
    </xf>
    <xf numFmtId="176" fontId="14" fillId="0" borderId="82" xfId="4" applyNumberFormat="1" applyFont="1" applyFill="1" applyBorder="1" applyAlignment="1" applyProtection="1">
      <alignment vertical="center"/>
    </xf>
    <xf numFmtId="180" fontId="14" fillId="30" borderId="18" xfId="11" applyNumberFormat="1" applyFill="1" applyBorder="1" applyAlignment="1" applyProtection="1">
      <alignment horizontal="center" vertical="center"/>
    </xf>
    <xf numFmtId="180" fontId="14" fillId="30" borderId="8" xfId="11" applyNumberFormat="1" applyFill="1" applyBorder="1" applyAlignment="1" applyProtection="1">
      <alignment horizontal="center" vertical="center"/>
    </xf>
    <xf numFmtId="180" fontId="14" fillId="31" borderId="8" xfId="11" applyNumberFormat="1" applyFill="1" applyBorder="1" applyAlignment="1" applyProtection="1">
      <alignment horizontal="center" vertical="center"/>
    </xf>
    <xf numFmtId="180" fontId="14" fillId="30" borderId="23" xfId="11" applyNumberFormat="1" applyFill="1" applyBorder="1" applyAlignment="1" applyProtection="1">
      <alignment horizontal="center" vertical="center"/>
    </xf>
    <xf numFmtId="165" fontId="4" fillId="19" borderId="76" xfId="4" applyNumberFormat="1" applyFont="1" applyFill="1" applyBorder="1" applyAlignment="1" applyProtection="1">
      <alignment vertical="center"/>
    </xf>
    <xf numFmtId="176" fontId="14" fillId="0" borderId="83" xfId="4" applyNumberFormat="1" applyFont="1" applyFill="1" applyBorder="1" applyAlignment="1" applyProtection="1">
      <alignment vertical="center"/>
    </xf>
    <xf numFmtId="165" fontId="4" fillId="19" borderId="74" xfId="4" applyNumberFormat="1" applyFont="1" applyFill="1" applyBorder="1" applyAlignment="1" applyProtection="1">
      <alignment vertical="center"/>
    </xf>
    <xf numFmtId="0" fontId="2" fillId="21" borderId="68" xfId="0" applyFont="1" applyFill="1" applyBorder="1" applyAlignment="1">
      <alignment horizontal="left" vertical="center"/>
    </xf>
    <xf numFmtId="0" fontId="21" fillId="0" borderId="11"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21" borderId="11" xfId="0" applyFill="1" applyBorder="1" applyAlignment="1" applyProtection="1">
      <alignment horizontal="left" vertical="center"/>
      <protection locked="0"/>
    </xf>
    <xf numFmtId="0" fontId="0" fillId="0" borderId="0" xfId="0" applyAlignment="1" applyProtection="1">
      <alignment vertical="center"/>
      <protection locked="0"/>
    </xf>
    <xf numFmtId="3" fontId="0" fillId="0" borderId="11" xfId="0" applyNumberFormat="1" applyBorder="1" applyAlignment="1" applyProtection="1">
      <alignment horizontal="left" vertical="center"/>
      <protection locked="0"/>
    </xf>
    <xf numFmtId="42" fontId="0" fillId="21" borderId="0" xfId="0" applyNumberFormat="1" applyFill="1" applyAlignment="1">
      <alignment vertical="center"/>
    </xf>
    <xf numFmtId="0" fontId="18" fillId="33" borderId="84" xfId="0" applyFont="1" applyFill="1" applyBorder="1" applyAlignment="1">
      <alignment horizontal="center" vertical="center" wrapText="1"/>
    </xf>
    <xf numFmtId="182" fontId="18" fillId="21" borderId="47" xfId="0" applyNumberFormat="1" applyFont="1" applyFill="1" applyBorder="1"/>
    <xf numFmtId="182" fontId="18" fillId="21" borderId="48" xfId="0" applyNumberFormat="1" applyFont="1" applyFill="1" applyBorder="1"/>
    <xf numFmtId="182" fontId="18" fillId="21" borderId="51" xfId="0" applyNumberFormat="1" applyFont="1" applyFill="1" applyBorder="1"/>
    <xf numFmtId="0" fontId="18" fillId="22" borderId="20" xfId="0" applyFont="1" applyFill="1" applyBorder="1" applyAlignment="1">
      <alignment horizontal="left" vertical="center" indent="1"/>
    </xf>
    <xf numFmtId="0" fontId="18" fillId="33" borderId="21" xfId="0" applyFont="1" applyFill="1" applyBorder="1" applyAlignment="1">
      <alignment horizontal="center" vertical="center" wrapText="1"/>
    </xf>
    <xf numFmtId="0" fontId="24" fillId="33" borderId="21"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0" fillId="21" borderId="10" xfId="0" applyFill="1" applyBorder="1" applyAlignment="1">
      <alignment horizontal="left" indent="2"/>
    </xf>
    <xf numFmtId="182" fontId="0" fillId="21" borderId="12" xfId="0" applyNumberFormat="1" applyFill="1" applyBorder="1"/>
    <xf numFmtId="0" fontId="0" fillId="21" borderId="25" xfId="0" applyFill="1" applyBorder="1" applyAlignment="1">
      <alignment horizontal="left" indent="2"/>
    </xf>
    <xf numFmtId="182" fontId="0" fillId="21" borderId="26" xfId="0" applyNumberFormat="1" applyFill="1" applyBorder="1"/>
    <xf numFmtId="0" fontId="24" fillId="16" borderId="61" xfId="0" applyFont="1" applyFill="1" applyBorder="1" applyAlignment="1">
      <alignment horizontal="left" indent="2"/>
    </xf>
    <xf numFmtId="182" fontId="24" fillId="21" borderId="76" xfId="0" applyNumberFormat="1" applyFont="1" applyFill="1" applyBorder="1"/>
    <xf numFmtId="182" fontId="24" fillId="21" borderId="44" xfId="0" applyNumberFormat="1" applyFont="1" applyFill="1" applyBorder="1"/>
    <xf numFmtId="182" fontId="18" fillId="21" borderId="12" xfId="0" applyNumberFormat="1" applyFont="1" applyFill="1" applyBorder="1"/>
    <xf numFmtId="0" fontId="0" fillId="21" borderId="15" xfId="0" applyFill="1" applyBorder="1" applyAlignment="1">
      <alignment horizontal="left" indent="2"/>
    </xf>
    <xf numFmtId="182" fontId="18" fillId="21" borderId="17" xfId="0" applyNumberFormat="1" applyFont="1" applyFill="1" applyBorder="1"/>
    <xf numFmtId="0" fontId="18" fillId="16" borderId="59" xfId="0" applyFont="1" applyFill="1" applyBorder="1" applyAlignment="1">
      <alignment horizontal="left" indent="2"/>
    </xf>
    <xf numFmtId="182" fontId="24" fillId="21" borderId="53" xfId="0" applyNumberFormat="1" applyFont="1" applyFill="1" applyBorder="1"/>
    <xf numFmtId="42" fontId="26" fillId="21" borderId="0" xfId="0" applyNumberFormat="1" applyFont="1" applyFill="1"/>
    <xf numFmtId="1" fontId="26" fillId="21" borderId="0" xfId="0" applyNumberFormat="1" applyFont="1" applyFill="1"/>
    <xf numFmtId="0" fontId="26" fillId="0" borderId="0" xfId="0" applyFont="1"/>
    <xf numFmtId="42" fontId="14" fillId="21" borderId="11" xfId="5" applyFont="1" applyFill="1" applyBorder="1"/>
    <xf numFmtId="0" fontId="24" fillId="16" borderId="59" xfId="0" applyFont="1" applyFill="1" applyBorder="1" applyAlignment="1">
      <alignment horizontal="left" indent="2"/>
    </xf>
    <xf numFmtId="182" fontId="26" fillId="21" borderId="16" xfId="0" applyNumberFormat="1" applyFont="1" applyFill="1" applyBorder="1"/>
    <xf numFmtId="0" fontId="24" fillId="16" borderId="76" xfId="0" applyFont="1" applyFill="1" applyBorder="1" applyAlignment="1">
      <alignment horizontal="left" indent="2"/>
    </xf>
    <xf numFmtId="42" fontId="14" fillId="21" borderId="0" xfId="5" applyFont="1" applyFill="1"/>
    <xf numFmtId="42" fontId="14" fillId="0" borderId="0" xfId="5" applyFont="1"/>
    <xf numFmtId="42" fontId="14" fillId="21" borderId="10" xfId="5" applyFont="1" applyFill="1" applyBorder="1" applyAlignment="1">
      <alignment horizontal="left" indent="2"/>
    </xf>
    <xf numFmtId="182" fontId="24" fillId="21" borderId="54" xfId="0" applyNumberFormat="1" applyFont="1" applyFill="1" applyBorder="1"/>
    <xf numFmtId="42" fontId="14" fillId="21" borderId="11" xfId="5" applyFont="1" applyFill="1" applyBorder="1" applyAlignment="1">
      <alignment horizontal="right"/>
    </xf>
    <xf numFmtId="0" fontId="18" fillId="33" borderId="80" xfId="0" applyFont="1" applyFill="1" applyBorder="1" applyAlignment="1">
      <alignment horizontal="center" vertical="center" wrapText="1"/>
    </xf>
    <xf numFmtId="0" fontId="18" fillId="22" borderId="81" xfId="0" applyFont="1" applyFill="1" applyBorder="1" applyAlignment="1">
      <alignment horizontal="left" vertical="center" indent="1"/>
    </xf>
    <xf numFmtId="0" fontId="0" fillId="21" borderId="82" xfId="0" applyFill="1" applyBorder="1" applyAlignment="1">
      <alignment horizontal="left" indent="2"/>
    </xf>
    <xf numFmtId="0" fontId="0" fillId="21" borderId="85" xfId="0" applyFill="1" applyBorder="1" applyAlignment="1">
      <alignment horizontal="left" indent="2"/>
    </xf>
    <xf numFmtId="0" fontId="24" fillId="16" borderId="86" xfId="0" applyFont="1" applyFill="1" applyBorder="1" applyAlignment="1">
      <alignment horizontal="left" indent="2"/>
    </xf>
    <xf numFmtId="182" fontId="24" fillId="21" borderId="59" xfId="0" applyNumberFormat="1" applyFont="1" applyFill="1" applyBorder="1"/>
    <xf numFmtId="182" fontId="24" fillId="21" borderId="86" xfId="0" applyNumberFormat="1" applyFont="1" applyFill="1" applyBorder="1"/>
    <xf numFmtId="0" fontId="0" fillId="0" borderId="10" xfId="0" applyBorder="1" applyAlignment="1">
      <alignment horizontal="left" indent="2"/>
    </xf>
    <xf numFmtId="182" fontId="0" fillId="0" borderId="11" xfId="0" applyNumberFormat="1" applyBorder="1"/>
    <xf numFmtId="182" fontId="0" fillId="0" borderId="9" xfId="0" applyNumberFormat="1" applyBorder="1"/>
    <xf numFmtId="182" fontId="18" fillId="0" borderId="11" xfId="0" applyNumberFormat="1" applyFont="1" applyBorder="1"/>
    <xf numFmtId="182" fontId="24" fillId="0" borderId="59" xfId="0" applyNumberFormat="1" applyFont="1" applyBorder="1"/>
    <xf numFmtId="182" fontId="24" fillId="0" borderId="86" xfId="0" applyNumberFormat="1" applyFont="1" applyBorder="1"/>
    <xf numFmtId="0" fontId="0" fillId="0" borderId="15" xfId="0" applyBorder="1" applyAlignment="1">
      <alignment horizontal="left" indent="2"/>
    </xf>
    <xf numFmtId="182" fontId="0" fillId="0" borderId="16" xfId="0" applyNumberFormat="1" applyBorder="1"/>
    <xf numFmtId="182" fontId="0" fillId="0" borderId="14" xfId="0" applyNumberFormat="1" applyBorder="1"/>
    <xf numFmtId="182" fontId="18" fillId="0" borderId="16" xfId="0" applyNumberFormat="1" applyFont="1" applyBorder="1"/>
    <xf numFmtId="0" fontId="24" fillId="0" borderId="59" xfId="0" applyFont="1" applyBorder="1" applyAlignment="1">
      <alignment horizontal="left" indent="2"/>
    </xf>
    <xf numFmtId="182" fontId="18" fillId="0" borderId="60" xfId="0" applyNumberFormat="1" applyFont="1" applyBorder="1"/>
    <xf numFmtId="171" fontId="4" fillId="19" borderId="81" xfId="4" applyNumberFormat="1" applyFont="1" applyFill="1" applyBorder="1" applyAlignment="1" applyProtection="1">
      <alignment vertical="center"/>
    </xf>
    <xf numFmtId="171" fontId="4" fillId="19" borderId="82" xfId="4" applyNumberFormat="1" applyFont="1" applyFill="1" applyBorder="1" applyAlignment="1" applyProtection="1">
      <alignment vertical="center"/>
    </xf>
    <xf numFmtId="171" fontId="4" fillId="19" borderId="87" xfId="4" applyNumberFormat="1" applyFont="1" applyFill="1" applyBorder="1" applyAlignment="1" applyProtection="1">
      <alignment horizontal="right" vertical="center"/>
    </xf>
    <xf numFmtId="171" fontId="4" fillId="19" borderId="88" xfId="4" applyNumberFormat="1" applyFont="1" applyFill="1" applyBorder="1" applyAlignment="1" applyProtection="1">
      <alignment vertical="center"/>
    </xf>
    <xf numFmtId="177" fontId="0" fillId="19" borderId="89" xfId="0" applyNumberFormat="1" applyFill="1" applyBorder="1" applyAlignment="1">
      <alignment horizontal="right" vertical="center"/>
    </xf>
    <xf numFmtId="0" fontId="0" fillId="21" borderId="6" xfId="0" applyFill="1" applyBorder="1" applyAlignment="1">
      <alignment horizontal="left"/>
    </xf>
    <xf numFmtId="170" fontId="14" fillId="21" borderId="7" xfId="4" applyNumberFormat="1" applyFill="1" applyBorder="1" applyProtection="1">
      <protection locked="0"/>
    </xf>
    <xf numFmtId="0" fontId="0" fillId="21" borderId="7" xfId="0" applyFill="1" applyBorder="1" applyAlignment="1">
      <alignment horizontal="center"/>
    </xf>
    <xf numFmtId="0" fontId="0" fillId="21" borderId="10" xfId="0" applyFill="1" applyBorder="1" applyAlignment="1">
      <alignment horizontal="left"/>
    </xf>
    <xf numFmtId="170" fontId="14" fillId="21" borderId="11" xfId="4" applyNumberFormat="1" applyFill="1" applyBorder="1" applyProtection="1">
      <protection locked="0"/>
    </xf>
    <xf numFmtId="0" fontId="0" fillId="21" borderId="11" xfId="0" applyFill="1" applyBorder="1" applyAlignment="1">
      <alignment horizontal="center"/>
    </xf>
    <xf numFmtId="0" fontId="0" fillId="21" borderId="11" xfId="0" applyFill="1" applyBorder="1" applyAlignment="1">
      <alignment horizontal="left"/>
    </xf>
    <xf numFmtId="0" fontId="0" fillId="8" borderId="21" xfId="0" applyFill="1" applyBorder="1" applyProtection="1">
      <protection locked="0"/>
    </xf>
    <xf numFmtId="0" fontId="0" fillId="8" borderId="19" xfId="0" applyFill="1" applyBorder="1" applyProtection="1">
      <protection locked="0"/>
    </xf>
    <xf numFmtId="171" fontId="4" fillId="19" borderId="85" xfId="4" applyNumberFormat="1" applyFont="1" applyFill="1" applyBorder="1" applyAlignment="1" applyProtection="1">
      <alignment vertical="center"/>
    </xf>
    <xf numFmtId="177" fontId="0" fillId="19" borderId="55" xfId="0" applyNumberFormat="1" applyFill="1" applyBorder="1" applyAlignment="1">
      <alignment horizontal="right" vertical="center"/>
    </xf>
    <xf numFmtId="0" fontId="26" fillId="0" borderId="1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3" fontId="26" fillId="0" borderId="11" xfId="0" applyNumberFormat="1" applyFont="1" applyBorder="1" applyAlignment="1" applyProtection="1">
      <alignment horizontal="left" vertical="center"/>
      <protection locked="0"/>
    </xf>
    <xf numFmtId="0" fontId="26" fillId="0" borderId="11" xfId="0" applyFont="1" applyBorder="1" applyAlignment="1" applyProtection="1">
      <alignment horizontal="left" vertical="center" wrapText="1"/>
      <protection locked="0"/>
    </xf>
    <xf numFmtId="0" fontId="4" fillId="21" borderId="11" xfId="0" applyFont="1" applyFill="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0" fillId="8" borderId="9" xfId="0" applyFill="1" applyBorder="1" applyProtection="1">
      <protection locked="0"/>
    </xf>
    <xf numFmtId="0" fontId="0" fillId="8" borderId="11" xfId="0" applyFill="1" applyBorder="1" applyProtection="1">
      <protection locked="0"/>
    </xf>
    <xf numFmtId="170" fontId="14" fillId="8" borderId="28" xfId="4" applyNumberFormat="1" applyFont="1" applyFill="1" applyBorder="1" applyAlignment="1" applyProtection="1">
      <alignment vertical="center"/>
      <protection locked="0"/>
    </xf>
    <xf numFmtId="0" fontId="0" fillId="8" borderId="8" xfId="0" applyFill="1" applyBorder="1" applyAlignment="1" applyProtection="1">
      <alignment horizontal="left" vertical="center"/>
      <protection locked="0"/>
    </xf>
    <xf numFmtId="0" fontId="0" fillId="40" borderId="8" xfId="0" applyFill="1" applyBorder="1" applyAlignment="1" applyProtection="1">
      <alignment horizontal="left" vertical="center"/>
      <protection locked="0"/>
    </xf>
    <xf numFmtId="165" fontId="4" fillId="40" borderId="11" xfId="4" applyNumberFormat="1" applyFont="1" applyFill="1" applyBorder="1" applyAlignment="1" applyProtection="1">
      <alignment vertical="center"/>
      <protection locked="0"/>
    </xf>
    <xf numFmtId="0" fontId="0" fillId="40" borderId="11" xfId="0" applyFill="1" applyBorder="1" applyAlignment="1" applyProtection="1">
      <alignment horizontal="left" vertical="center"/>
      <protection locked="0"/>
    </xf>
    <xf numFmtId="0" fontId="0" fillId="8" borderId="13" xfId="0" applyFill="1" applyBorder="1" applyAlignment="1" applyProtection="1">
      <alignment horizontal="left" vertical="center"/>
      <protection locked="0"/>
    </xf>
    <xf numFmtId="165" fontId="4" fillId="8" borderId="16" xfId="4" applyNumberFormat="1" applyFont="1" applyFill="1" applyBorder="1" applyAlignment="1" applyProtection="1">
      <alignment vertical="center"/>
      <protection locked="0"/>
    </xf>
    <xf numFmtId="0" fontId="2" fillId="0" borderId="91" xfId="0" applyFont="1" applyBorder="1" applyAlignment="1">
      <alignment horizontal="left" vertical="center"/>
    </xf>
    <xf numFmtId="165" fontId="4" fillId="26" borderId="75" xfId="4" applyNumberFormat="1" applyFont="1" applyFill="1" applyBorder="1" applyAlignment="1">
      <alignment vertical="center"/>
    </xf>
    <xf numFmtId="165" fontId="4" fillId="26" borderId="16" xfId="4" applyNumberFormat="1" applyFont="1" applyFill="1" applyBorder="1" applyAlignment="1" applyProtection="1">
      <alignment vertical="center"/>
    </xf>
    <xf numFmtId="9" fontId="14" fillId="0" borderId="51" xfId="11" applyBorder="1" applyAlignment="1" applyProtection="1">
      <alignment horizontal="center"/>
    </xf>
    <xf numFmtId="170" fontId="14" fillId="8" borderId="22" xfId="4" applyNumberFormat="1" applyFont="1" applyFill="1" applyBorder="1" applyAlignment="1" applyProtection="1">
      <alignment vertical="center"/>
      <protection locked="0"/>
    </xf>
    <xf numFmtId="165" fontId="4" fillId="16" borderId="1" xfId="4" applyNumberFormat="1" applyFont="1" applyFill="1" applyBorder="1" applyAlignment="1" applyProtection="1">
      <alignment vertical="center"/>
    </xf>
    <xf numFmtId="165" fontId="4" fillId="39" borderId="34" xfId="4" applyNumberFormat="1" applyFont="1" applyFill="1" applyBorder="1" applyAlignment="1" applyProtection="1">
      <alignment vertical="center"/>
    </xf>
    <xf numFmtId="165" fontId="2" fillId="16" borderId="16" xfId="4" applyNumberFormat="1" applyFont="1" applyFill="1" applyBorder="1" applyAlignment="1" applyProtection="1">
      <alignment vertical="center"/>
    </xf>
    <xf numFmtId="0" fontId="2" fillId="29" borderId="83" xfId="0" applyFont="1" applyFill="1" applyBorder="1" applyAlignment="1">
      <alignment horizontal="center" vertical="center"/>
    </xf>
    <xf numFmtId="165" fontId="2" fillId="29" borderId="72" xfId="4" applyNumberFormat="1" applyFont="1" applyFill="1" applyBorder="1" applyAlignment="1" applyProtection="1">
      <alignment vertical="center"/>
    </xf>
    <xf numFmtId="0" fontId="2" fillId="0" borderId="11" xfId="0" applyFont="1" applyBorder="1" applyAlignment="1">
      <alignment horizontal="left" vertical="center"/>
    </xf>
    <xf numFmtId="165" fontId="4" fillId="16" borderId="11" xfId="4" applyNumberFormat="1" applyFont="1" applyFill="1" applyBorder="1" applyAlignment="1" applyProtection="1">
      <alignment vertical="center"/>
    </xf>
    <xf numFmtId="165" fontId="4" fillId="39" borderId="11" xfId="4" applyNumberFormat="1" applyFont="1" applyFill="1" applyBorder="1" applyAlignment="1" applyProtection="1">
      <alignment vertical="center"/>
    </xf>
    <xf numFmtId="9" fontId="2" fillId="29" borderId="70" xfId="11" applyFont="1" applyFill="1" applyBorder="1" applyAlignment="1" applyProtection="1">
      <alignment horizontal="center" vertical="center"/>
    </xf>
    <xf numFmtId="171" fontId="4" fillId="19" borderId="46" xfId="4" applyNumberFormat="1" applyFont="1" applyFill="1" applyBorder="1" applyAlignment="1" applyProtection="1">
      <alignment vertical="center"/>
    </xf>
    <xf numFmtId="171" fontId="4" fillId="19" borderId="40" xfId="4" applyNumberFormat="1" applyFont="1" applyFill="1" applyBorder="1" applyAlignment="1" applyProtection="1">
      <alignment vertical="center"/>
    </xf>
    <xf numFmtId="171" fontId="4" fillId="19" borderId="49" xfId="4" applyNumberFormat="1" applyFont="1" applyFill="1" applyBorder="1" applyAlignment="1" applyProtection="1">
      <alignment horizontal="right" vertical="center"/>
    </xf>
    <xf numFmtId="171" fontId="4" fillId="8" borderId="12" xfId="4" applyNumberFormat="1" applyFont="1" applyFill="1" applyBorder="1" applyAlignment="1" applyProtection="1">
      <alignment horizontal="right" vertical="center"/>
      <protection locked="0"/>
    </xf>
    <xf numFmtId="171" fontId="4" fillId="8" borderId="27" xfId="4" applyNumberFormat="1" applyFont="1" applyFill="1" applyBorder="1" applyAlignment="1" applyProtection="1">
      <alignment horizontal="right" vertical="center"/>
      <protection locked="0"/>
    </xf>
    <xf numFmtId="171" fontId="4" fillId="8" borderId="10" xfId="4" applyNumberFormat="1" applyFont="1" applyFill="1" applyBorder="1" applyAlignment="1" applyProtection="1">
      <alignment horizontal="right" vertical="center"/>
      <protection locked="0"/>
    </xf>
    <xf numFmtId="0" fontId="2" fillId="41" borderId="68" xfId="0" applyFont="1" applyFill="1" applyBorder="1" applyAlignment="1">
      <alignment horizontal="left" vertical="center"/>
    </xf>
    <xf numFmtId="165" fontId="4" fillId="41" borderId="2" xfId="4" applyNumberFormat="1" applyFont="1" applyFill="1" applyBorder="1" applyAlignment="1" applyProtection="1">
      <alignment vertical="center"/>
    </xf>
    <xf numFmtId="165" fontId="4" fillId="42" borderId="30" xfId="4" applyNumberFormat="1" applyFont="1" applyFill="1" applyBorder="1" applyAlignment="1" applyProtection="1">
      <alignment vertical="center"/>
    </xf>
    <xf numFmtId="165" fontId="2" fillId="41" borderId="11" xfId="4" applyNumberFormat="1" applyFont="1" applyFill="1" applyBorder="1" applyAlignment="1" applyProtection="1">
      <alignment vertical="center"/>
    </xf>
    <xf numFmtId="165" fontId="4" fillId="41" borderId="11" xfId="4" applyNumberFormat="1" applyFont="1" applyFill="1" applyBorder="1" applyAlignment="1">
      <alignment vertical="center"/>
    </xf>
    <xf numFmtId="165" fontId="4" fillId="41" borderId="11" xfId="4" applyNumberFormat="1" applyFont="1" applyFill="1" applyBorder="1" applyAlignment="1" applyProtection="1">
      <alignment vertical="center"/>
    </xf>
    <xf numFmtId="165" fontId="2" fillId="41" borderId="8" xfId="4" applyNumberFormat="1" applyFont="1" applyFill="1" applyBorder="1" applyAlignment="1" applyProtection="1">
      <alignment vertical="center"/>
    </xf>
    <xf numFmtId="165" fontId="2" fillId="41" borderId="69" xfId="4" applyNumberFormat="1" applyFont="1" applyFill="1" applyBorder="1" applyAlignment="1" applyProtection="1">
      <alignment vertical="center"/>
    </xf>
    <xf numFmtId="165" fontId="2" fillId="41" borderId="11" xfId="0" applyNumberFormat="1" applyFont="1" applyFill="1" applyBorder="1" applyAlignment="1">
      <alignment vertical="center"/>
    </xf>
    <xf numFmtId="171" fontId="4" fillId="41" borderId="82" xfId="4" applyNumberFormat="1" applyFont="1" applyFill="1" applyBorder="1" applyAlignment="1" applyProtection="1">
      <alignment vertical="center"/>
    </xf>
    <xf numFmtId="9" fontId="2" fillId="0" borderId="0" xfId="11" applyFont="1" applyAlignment="1">
      <alignment horizontal="center" vertical="center"/>
    </xf>
    <xf numFmtId="42" fontId="14" fillId="0" borderId="0" xfId="5" applyFont="1" applyAlignment="1">
      <alignment vertical="center"/>
    </xf>
    <xf numFmtId="9" fontId="0" fillId="0" borderId="0" xfId="0" applyNumberFormat="1" applyAlignment="1">
      <alignment horizontal="right" vertical="center"/>
    </xf>
    <xf numFmtId="0" fontId="17" fillId="0" borderId="0" xfId="0" applyFont="1" applyAlignment="1">
      <alignment horizontal="center" vertical="center"/>
    </xf>
    <xf numFmtId="9" fontId="17" fillId="0" borderId="0" xfId="0" applyNumberFormat="1" applyFont="1" applyAlignment="1">
      <alignment vertical="center"/>
    </xf>
    <xf numFmtId="165" fontId="0" fillId="0" borderId="0" xfId="0" applyNumberFormat="1" applyAlignment="1">
      <alignment vertical="center"/>
    </xf>
    <xf numFmtId="9" fontId="14" fillId="0" borderId="0" xfId="11" applyFont="1" applyAlignment="1">
      <alignment vertical="center"/>
    </xf>
    <xf numFmtId="42" fontId="0" fillId="0" borderId="0" xfId="0" applyNumberFormat="1" applyAlignment="1">
      <alignment vertical="center"/>
    </xf>
    <xf numFmtId="170" fontId="0" fillId="0" borderId="0" xfId="0" applyNumberFormat="1" applyAlignment="1">
      <alignment vertical="center"/>
    </xf>
    <xf numFmtId="177" fontId="18" fillId="21" borderId="0" xfId="0" applyNumberFormat="1" applyFont="1" applyFill="1"/>
    <xf numFmtId="165" fontId="2" fillId="0" borderId="15"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165" fontId="2" fillId="0" borderId="17" xfId="0" applyNumberFormat="1" applyFont="1" applyBorder="1" applyAlignment="1">
      <alignment horizontal="center" vertical="center" wrapText="1"/>
    </xf>
    <xf numFmtId="165" fontId="4" fillId="0" borderId="20" xfId="4" applyNumberFormat="1" applyFont="1" applyFill="1" applyBorder="1" applyAlignment="1" applyProtection="1">
      <alignment vertical="center"/>
    </xf>
    <xf numFmtId="165" fontId="4" fillId="0" borderId="21" xfId="4" applyNumberFormat="1" applyFont="1" applyFill="1" applyBorder="1" applyAlignment="1" applyProtection="1">
      <alignment vertical="center"/>
    </xf>
    <xf numFmtId="165" fontId="4" fillId="0" borderId="19" xfId="4" applyNumberFormat="1" applyFont="1" applyFill="1" applyBorder="1" applyAlignment="1" applyProtection="1">
      <alignment vertical="center"/>
    </xf>
    <xf numFmtId="165" fontId="4" fillId="0" borderId="10" xfId="4" applyNumberFormat="1" applyFont="1" applyFill="1" applyBorder="1" applyAlignment="1" applyProtection="1">
      <alignment vertical="center"/>
    </xf>
    <xf numFmtId="165" fontId="4" fillId="0" borderId="11" xfId="4" applyNumberFormat="1" applyFont="1" applyFill="1" applyBorder="1" applyAlignment="1" applyProtection="1">
      <alignment vertical="center"/>
    </xf>
    <xf numFmtId="165" fontId="4" fillId="0" borderId="9" xfId="4" applyNumberFormat="1" applyFont="1" applyFill="1" applyBorder="1" applyAlignment="1" applyProtection="1">
      <alignment vertical="center"/>
    </xf>
    <xf numFmtId="165" fontId="4" fillId="0" borderId="25" xfId="4" applyNumberFormat="1" applyFont="1" applyFill="1" applyBorder="1" applyAlignment="1" applyProtection="1">
      <alignment vertical="center"/>
    </xf>
    <xf numFmtId="165" fontId="4" fillId="0" borderId="26" xfId="4" applyNumberFormat="1" applyFont="1" applyFill="1" applyBorder="1" applyAlignment="1" applyProtection="1">
      <alignment vertical="center"/>
    </xf>
    <xf numFmtId="165" fontId="4" fillId="0" borderId="24" xfId="4" applyNumberFormat="1" applyFont="1" applyFill="1" applyBorder="1" applyAlignment="1" applyProtection="1">
      <alignment vertical="center"/>
    </xf>
    <xf numFmtId="165" fontId="4" fillId="0" borderId="6" xfId="4" applyNumberFormat="1" applyFont="1" applyFill="1" applyBorder="1" applyAlignment="1" applyProtection="1">
      <alignment vertical="center"/>
    </xf>
    <xf numFmtId="165" fontId="4" fillId="0" borderId="7" xfId="4" applyNumberFormat="1" applyFont="1" applyFill="1" applyBorder="1" applyAlignment="1" applyProtection="1">
      <alignment vertical="center"/>
    </xf>
    <xf numFmtId="165" fontId="4" fillId="0" borderId="28" xfId="4" applyNumberFormat="1" applyFont="1" applyFill="1" applyBorder="1" applyAlignment="1" applyProtection="1">
      <alignment vertical="center"/>
    </xf>
    <xf numFmtId="165" fontId="4" fillId="0" borderId="12" xfId="4" applyNumberFormat="1" applyFont="1" applyFill="1" applyBorder="1" applyAlignment="1" applyProtection="1">
      <alignment vertical="center"/>
    </xf>
    <xf numFmtId="165" fontId="4" fillId="0" borderId="15" xfId="4" applyNumberFormat="1" applyFont="1" applyFill="1" applyBorder="1" applyAlignment="1" applyProtection="1">
      <alignment vertical="center"/>
    </xf>
    <xf numFmtId="165" fontId="4" fillId="0" borderId="16" xfId="4" applyNumberFormat="1" applyFont="1" applyFill="1" applyBorder="1" applyAlignment="1" applyProtection="1">
      <alignment vertical="center"/>
    </xf>
    <xf numFmtId="165" fontId="4" fillId="0" borderId="17" xfId="4" applyNumberFormat="1" applyFont="1" applyFill="1" applyBorder="1" applyAlignment="1" applyProtection="1">
      <alignment vertical="center"/>
    </xf>
    <xf numFmtId="165" fontId="4" fillId="0" borderId="22" xfId="4" applyNumberFormat="1" applyFont="1" applyFill="1" applyBorder="1" applyAlignment="1" applyProtection="1">
      <alignment vertical="center"/>
    </xf>
    <xf numFmtId="165" fontId="4" fillId="0" borderId="27" xfId="4" applyNumberFormat="1" applyFont="1" applyFill="1" applyBorder="1" applyAlignment="1" applyProtection="1">
      <alignment vertical="center"/>
    </xf>
    <xf numFmtId="165" fontId="4" fillId="0" borderId="74" xfId="4" applyNumberFormat="1" applyFont="1" applyFill="1" applyBorder="1" applyAlignment="1" applyProtection="1">
      <alignment vertical="center"/>
    </xf>
    <xf numFmtId="165" fontId="4" fillId="0" borderId="72" xfId="4" applyNumberFormat="1" applyFont="1" applyFill="1" applyBorder="1" applyAlignment="1" applyProtection="1">
      <alignment vertical="center"/>
    </xf>
    <xf numFmtId="165" fontId="4" fillId="0" borderId="73" xfId="4" applyNumberFormat="1" applyFont="1" applyFill="1" applyBorder="1" applyAlignment="1" applyProtection="1">
      <alignment vertical="center"/>
    </xf>
    <xf numFmtId="165" fontId="4" fillId="0" borderId="79" xfId="4" applyNumberFormat="1" applyFont="1" applyFill="1" applyBorder="1" applyAlignment="1" applyProtection="1">
      <alignment vertical="center"/>
    </xf>
    <xf numFmtId="165" fontId="4" fillId="0" borderId="80" xfId="4" applyNumberFormat="1" applyFont="1" applyFill="1" applyBorder="1" applyAlignment="1" applyProtection="1">
      <alignment vertical="center"/>
    </xf>
    <xf numFmtId="165" fontId="2" fillId="0" borderId="92"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93" xfId="0" applyNumberFormat="1" applyFont="1" applyBorder="1" applyAlignment="1">
      <alignment horizontal="center" vertical="center" wrapText="1"/>
    </xf>
    <xf numFmtId="0" fontId="0" fillId="0" borderId="46" xfId="0" applyBorder="1" applyAlignment="1">
      <alignment horizontal="left" vertical="center"/>
    </xf>
    <xf numFmtId="0" fontId="0" fillId="0" borderId="40" xfId="0" applyBorder="1" applyAlignment="1">
      <alignment horizontal="left" vertical="center"/>
    </xf>
    <xf numFmtId="171" fontId="4" fillId="0" borderId="10" xfId="4" applyNumberFormat="1" applyFont="1" applyFill="1" applyBorder="1" applyAlignment="1" applyProtection="1">
      <alignment vertical="center"/>
    </xf>
    <xf numFmtId="171" fontId="4" fillId="0" borderId="11" xfId="4" applyNumberFormat="1" applyFont="1" applyFill="1" applyBorder="1" applyAlignment="1" applyProtection="1">
      <alignment vertical="center"/>
    </xf>
    <xf numFmtId="0" fontId="2" fillId="0" borderId="40" xfId="0" applyFont="1" applyBorder="1" applyAlignment="1">
      <alignment horizontal="left" vertical="center"/>
    </xf>
    <xf numFmtId="0" fontId="0" fillId="0" borderId="40" xfId="0" applyBorder="1" applyAlignment="1">
      <alignment horizontal="right" vertical="center"/>
    </xf>
    <xf numFmtId="171" fontId="4" fillId="0" borderId="15" xfId="4" applyNumberFormat="1" applyFont="1" applyFill="1" applyBorder="1" applyAlignment="1" applyProtection="1">
      <alignment vertical="center"/>
    </xf>
    <xf numFmtId="0" fontId="0" fillId="0" borderId="49" xfId="0" applyBorder="1" applyAlignment="1">
      <alignment horizontal="left" vertical="center"/>
    </xf>
    <xf numFmtId="171" fontId="4" fillId="19" borderId="42" xfId="4" applyNumberFormat="1" applyFont="1" applyFill="1" applyBorder="1" applyAlignment="1" applyProtection="1">
      <alignment vertical="center"/>
    </xf>
    <xf numFmtId="171" fontId="4" fillId="19" borderId="43" xfId="4" applyNumberFormat="1" applyFont="1" applyFill="1" applyBorder="1" applyAlignment="1" applyProtection="1">
      <alignment vertical="center"/>
    </xf>
    <xf numFmtId="0" fontId="0" fillId="8" borderId="6" xfId="0" applyFill="1" applyBorder="1" applyAlignment="1" applyProtection="1">
      <alignment horizontal="left" vertical="center"/>
      <protection locked="0"/>
    </xf>
    <xf numFmtId="0" fontId="0" fillId="40" borderId="10" xfId="0" applyFill="1" applyBorder="1" applyAlignment="1" applyProtection="1">
      <alignment horizontal="left" vertical="center"/>
      <protection locked="0"/>
    </xf>
    <xf numFmtId="165" fontId="4" fillId="40" borderId="12" xfId="4" applyNumberFormat="1" applyFont="1" applyFill="1" applyBorder="1" applyAlignment="1" applyProtection="1">
      <alignment vertical="center"/>
      <protection locked="0"/>
    </xf>
    <xf numFmtId="0" fontId="0" fillId="8" borderId="10" xfId="0" applyFill="1" applyBorder="1" applyAlignment="1" applyProtection="1">
      <alignment horizontal="left" vertical="center"/>
      <protection locked="0"/>
    </xf>
    <xf numFmtId="0" fontId="0" fillId="8" borderId="25" xfId="0" applyFill="1" applyBorder="1" applyAlignment="1" applyProtection="1">
      <alignment horizontal="left" vertical="center"/>
      <protection locked="0"/>
    </xf>
    <xf numFmtId="165" fontId="4" fillId="8" borderId="19" xfId="4" applyNumberFormat="1" applyFont="1" applyFill="1" applyBorder="1" applyAlignment="1" applyProtection="1">
      <alignment vertical="center"/>
      <protection locked="0"/>
    </xf>
    <xf numFmtId="165" fontId="4" fillId="8" borderId="9" xfId="4" applyNumberFormat="1" applyFont="1" applyFill="1" applyBorder="1" applyAlignment="1" applyProtection="1">
      <alignment vertical="center"/>
      <protection locked="0"/>
    </xf>
    <xf numFmtId="165" fontId="4" fillId="8" borderId="24" xfId="4" applyNumberFormat="1" applyFont="1" applyFill="1" applyBorder="1" applyAlignment="1" applyProtection="1">
      <alignment vertical="center"/>
      <protection locked="0"/>
    </xf>
    <xf numFmtId="165" fontId="4" fillId="19" borderId="41" xfId="4" applyNumberFormat="1" applyFont="1" applyFill="1" applyBorder="1" applyAlignment="1" applyProtection="1">
      <alignment vertical="center"/>
    </xf>
    <xf numFmtId="165" fontId="4" fillId="19" borderId="42" xfId="4" applyNumberFormat="1" applyFont="1" applyFill="1" applyBorder="1" applyAlignment="1" applyProtection="1">
      <alignment vertical="center"/>
    </xf>
    <xf numFmtId="165" fontId="4" fillId="19" borderId="43" xfId="4" applyNumberFormat="1" applyFont="1" applyFill="1" applyBorder="1" applyAlignment="1" applyProtection="1">
      <alignment vertical="center"/>
    </xf>
    <xf numFmtId="0" fontId="2" fillId="0" borderId="0" xfId="9" applyFont="1" applyAlignment="1">
      <alignment vertical="center"/>
    </xf>
    <xf numFmtId="0" fontId="4" fillId="0" borderId="0" xfId="9" applyAlignment="1">
      <alignment vertical="center"/>
    </xf>
    <xf numFmtId="0" fontId="4" fillId="25" borderId="0" xfId="9" applyFill="1"/>
    <xf numFmtId="0" fontId="4" fillId="25" borderId="0" xfId="9" applyFill="1" applyAlignment="1">
      <alignment horizontal="left" vertical="center"/>
    </xf>
    <xf numFmtId="177" fontId="2" fillId="25" borderId="0" xfId="9" applyNumberFormat="1" applyFont="1" applyFill="1" applyAlignment="1">
      <alignment horizontal="right" vertical="center"/>
    </xf>
    <xf numFmtId="0" fontId="4" fillId="25" borderId="98" xfId="9" applyFill="1" applyBorder="1"/>
    <xf numFmtId="0" fontId="4" fillId="25" borderId="99" xfId="9" applyFill="1" applyBorder="1"/>
    <xf numFmtId="0" fontId="4" fillId="25" borderId="84" xfId="9" applyFill="1" applyBorder="1"/>
    <xf numFmtId="0" fontId="4" fillId="25" borderId="71" xfId="9" applyFill="1" applyBorder="1"/>
    <xf numFmtId="0" fontId="4" fillId="25" borderId="100" xfId="9" applyFill="1" applyBorder="1"/>
    <xf numFmtId="177" fontId="4" fillId="28" borderId="11" xfId="9" applyNumberFormat="1" applyFill="1" applyBorder="1" applyAlignment="1">
      <alignment horizontal="center" vertical="center"/>
    </xf>
    <xf numFmtId="172" fontId="2" fillId="26" borderId="11" xfId="12" applyNumberFormat="1" applyFont="1" applyFill="1" applyBorder="1" applyAlignment="1">
      <alignment horizontal="center" vertical="center"/>
    </xf>
    <xf numFmtId="0" fontId="2" fillId="27" borderId="71" xfId="9" applyFont="1" applyFill="1" applyBorder="1" applyAlignment="1">
      <alignment horizontal="center" vertical="center" wrapText="1"/>
    </xf>
    <xf numFmtId="0" fontId="2" fillId="27" borderId="90" xfId="9" applyFont="1" applyFill="1" applyBorder="1" applyAlignment="1">
      <alignment horizontal="center" vertical="center" wrapText="1"/>
    </xf>
    <xf numFmtId="0" fontId="2" fillId="27" borderId="17" xfId="9" applyFont="1" applyFill="1" applyBorder="1" applyAlignment="1">
      <alignment horizontal="center" vertical="center" wrapText="1"/>
    </xf>
    <xf numFmtId="0" fontId="9" fillId="43" borderId="25" xfId="9" applyFont="1" applyFill="1" applyBorder="1" applyAlignment="1">
      <alignment horizontal="center" vertical="center"/>
    </xf>
    <xf numFmtId="0" fontId="9" fillId="43" borderId="24" xfId="9" applyFont="1" applyFill="1" applyBorder="1" applyAlignment="1">
      <alignment horizontal="center" vertical="center"/>
    </xf>
    <xf numFmtId="0" fontId="9" fillId="44" borderId="25" xfId="9" applyFont="1" applyFill="1" applyBorder="1" applyAlignment="1">
      <alignment horizontal="center" vertical="center"/>
    </xf>
    <xf numFmtId="0" fontId="9" fillId="44" borderId="27" xfId="9" applyFont="1" applyFill="1" applyBorder="1" applyAlignment="1">
      <alignment horizontal="center" vertical="center"/>
    </xf>
    <xf numFmtId="0" fontId="9" fillId="22" borderId="23" xfId="9" applyFont="1" applyFill="1" applyBorder="1" applyAlignment="1">
      <alignment horizontal="center" vertical="center"/>
    </xf>
    <xf numFmtId="0" fontId="9" fillId="22" borderId="24" xfId="9" applyFont="1" applyFill="1" applyBorder="1" applyAlignment="1">
      <alignment horizontal="center" vertical="center"/>
    </xf>
    <xf numFmtId="0" fontId="9" fillId="22" borderId="27" xfId="9" applyFont="1" applyFill="1" applyBorder="1" applyAlignment="1">
      <alignment horizontal="center" vertical="center"/>
    </xf>
    <xf numFmtId="0" fontId="9" fillId="43" borderId="15" xfId="9" applyFont="1" applyFill="1" applyBorder="1" applyAlignment="1">
      <alignment horizontal="center" vertical="center"/>
    </xf>
    <xf numFmtId="0" fontId="9" fillId="43" borderId="17" xfId="9" applyFont="1" applyFill="1" applyBorder="1" applyAlignment="1">
      <alignment horizontal="center" vertical="center"/>
    </xf>
    <xf numFmtId="0" fontId="9" fillId="44" borderId="15" xfId="9" applyFont="1" applyFill="1" applyBorder="1" applyAlignment="1">
      <alignment horizontal="center" vertical="center"/>
    </xf>
    <xf numFmtId="0" fontId="9" fillId="44" borderId="17" xfId="9" applyFont="1" applyFill="1" applyBorder="1" applyAlignment="1">
      <alignment horizontal="center" vertical="center"/>
    </xf>
    <xf numFmtId="0" fontId="9" fillId="22" borderId="15" xfId="9" applyFont="1" applyFill="1" applyBorder="1" applyAlignment="1">
      <alignment horizontal="center" vertical="center"/>
    </xf>
    <xf numFmtId="0" fontId="9" fillId="22" borderId="17" xfId="9" applyFont="1" applyFill="1" applyBorder="1" applyAlignment="1">
      <alignment horizontal="center" vertical="center"/>
    </xf>
    <xf numFmtId="0" fontId="4" fillId="8" borderId="18" xfId="9" applyFill="1" applyBorder="1" applyAlignment="1" applyProtection="1">
      <alignment horizontal="left" vertical="center"/>
      <protection locked="0"/>
    </xf>
    <xf numFmtId="0" fontId="4" fillId="8" borderId="21" xfId="9" applyFill="1" applyBorder="1" applyAlignment="1" applyProtection="1">
      <alignment horizontal="left" vertical="center"/>
      <protection locked="0"/>
    </xf>
    <xf numFmtId="0" fontId="4" fillId="8" borderId="21" xfId="9" applyFill="1" applyBorder="1" applyProtection="1">
      <protection locked="0"/>
    </xf>
    <xf numFmtId="0" fontId="4" fillId="8" borderId="19" xfId="9" applyFill="1" applyBorder="1" applyProtection="1">
      <protection locked="0"/>
    </xf>
    <xf numFmtId="171" fontId="14" fillId="8" borderId="21" xfId="6" applyNumberFormat="1" applyFont="1" applyFill="1" applyBorder="1" applyAlignment="1" applyProtection="1">
      <alignment vertical="center"/>
      <protection locked="0"/>
    </xf>
    <xf numFmtId="171" fontId="14" fillId="8" borderId="19" xfId="6" applyNumberFormat="1" applyFont="1" applyFill="1" applyBorder="1" applyAlignment="1" applyProtection="1">
      <alignment vertical="center"/>
      <protection locked="0"/>
    </xf>
    <xf numFmtId="177" fontId="4" fillId="19" borderId="41" xfId="9" applyNumberFormat="1" applyFill="1" applyBorder="1" applyAlignment="1">
      <alignment horizontal="right" vertical="center"/>
    </xf>
    <xf numFmtId="177" fontId="4" fillId="0" borderId="41" xfId="9" applyNumberFormat="1" applyBorder="1" applyAlignment="1">
      <alignment horizontal="right" vertical="center"/>
    </xf>
    <xf numFmtId="9" fontId="4" fillId="8" borderId="20" xfId="9" applyNumberFormat="1" applyFill="1" applyBorder="1" applyAlignment="1" applyProtection="1">
      <alignment horizontal="center" vertical="center"/>
      <protection locked="0"/>
    </xf>
    <xf numFmtId="177" fontId="4" fillId="0" borderId="19" xfId="9" applyNumberFormat="1" applyBorder="1" applyAlignment="1">
      <alignment horizontal="right" vertical="center"/>
    </xf>
    <xf numFmtId="177" fontId="4" fillId="0" borderId="22" xfId="9" applyNumberFormat="1" applyBorder="1" applyAlignment="1">
      <alignment horizontal="right" vertical="center"/>
    </xf>
    <xf numFmtId="9" fontId="4" fillId="28" borderId="41" xfId="9" applyNumberFormat="1" applyFill="1" applyBorder="1" applyAlignment="1">
      <alignment horizontal="center" vertical="center"/>
    </xf>
    <xf numFmtId="0" fontId="2" fillId="10" borderId="11" xfId="9" applyFont="1" applyFill="1" applyBorder="1" applyAlignment="1">
      <alignment horizontal="center" vertical="center"/>
    </xf>
    <xf numFmtId="0" fontId="7" fillId="11" borderId="11" xfId="9" applyFont="1" applyFill="1" applyBorder="1" applyAlignment="1">
      <alignment horizontal="left" vertical="center"/>
    </xf>
    <xf numFmtId="165" fontId="7" fillId="11" borderId="11" xfId="6" applyNumberFormat="1" applyFont="1" applyFill="1" applyBorder="1" applyAlignment="1">
      <alignment horizontal="center" vertical="center"/>
    </xf>
    <xf numFmtId="9" fontId="30" fillId="0" borderId="76" xfId="12" applyFont="1" applyBorder="1" applyAlignment="1">
      <alignment horizontal="center" vertical="center"/>
    </xf>
    <xf numFmtId="177" fontId="4" fillId="45" borderId="77" xfId="9" applyNumberFormat="1" applyFill="1" applyBorder="1" applyAlignment="1">
      <alignment horizontal="right" vertical="center"/>
    </xf>
    <xf numFmtId="177" fontId="4" fillId="45" borderId="73" xfId="9" applyNumberFormat="1" applyFill="1" applyBorder="1" applyAlignment="1">
      <alignment horizontal="right" vertical="center"/>
    </xf>
    <xf numFmtId="9" fontId="30" fillId="0" borderId="101" xfId="12" applyFont="1" applyBorder="1" applyAlignment="1">
      <alignment horizontal="center" vertical="center"/>
    </xf>
    <xf numFmtId="9" fontId="4" fillId="21" borderId="59" xfId="9" applyNumberFormat="1" applyFill="1" applyBorder="1" applyAlignment="1">
      <alignment horizontal="center" vertical="center"/>
    </xf>
    <xf numFmtId="177" fontId="4" fillId="28" borderId="53" xfId="9" applyNumberFormat="1" applyFill="1" applyBorder="1" applyAlignment="1">
      <alignment horizontal="right" vertical="center"/>
    </xf>
    <xf numFmtId="9" fontId="4" fillId="21" borderId="53" xfId="9" applyNumberFormat="1" applyFill="1" applyBorder="1" applyAlignment="1">
      <alignment horizontal="center" vertical="center"/>
    </xf>
    <xf numFmtId="9" fontId="14" fillId="21" borderId="53" xfId="12" applyFont="1" applyFill="1" applyBorder="1" applyAlignment="1">
      <alignment horizontal="center" vertical="center"/>
    </xf>
    <xf numFmtId="177" fontId="4" fillId="28" borderId="60" xfId="9" applyNumberFormat="1" applyFill="1" applyBorder="1" applyAlignment="1">
      <alignment horizontal="right" vertical="center"/>
    </xf>
    <xf numFmtId="0" fontId="4" fillId="8" borderId="8" xfId="9" applyFill="1" applyBorder="1" applyAlignment="1" applyProtection="1">
      <alignment horizontal="left" vertical="center"/>
      <protection locked="0"/>
    </xf>
    <xf numFmtId="0" fontId="4" fillId="8" borderId="11" xfId="9" applyFill="1" applyBorder="1" applyAlignment="1" applyProtection="1">
      <alignment horizontal="left" vertical="center"/>
      <protection locked="0"/>
    </xf>
    <xf numFmtId="0" fontId="4" fillId="8" borderId="11" xfId="9" applyFill="1" applyBorder="1" applyProtection="1">
      <protection locked="0"/>
    </xf>
    <xf numFmtId="0" fontId="4" fillId="8" borderId="9" xfId="9" applyFill="1" applyBorder="1" applyProtection="1">
      <protection locked="0"/>
    </xf>
    <xf numFmtId="171" fontId="14" fillId="8" borderId="10" xfId="6" applyNumberFormat="1" applyFont="1" applyFill="1" applyBorder="1" applyAlignment="1" applyProtection="1">
      <alignment vertical="center"/>
      <protection locked="0"/>
    </xf>
    <xf numFmtId="171" fontId="14" fillId="8" borderId="11" xfId="6" applyNumberFormat="1" applyFont="1" applyFill="1" applyBorder="1" applyAlignment="1" applyProtection="1">
      <alignment vertical="center"/>
      <protection locked="0"/>
    </xf>
    <xf numFmtId="171" fontId="14" fillId="8" borderId="9" xfId="6" applyNumberFormat="1" applyFont="1" applyFill="1" applyBorder="1" applyAlignment="1" applyProtection="1">
      <alignment vertical="center"/>
      <protection locked="0"/>
    </xf>
    <xf numFmtId="177" fontId="4" fillId="19" borderId="42" xfId="9" applyNumberFormat="1" applyFill="1" applyBorder="1" applyAlignment="1">
      <alignment horizontal="right" vertical="center"/>
    </xf>
    <xf numFmtId="177" fontId="4" fillId="0" borderId="42" xfId="9" applyNumberFormat="1" applyBorder="1" applyAlignment="1">
      <alignment horizontal="right" vertical="center"/>
    </xf>
    <xf numFmtId="9" fontId="4" fillId="8" borderId="10" xfId="9" applyNumberFormat="1" applyFill="1" applyBorder="1" applyAlignment="1" applyProtection="1">
      <alignment horizontal="center" vertical="center"/>
      <protection locked="0"/>
    </xf>
    <xf numFmtId="177" fontId="4" fillId="0" borderId="9" xfId="9" applyNumberFormat="1" applyBorder="1" applyAlignment="1">
      <alignment horizontal="right" vertical="center"/>
    </xf>
    <xf numFmtId="177" fontId="4" fillId="0" borderId="12" xfId="9" applyNumberFormat="1" applyBorder="1" applyAlignment="1">
      <alignment horizontal="right" vertical="center"/>
    </xf>
    <xf numFmtId="9" fontId="14" fillId="8" borderId="8" xfId="12" applyFont="1" applyFill="1" applyBorder="1" applyAlignment="1" applyProtection="1">
      <alignment horizontal="center" vertical="center"/>
      <protection locked="0"/>
    </xf>
    <xf numFmtId="9" fontId="4" fillId="28" borderId="42" xfId="9" applyNumberFormat="1" applyFill="1" applyBorder="1" applyAlignment="1">
      <alignment horizontal="center" vertical="center"/>
    </xf>
    <xf numFmtId="0" fontId="2" fillId="14" borderId="11" xfId="9" applyFont="1" applyFill="1" applyBorder="1" applyAlignment="1">
      <alignment horizontal="center" vertical="center" wrapText="1"/>
    </xf>
    <xf numFmtId="0" fontId="7" fillId="14" borderId="11" xfId="9" applyFont="1" applyFill="1" applyBorder="1" applyAlignment="1">
      <alignment horizontal="left" vertical="center"/>
    </xf>
    <xf numFmtId="165" fontId="7" fillId="14" borderId="11" xfId="6" applyNumberFormat="1" applyFont="1" applyFill="1" applyBorder="1" applyAlignment="1">
      <alignment horizontal="center" vertical="center"/>
    </xf>
    <xf numFmtId="1" fontId="4" fillId="0" borderId="11" xfId="9" applyNumberFormat="1" applyBorder="1" applyAlignment="1">
      <alignment horizontal="center" vertical="center" wrapText="1"/>
    </xf>
    <xf numFmtId="175" fontId="8" fillId="0" borderId="11" xfId="9" applyNumberFormat="1" applyFont="1" applyBorder="1" applyAlignment="1">
      <alignment horizontal="left"/>
    </xf>
    <xf numFmtId="165" fontId="14" fillId="8" borderId="11" xfId="6" applyNumberFormat="1" applyFont="1" applyFill="1" applyBorder="1" applyAlignment="1" applyProtection="1">
      <alignment vertical="center"/>
      <protection locked="0"/>
    </xf>
    <xf numFmtId="0" fontId="4" fillId="25" borderId="83" xfId="9" applyFill="1" applyBorder="1"/>
    <xf numFmtId="0" fontId="4" fillId="25" borderId="102" xfId="9" applyFill="1" applyBorder="1"/>
    <xf numFmtId="0" fontId="4" fillId="25" borderId="103" xfId="9" applyFill="1" applyBorder="1"/>
    <xf numFmtId="165" fontId="7" fillId="14" borderId="11" xfId="6" applyNumberFormat="1" applyFont="1" applyFill="1" applyBorder="1" applyAlignment="1" applyProtection="1">
      <alignment horizontal="center" vertical="center"/>
      <protection locked="0"/>
    </xf>
    <xf numFmtId="0" fontId="4" fillId="8" borderId="23" xfId="9" applyFill="1" applyBorder="1" applyAlignment="1" applyProtection="1">
      <alignment horizontal="left" vertical="center"/>
      <protection locked="0"/>
    </xf>
    <xf numFmtId="0" fontId="4" fillId="8" borderId="26" xfId="9" applyFill="1" applyBorder="1" applyAlignment="1" applyProtection="1">
      <alignment horizontal="left" vertical="center"/>
      <protection locked="0"/>
    </xf>
    <xf numFmtId="0" fontId="4" fillId="8" borderId="26" xfId="9" applyFill="1" applyBorder="1" applyProtection="1">
      <protection locked="0"/>
    </xf>
    <xf numFmtId="0" fontId="4" fillId="8" borderId="24" xfId="9" applyFill="1" applyBorder="1" applyProtection="1">
      <protection locked="0"/>
    </xf>
    <xf numFmtId="171" fontId="14" fillId="8" borderId="25" xfId="6" applyNumberFormat="1" applyFont="1" applyFill="1" applyBorder="1" applyAlignment="1" applyProtection="1">
      <alignment vertical="center"/>
      <protection locked="0"/>
    </xf>
    <xf numFmtId="171" fontId="14" fillId="8" borderId="26" xfId="6" applyNumberFormat="1" applyFont="1" applyFill="1" applyBorder="1" applyAlignment="1" applyProtection="1">
      <alignment vertical="center"/>
      <protection locked="0"/>
    </xf>
    <xf numFmtId="171" fontId="14" fillId="8" borderId="24" xfId="6" applyNumberFormat="1" applyFont="1" applyFill="1" applyBorder="1" applyAlignment="1" applyProtection="1">
      <alignment vertical="center"/>
      <protection locked="0"/>
    </xf>
    <xf numFmtId="177" fontId="4" fillId="19" borderId="43" xfId="9" applyNumberFormat="1" applyFill="1" applyBorder="1" applyAlignment="1">
      <alignment horizontal="right" vertical="center"/>
    </xf>
    <xf numFmtId="177" fontId="4" fillId="0" borderId="43" xfId="9" applyNumberFormat="1" applyBorder="1" applyAlignment="1">
      <alignment horizontal="right" vertical="center"/>
    </xf>
    <xf numFmtId="9" fontId="4" fillId="8" borderId="25" xfId="9" applyNumberFormat="1" applyFill="1" applyBorder="1" applyAlignment="1" applyProtection="1">
      <alignment horizontal="center" vertical="center"/>
      <protection locked="0"/>
    </xf>
    <xf numFmtId="177" fontId="4" fillId="0" borderId="24" xfId="9" applyNumberFormat="1" applyBorder="1" applyAlignment="1">
      <alignment horizontal="right" vertical="center"/>
    </xf>
    <xf numFmtId="177" fontId="4" fillId="0" borderId="27" xfId="9" applyNumberFormat="1" applyBorder="1" applyAlignment="1">
      <alignment horizontal="right" vertical="center"/>
    </xf>
    <xf numFmtId="9" fontId="14" fillId="8" borderId="23" xfId="12" applyFont="1" applyFill="1" applyBorder="1" applyAlignment="1" applyProtection="1">
      <alignment horizontal="center" vertical="center"/>
      <protection locked="0"/>
    </xf>
    <xf numFmtId="9" fontId="4" fillId="28" borderId="43" xfId="9" applyNumberFormat="1" applyFill="1" applyBorder="1" applyAlignment="1">
      <alignment horizontal="center" vertical="center"/>
    </xf>
    <xf numFmtId="0" fontId="4" fillId="8" borderId="104" xfId="9" applyFill="1" applyBorder="1" applyAlignment="1" applyProtection="1">
      <alignment horizontal="left" vertical="center"/>
      <protection locked="0"/>
    </xf>
    <xf numFmtId="0" fontId="4" fillId="8" borderId="79" xfId="9" applyFill="1" applyBorder="1" applyAlignment="1" applyProtection="1">
      <alignment horizontal="left" vertical="center"/>
      <protection locked="0"/>
    </xf>
    <xf numFmtId="0" fontId="4" fillId="8" borderId="79" xfId="9" applyFill="1" applyBorder="1" applyProtection="1">
      <protection locked="0"/>
    </xf>
    <xf numFmtId="0" fontId="4" fillId="8" borderId="105" xfId="9" applyFill="1" applyBorder="1" applyProtection="1">
      <protection locked="0"/>
    </xf>
    <xf numFmtId="177" fontId="4" fillId="19" borderId="94" xfId="9" applyNumberFormat="1" applyFill="1" applyBorder="1" applyAlignment="1">
      <alignment horizontal="right" vertical="center"/>
    </xf>
    <xf numFmtId="177" fontId="4" fillId="0" borderId="94" xfId="9" applyNumberFormat="1" applyBorder="1" applyAlignment="1">
      <alignment horizontal="right" vertical="center"/>
    </xf>
    <xf numFmtId="0" fontId="4" fillId="8" borderId="13" xfId="9" applyFill="1" applyBorder="1" applyAlignment="1" applyProtection="1">
      <alignment horizontal="left" vertical="center"/>
      <protection locked="0"/>
    </xf>
    <xf numFmtId="0" fontId="4" fillId="8" borderId="16" xfId="9" applyFill="1" applyBorder="1" applyAlignment="1" applyProtection="1">
      <alignment horizontal="left" vertical="center"/>
      <protection locked="0"/>
    </xf>
    <xf numFmtId="0" fontId="4" fillId="8" borderId="16" xfId="9" applyFill="1" applyBorder="1" applyProtection="1">
      <protection locked="0"/>
    </xf>
    <xf numFmtId="0" fontId="4" fillId="8" borderId="14" xfId="9" applyFill="1" applyBorder="1" applyProtection="1">
      <protection locked="0"/>
    </xf>
    <xf numFmtId="177" fontId="4" fillId="19" borderId="55" xfId="9" applyNumberFormat="1" applyFill="1" applyBorder="1" applyAlignment="1">
      <alignment horizontal="right" vertical="center"/>
    </xf>
    <xf numFmtId="177" fontId="4" fillId="0" borderId="55" xfId="9" applyNumberFormat="1" applyBorder="1" applyAlignment="1">
      <alignment horizontal="right" vertical="center"/>
    </xf>
    <xf numFmtId="177" fontId="5" fillId="28" borderId="44" xfId="9" applyNumberFormat="1" applyFont="1" applyFill="1" applyBorder="1" applyAlignment="1">
      <alignment horizontal="right" vertical="center"/>
    </xf>
    <xf numFmtId="9" fontId="19" fillId="26" borderId="59" xfId="12" applyFont="1" applyFill="1" applyBorder="1" applyAlignment="1">
      <alignment horizontal="center" vertical="center"/>
    </xf>
    <xf numFmtId="177" fontId="5" fillId="28" borderId="60" xfId="9" applyNumberFormat="1" applyFont="1" applyFill="1" applyBorder="1" applyAlignment="1">
      <alignment horizontal="right" vertical="center"/>
    </xf>
    <xf numFmtId="9" fontId="19" fillId="26" borderId="123" xfId="12" applyFont="1" applyFill="1" applyBorder="1" applyAlignment="1">
      <alignment horizontal="center" vertical="center"/>
    </xf>
    <xf numFmtId="0" fontId="4" fillId="8" borderId="4" xfId="9" applyFill="1" applyBorder="1" applyAlignment="1" applyProtection="1">
      <alignment horizontal="left" vertical="center"/>
      <protection locked="0"/>
    </xf>
    <xf numFmtId="0" fontId="4" fillId="8" borderId="7" xfId="9" applyFill="1" applyBorder="1" applyAlignment="1" applyProtection="1">
      <alignment horizontal="left" vertical="center"/>
      <protection locked="0"/>
    </xf>
    <xf numFmtId="0" fontId="4" fillId="8" borderId="7" xfId="9" applyFill="1" applyBorder="1" applyProtection="1">
      <protection locked="0"/>
    </xf>
    <xf numFmtId="0" fontId="4" fillId="8" borderId="5" xfId="9" applyFill="1" applyBorder="1" applyProtection="1">
      <protection locked="0"/>
    </xf>
    <xf numFmtId="177" fontId="4" fillId="25" borderId="0" xfId="9" applyNumberFormat="1" applyFill="1"/>
    <xf numFmtId="0" fontId="4" fillId="25" borderId="0" xfId="9" applyFill="1" applyAlignment="1">
      <alignment horizontal="center" vertical="center"/>
    </xf>
    <xf numFmtId="0" fontId="2" fillId="23" borderId="11" xfId="9" applyFont="1" applyFill="1" applyBorder="1" applyAlignment="1">
      <alignment horizontal="center" vertical="center" wrapText="1"/>
    </xf>
    <xf numFmtId="0" fontId="2" fillId="7" borderId="11" xfId="9" applyFont="1" applyFill="1" applyBorder="1" applyAlignment="1">
      <alignment horizontal="left" vertical="center"/>
    </xf>
    <xf numFmtId="165" fontId="2" fillId="23" borderId="11" xfId="9" applyNumberFormat="1" applyFont="1" applyFill="1" applyBorder="1" applyAlignment="1">
      <alignment horizontal="center" vertical="center" wrapText="1"/>
    </xf>
    <xf numFmtId="178" fontId="4" fillId="25" borderId="0" xfId="9" applyNumberFormat="1" applyFill="1"/>
    <xf numFmtId="170" fontId="4" fillId="0" borderId="0" xfId="6" applyNumberFormat="1"/>
    <xf numFmtId="170" fontId="4" fillId="25" borderId="0" xfId="9" applyNumberFormat="1" applyFill="1"/>
    <xf numFmtId="165" fontId="0" fillId="0" borderId="0" xfId="0" applyNumberFormat="1"/>
    <xf numFmtId="9" fontId="14" fillId="0" borderId="0" xfId="11" applyFont="1"/>
    <xf numFmtId="0" fontId="0" fillId="0" borderId="58" xfId="0" applyBorder="1" applyAlignment="1">
      <alignment horizontal="left" vertical="center"/>
    </xf>
    <xf numFmtId="171" fontId="4" fillId="0" borderId="7" xfId="4" applyNumberFormat="1" applyFont="1" applyFill="1" applyBorder="1" applyAlignment="1" applyProtection="1">
      <alignment vertical="center"/>
    </xf>
    <xf numFmtId="171" fontId="4" fillId="0" borderId="12" xfId="4" applyNumberFormat="1" applyFont="1" applyFill="1" applyBorder="1" applyAlignment="1" applyProtection="1">
      <alignment vertical="center"/>
    </xf>
    <xf numFmtId="0" fontId="0" fillId="0" borderId="49" xfId="0" applyBorder="1" applyAlignment="1">
      <alignment horizontal="right" vertical="center"/>
    </xf>
    <xf numFmtId="0" fontId="0" fillId="0" borderId="56" xfId="0" applyBorder="1" applyAlignment="1">
      <alignment horizontal="left" vertical="center"/>
    </xf>
    <xf numFmtId="171" fontId="4" fillId="0" borderId="28" xfId="4" applyNumberFormat="1" applyFont="1" applyFill="1" applyBorder="1" applyAlignment="1" applyProtection="1">
      <alignment vertical="center"/>
    </xf>
    <xf numFmtId="171" fontId="4" fillId="0" borderId="17" xfId="4" applyNumberFormat="1" applyFont="1" applyFill="1" applyBorder="1" applyAlignment="1" applyProtection="1">
      <alignment vertical="center"/>
    </xf>
    <xf numFmtId="171" fontId="4" fillId="0" borderId="6" xfId="4" applyNumberFormat="1" applyFont="1" applyFill="1" applyBorder="1" applyAlignment="1" applyProtection="1">
      <alignment vertical="center"/>
    </xf>
    <xf numFmtId="171" fontId="0" fillId="21" borderId="0" xfId="0" applyNumberFormat="1" applyFill="1"/>
    <xf numFmtId="9" fontId="4" fillId="0" borderId="21" xfId="11" applyFont="1" applyFill="1" applyBorder="1" applyAlignment="1" applyProtection="1">
      <alignment horizontal="center" vertical="center"/>
    </xf>
    <xf numFmtId="9" fontId="4" fillId="0" borderId="11" xfId="11" applyFont="1" applyFill="1" applyBorder="1" applyAlignment="1" applyProtection="1">
      <alignment horizontal="center" vertical="center"/>
    </xf>
    <xf numFmtId="9" fontId="4" fillId="0" borderId="26" xfId="11" applyFont="1" applyFill="1" applyBorder="1" applyAlignment="1" applyProtection="1">
      <alignment horizontal="center" vertical="center"/>
    </xf>
    <xf numFmtId="9" fontId="4" fillId="0" borderId="7" xfId="11" applyFont="1" applyFill="1" applyBorder="1" applyAlignment="1" applyProtection="1">
      <alignment horizontal="center" vertical="center"/>
    </xf>
    <xf numFmtId="9" fontId="4" fillId="0" borderId="16" xfId="11" applyFont="1" applyFill="1" applyBorder="1" applyAlignment="1" applyProtection="1">
      <alignment horizontal="center" vertical="center"/>
    </xf>
    <xf numFmtId="0" fontId="18" fillId="46" borderId="0" xfId="0" applyFont="1" applyFill="1" applyAlignment="1">
      <alignment horizontal="center"/>
    </xf>
    <xf numFmtId="1" fontId="14" fillId="0" borderId="0" xfId="11" applyNumberFormat="1" applyFont="1" applyProtection="1"/>
    <xf numFmtId="9" fontId="14" fillId="0" borderId="0" xfId="11" applyFont="1" applyFill="1" applyProtection="1"/>
    <xf numFmtId="171" fontId="14" fillId="0" borderId="0" xfId="4" applyNumberFormat="1" applyFont="1" applyFill="1" applyBorder="1" applyAlignment="1" applyProtection="1">
      <alignment vertical="center"/>
    </xf>
    <xf numFmtId="0" fontId="0" fillId="0" borderId="82" xfId="0" applyBorder="1" applyAlignment="1">
      <alignment horizontal="left" vertical="center"/>
    </xf>
    <xf numFmtId="0" fontId="0" fillId="0" borderId="82" xfId="0" applyBorder="1" applyAlignment="1">
      <alignment horizontal="right" vertical="center"/>
    </xf>
    <xf numFmtId="0" fontId="0" fillId="0" borderId="56" xfId="0" applyBorder="1" applyAlignment="1">
      <alignment horizontal="right" vertical="center"/>
    </xf>
    <xf numFmtId="0" fontId="0" fillId="0" borderId="85" xfId="0" applyBorder="1" applyAlignment="1">
      <alignment horizontal="right" vertical="center"/>
    </xf>
    <xf numFmtId="0" fontId="0" fillId="0" borderId="81" xfId="0" applyBorder="1" applyAlignment="1">
      <alignment horizontal="left" vertical="center"/>
    </xf>
    <xf numFmtId="0" fontId="0" fillId="0" borderId="87" xfId="0" applyBorder="1" applyAlignment="1">
      <alignment horizontal="left" vertical="center"/>
    </xf>
    <xf numFmtId="0" fontId="0" fillId="0" borderId="87" xfId="0" applyBorder="1" applyAlignment="1">
      <alignment horizontal="right" vertical="center"/>
    </xf>
    <xf numFmtId="0" fontId="0" fillId="0" borderId="88" xfId="0" applyBorder="1" applyAlignment="1">
      <alignment horizontal="left" vertical="center"/>
    </xf>
    <xf numFmtId="173" fontId="14" fillId="8" borderId="11" xfId="4" applyNumberFormat="1" applyFont="1" applyFill="1" applyBorder="1" applyAlignment="1" applyProtection="1">
      <alignment vertical="center"/>
      <protection locked="0"/>
    </xf>
    <xf numFmtId="173" fontId="14" fillId="8" borderId="12" xfId="4" applyNumberFormat="1" applyFont="1" applyFill="1" applyBorder="1" applyAlignment="1" applyProtection="1">
      <alignment vertical="center"/>
      <protection locked="0"/>
    </xf>
    <xf numFmtId="173" fontId="14" fillId="8" borderId="26" xfId="4" applyNumberFormat="1" applyFont="1" applyFill="1" applyBorder="1" applyAlignment="1" applyProtection="1">
      <alignment vertical="center"/>
      <protection locked="0"/>
    </xf>
    <xf numFmtId="173" fontId="14" fillId="8" borderId="27" xfId="4" applyNumberFormat="1" applyFont="1" applyFill="1" applyBorder="1" applyAlignment="1" applyProtection="1">
      <alignment vertical="center"/>
      <protection locked="0"/>
    </xf>
    <xf numFmtId="0" fontId="32"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33" fillId="0" borderId="0" xfId="0" applyFont="1" applyAlignment="1">
      <alignment vertical="center"/>
    </xf>
    <xf numFmtId="3" fontId="32" fillId="0" borderId="0" xfId="11" applyNumberFormat="1" applyFont="1" applyBorder="1" applyAlignment="1" applyProtection="1">
      <alignment vertical="center"/>
    </xf>
    <xf numFmtId="9" fontId="32" fillId="0" borderId="0" xfId="11" applyFont="1" applyBorder="1" applyAlignment="1" applyProtection="1">
      <alignment vertical="center"/>
    </xf>
    <xf numFmtId="0" fontId="24" fillId="0" borderId="0" xfId="0" applyFont="1" applyAlignment="1">
      <alignment horizontal="right" vertical="center"/>
    </xf>
    <xf numFmtId="0" fontId="24" fillId="0" borderId="86" xfId="0" applyFont="1" applyBorder="1" applyAlignment="1">
      <alignment vertical="center"/>
    </xf>
    <xf numFmtId="0" fontId="24" fillId="0" borderId="57" xfId="0" applyFont="1" applyBorder="1" applyAlignment="1">
      <alignment vertical="center"/>
    </xf>
    <xf numFmtId="0" fontId="24" fillId="0" borderId="95" xfId="0" applyFont="1" applyBorder="1" applyAlignment="1">
      <alignment vertical="center"/>
    </xf>
    <xf numFmtId="172" fontId="26" fillId="8" borderId="22" xfId="4" applyNumberFormat="1" applyFont="1" applyFill="1" applyBorder="1" applyAlignment="1" applyProtection="1">
      <alignment horizontal="center" vertical="center"/>
      <protection locked="0"/>
    </xf>
    <xf numFmtId="165" fontId="24" fillId="0" borderId="0" xfId="0" applyNumberFormat="1" applyFont="1" applyAlignment="1">
      <alignment horizontal="center" vertical="center" wrapText="1"/>
    </xf>
    <xf numFmtId="165" fontId="15" fillId="47" borderId="92" xfId="0" applyNumberFormat="1" applyFont="1" applyFill="1" applyBorder="1" applyAlignment="1">
      <alignment horizontal="center" vertical="center" wrapText="1"/>
    </xf>
    <xf numFmtId="165" fontId="15" fillId="47" borderId="1" xfId="0" applyNumberFormat="1" applyFont="1" applyFill="1" applyBorder="1" applyAlignment="1">
      <alignment horizontal="center" vertical="center" wrapText="1"/>
    </xf>
    <xf numFmtId="165" fontId="15" fillId="47" borderId="93" xfId="0" applyNumberFormat="1" applyFont="1" applyFill="1" applyBorder="1" applyAlignment="1">
      <alignment horizontal="center" vertical="center" wrapText="1"/>
    </xf>
    <xf numFmtId="165" fontId="24" fillId="29" borderId="92" xfId="0" applyNumberFormat="1" applyFont="1" applyFill="1" applyBorder="1" applyAlignment="1">
      <alignment horizontal="center" vertical="center" wrapText="1"/>
    </xf>
    <xf numFmtId="165" fontId="24" fillId="29" borderId="1" xfId="0" applyNumberFormat="1" applyFont="1" applyFill="1" applyBorder="1" applyAlignment="1">
      <alignment horizontal="center" vertical="center" wrapText="1"/>
    </xf>
    <xf numFmtId="165" fontId="24" fillId="29" borderId="93" xfId="0" applyNumberFormat="1" applyFont="1" applyFill="1" applyBorder="1" applyAlignment="1">
      <alignment horizontal="center" vertical="center" wrapText="1"/>
    </xf>
    <xf numFmtId="165" fontId="24" fillId="4" borderId="36" xfId="0" applyNumberFormat="1" applyFont="1" applyFill="1" applyBorder="1" applyAlignment="1">
      <alignment horizontal="center" vertical="center" wrapText="1"/>
    </xf>
    <xf numFmtId="165" fontId="24" fillId="4" borderId="1" xfId="0" applyNumberFormat="1" applyFont="1" applyFill="1" applyBorder="1" applyAlignment="1">
      <alignment horizontal="center" vertical="center" wrapText="1"/>
    </xf>
    <xf numFmtId="165" fontId="24" fillId="4" borderId="93" xfId="0" applyNumberFormat="1" applyFont="1" applyFill="1" applyBorder="1" applyAlignment="1">
      <alignment horizontal="center" vertical="center" wrapText="1"/>
    </xf>
    <xf numFmtId="171" fontId="26" fillId="0" borderId="20" xfId="4" applyNumberFormat="1" applyFont="1" applyFill="1" applyBorder="1" applyAlignment="1" applyProtection="1">
      <alignment vertical="center"/>
    </xf>
    <xf numFmtId="171" fontId="26" fillId="0" borderId="21" xfId="4" applyNumberFormat="1" applyFont="1" applyFill="1" applyBorder="1" applyAlignment="1" applyProtection="1">
      <alignment vertical="center"/>
    </xf>
    <xf numFmtId="171" fontId="26" fillId="0" borderId="19" xfId="4" applyNumberFormat="1" applyFont="1" applyFill="1" applyBorder="1" applyAlignment="1" applyProtection="1">
      <alignment vertical="center"/>
    </xf>
    <xf numFmtId="171" fontId="26" fillId="21" borderId="18" xfId="4" applyNumberFormat="1" applyFont="1" applyFill="1" applyBorder="1" applyAlignment="1" applyProtection="1">
      <alignment vertical="center"/>
    </xf>
    <xf numFmtId="171" fontId="26" fillId="21" borderId="21" xfId="4" applyNumberFormat="1" applyFont="1" applyFill="1" applyBorder="1" applyAlignment="1" applyProtection="1">
      <alignment vertical="center"/>
    </xf>
    <xf numFmtId="171" fontId="26" fillId="21" borderId="22" xfId="4" applyNumberFormat="1" applyFont="1" applyFill="1" applyBorder="1" applyAlignment="1" applyProtection="1">
      <alignment vertical="center"/>
    </xf>
    <xf numFmtId="173" fontId="26" fillId="8" borderId="20" xfId="4" applyNumberFormat="1" applyFont="1" applyFill="1" applyBorder="1" applyAlignment="1" applyProtection="1">
      <alignment horizontal="center" vertical="center"/>
      <protection locked="0"/>
    </xf>
    <xf numFmtId="173" fontId="26" fillId="8" borderId="21" xfId="4" applyNumberFormat="1" applyFont="1" applyFill="1" applyBorder="1" applyAlignment="1" applyProtection="1">
      <alignment horizontal="center" vertical="center"/>
      <protection locked="0"/>
    </xf>
    <xf numFmtId="173" fontId="26" fillId="8" borderId="22" xfId="4" applyNumberFormat="1" applyFont="1" applyFill="1" applyBorder="1" applyAlignment="1" applyProtection="1">
      <alignment horizontal="center" vertical="center"/>
      <protection locked="0"/>
    </xf>
    <xf numFmtId="173" fontId="24" fillId="48" borderId="47" xfId="0" applyNumberFormat="1" applyFont="1" applyFill="1" applyBorder="1" applyAlignment="1">
      <alignment horizontal="center" vertical="center"/>
    </xf>
    <xf numFmtId="171" fontId="26" fillId="0" borderId="10" xfId="4" applyNumberFormat="1" applyFont="1" applyFill="1" applyBorder="1" applyAlignment="1" applyProtection="1">
      <alignment vertical="center"/>
    </xf>
    <xf numFmtId="171" fontId="26" fillId="0" borderId="11" xfId="4" applyNumberFormat="1" applyFont="1" applyFill="1" applyBorder="1" applyAlignment="1" applyProtection="1">
      <alignment vertical="center"/>
    </xf>
    <xf numFmtId="171" fontId="26" fillId="0" borderId="9" xfId="4" applyNumberFormat="1" applyFont="1" applyFill="1" applyBorder="1" applyAlignment="1" applyProtection="1">
      <alignment vertical="center"/>
    </xf>
    <xf numFmtId="171" fontId="26" fillId="21" borderId="8" xfId="4" applyNumberFormat="1" applyFont="1" applyFill="1" applyBorder="1" applyAlignment="1" applyProtection="1">
      <alignment vertical="center"/>
    </xf>
    <xf numFmtId="171" fontId="26" fillId="21" borderId="11" xfId="4" applyNumberFormat="1" applyFont="1" applyFill="1" applyBorder="1" applyAlignment="1" applyProtection="1">
      <alignment vertical="center"/>
    </xf>
    <xf numFmtId="171" fontId="26" fillId="21" borderId="12" xfId="4" applyNumberFormat="1" applyFont="1" applyFill="1" applyBorder="1" applyAlignment="1" applyProtection="1">
      <alignment vertical="center"/>
    </xf>
    <xf numFmtId="173" fontId="26" fillId="8" borderId="10" xfId="4" applyNumberFormat="1" applyFont="1" applyFill="1" applyBorder="1" applyAlignment="1" applyProtection="1">
      <alignment horizontal="center" vertical="center"/>
      <protection locked="0"/>
    </xf>
    <xf numFmtId="173" fontId="26" fillId="8" borderId="11" xfId="4" applyNumberFormat="1" applyFont="1" applyFill="1" applyBorder="1" applyAlignment="1" applyProtection="1">
      <alignment horizontal="center" vertical="center"/>
      <protection locked="0"/>
    </xf>
    <xf numFmtId="173" fontId="26" fillId="8" borderId="12" xfId="4" applyNumberFormat="1" applyFont="1" applyFill="1" applyBorder="1" applyAlignment="1" applyProtection="1">
      <alignment horizontal="center" vertical="center"/>
      <protection locked="0"/>
    </xf>
    <xf numFmtId="173" fontId="24" fillId="48" borderId="48" xfId="0" applyNumberFormat="1" applyFont="1" applyFill="1" applyBorder="1" applyAlignment="1">
      <alignment horizontal="center" vertical="center"/>
    </xf>
    <xf numFmtId="0" fontId="24" fillId="0" borderId="40" xfId="0" applyFont="1" applyBorder="1" applyAlignment="1">
      <alignment horizontal="left" vertical="center"/>
    </xf>
    <xf numFmtId="171" fontId="26" fillId="49" borderId="8" xfId="4" applyNumberFormat="1" applyFont="1" applyFill="1" applyBorder="1" applyAlignment="1" applyProtection="1">
      <alignment vertical="center"/>
    </xf>
    <xf numFmtId="171" fontId="26" fillId="49" borderId="11" xfId="4" applyNumberFormat="1" applyFont="1" applyFill="1" applyBorder="1" applyAlignment="1" applyProtection="1">
      <alignment vertical="center"/>
    </xf>
    <xf numFmtId="171" fontId="26" fillId="49" borderId="12" xfId="4" applyNumberFormat="1" applyFont="1" applyFill="1" applyBorder="1" applyAlignment="1" applyProtection="1">
      <alignment vertical="center"/>
    </xf>
    <xf numFmtId="0" fontId="24" fillId="0" borderId="82" xfId="0" applyFont="1" applyBorder="1" applyAlignment="1">
      <alignment horizontal="left" vertical="center"/>
    </xf>
    <xf numFmtId="173" fontId="26" fillId="49" borderId="10" xfId="4" applyNumberFormat="1" applyFont="1" applyFill="1" applyBorder="1" applyAlignment="1" applyProtection="1">
      <alignment horizontal="center" vertical="center"/>
    </xf>
    <xf numFmtId="173" fontId="26" fillId="49" borderId="11" xfId="4" applyNumberFormat="1" applyFont="1" applyFill="1" applyBorder="1" applyAlignment="1" applyProtection="1">
      <alignment horizontal="center" vertical="center"/>
    </xf>
    <xf numFmtId="173" fontId="26" fillId="49" borderId="12" xfId="4" applyNumberFormat="1" applyFont="1" applyFill="1" applyBorder="1" applyAlignment="1" applyProtection="1">
      <alignment horizontal="center" vertical="center"/>
    </xf>
    <xf numFmtId="173" fontId="24" fillId="49" borderId="48" xfId="0" applyNumberFormat="1" applyFont="1" applyFill="1" applyBorder="1" applyAlignment="1">
      <alignment horizontal="center" vertical="center"/>
    </xf>
    <xf numFmtId="171" fontId="26" fillId="0" borderId="15" xfId="4" applyNumberFormat="1" applyFont="1" applyFill="1" applyBorder="1" applyAlignment="1" applyProtection="1">
      <alignment vertical="center"/>
    </xf>
    <xf numFmtId="171" fontId="26" fillId="0" borderId="16" xfId="4" applyNumberFormat="1" applyFont="1" applyFill="1" applyBorder="1" applyAlignment="1" applyProtection="1">
      <alignment vertical="center"/>
    </xf>
    <xf numFmtId="171" fontId="26" fillId="0" borderId="14" xfId="4" applyNumberFormat="1" applyFont="1" applyFill="1" applyBorder="1" applyAlignment="1" applyProtection="1">
      <alignment vertical="center"/>
    </xf>
    <xf numFmtId="171" fontId="26" fillId="49" borderId="13" xfId="4" applyNumberFormat="1" applyFont="1" applyFill="1" applyBorder="1" applyAlignment="1" applyProtection="1">
      <alignment vertical="center"/>
    </xf>
    <xf numFmtId="171" fontId="26" fillId="21" borderId="16" xfId="4" applyNumberFormat="1" applyFont="1" applyFill="1" applyBorder="1" applyAlignment="1" applyProtection="1">
      <alignment vertical="center"/>
    </xf>
    <xf numFmtId="171" fontId="26" fillId="21" borderId="17" xfId="4" applyNumberFormat="1" applyFont="1" applyFill="1" applyBorder="1" applyAlignment="1" applyProtection="1">
      <alignment vertical="center"/>
    </xf>
    <xf numFmtId="171" fontId="26" fillId="49" borderId="23" xfId="4" applyNumberFormat="1" applyFont="1" applyFill="1" applyBorder="1" applyAlignment="1" applyProtection="1">
      <alignment vertical="center"/>
    </xf>
    <xf numFmtId="171" fontId="26" fillId="21" borderId="26" xfId="4" applyNumberFormat="1" applyFont="1" applyFill="1" applyBorder="1" applyAlignment="1" applyProtection="1">
      <alignment vertical="center"/>
    </xf>
    <xf numFmtId="171" fontId="26" fillId="21" borderId="27" xfId="4" applyNumberFormat="1" applyFont="1" applyFill="1" applyBorder="1" applyAlignment="1" applyProtection="1">
      <alignment vertical="center"/>
    </xf>
    <xf numFmtId="171" fontId="26" fillId="0" borderId="18" xfId="4" applyNumberFormat="1" applyFont="1" applyFill="1" applyBorder="1" applyAlignment="1" applyProtection="1">
      <alignment vertical="center"/>
    </xf>
    <xf numFmtId="171" fontId="26" fillId="0" borderId="22" xfId="4" applyNumberFormat="1" applyFont="1" applyFill="1" applyBorder="1" applyAlignment="1" applyProtection="1">
      <alignment vertical="center"/>
    </xf>
    <xf numFmtId="173" fontId="26" fillId="49" borderId="25" xfId="4" applyNumberFormat="1" applyFont="1" applyFill="1" applyBorder="1" applyAlignment="1" applyProtection="1">
      <alignment horizontal="center" vertical="center"/>
    </xf>
    <xf numFmtId="173" fontId="26" fillId="8" borderId="26" xfId="4" applyNumberFormat="1" applyFont="1" applyFill="1" applyBorder="1" applyAlignment="1" applyProtection="1">
      <alignment horizontal="center" vertical="center"/>
      <protection locked="0"/>
    </xf>
    <xf numFmtId="173" fontId="26" fillId="8" borderId="27" xfId="4" applyNumberFormat="1" applyFont="1" applyFill="1" applyBorder="1" applyAlignment="1" applyProtection="1">
      <alignment horizontal="center" vertical="center"/>
      <protection locked="0"/>
    </xf>
    <xf numFmtId="173" fontId="24" fillId="48" borderId="50" xfId="0" applyNumberFormat="1" applyFont="1" applyFill="1" applyBorder="1" applyAlignment="1">
      <alignment horizontal="center" vertical="center"/>
    </xf>
    <xf numFmtId="171" fontId="26" fillId="49" borderId="18" xfId="4" applyNumberFormat="1" applyFont="1" applyFill="1" applyBorder="1" applyAlignment="1" applyProtection="1">
      <alignment vertical="center"/>
    </xf>
    <xf numFmtId="173" fontId="26" fillId="49" borderId="20" xfId="4" applyNumberFormat="1" applyFont="1" applyFill="1" applyBorder="1" applyAlignment="1" applyProtection="1">
      <alignment horizontal="center" vertical="center"/>
    </xf>
    <xf numFmtId="171" fontId="26" fillId="0" borderId="25" xfId="4" applyNumberFormat="1" applyFont="1" applyFill="1" applyBorder="1" applyAlignment="1" applyProtection="1">
      <alignment vertical="center"/>
    </xf>
    <xf numFmtId="171" fontId="26" fillId="0" borderId="26" xfId="4" applyNumberFormat="1" applyFont="1" applyFill="1" applyBorder="1" applyAlignment="1" applyProtection="1">
      <alignment vertical="center"/>
    </xf>
    <xf numFmtId="171" fontId="26" fillId="0" borderId="24" xfId="4" applyNumberFormat="1" applyFont="1" applyFill="1" applyBorder="1" applyAlignment="1" applyProtection="1">
      <alignment vertical="center"/>
    </xf>
    <xf numFmtId="171" fontId="26" fillId="0" borderId="27" xfId="4" applyNumberFormat="1" applyFont="1" applyFill="1" applyBorder="1" applyAlignment="1" applyProtection="1">
      <alignment vertical="center"/>
    </xf>
    <xf numFmtId="173" fontId="26" fillId="8" borderId="16" xfId="4" applyNumberFormat="1" applyFont="1" applyFill="1" applyBorder="1" applyAlignment="1" applyProtection="1">
      <alignment horizontal="center" vertical="center"/>
      <protection locked="0"/>
    </xf>
    <xf numFmtId="173" fontId="17" fillId="8" borderId="26" xfId="4" applyNumberFormat="1" applyFont="1" applyFill="1" applyBorder="1" applyAlignment="1" applyProtection="1">
      <alignment horizontal="center" vertical="center"/>
      <protection locked="0"/>
    </xf>
    <xf numFmtId="173" fontId="17" fillId="8" borderId="27" xfId="4" applyNumberFormat="1" applyFont="1" applyFill="1" applyBorder="1" applyAlignment="1" applyProtection="1">
      <alignment horizontal="center" vertical="center"/>
      <protection locked="0"/>
    </xf>
    <xf numFmtId="171" fontId="26" fillId="0" borderId="23" xfId="4" applyNumberFormat="1" applyFont="1" applyFill="1" applyBorder="1" applyAlignment="1" applyProtection="1">
      <alignment vertical="center"/>
    </xf>
    <xf numFmtId="173" fontId="26" fillId="8" borderId="25" xfId="4" applyNumberFormat="1" applyFont="1" applyFill="1" applyBorder="1" applyAlignment="1" applyProtection="1">
      <alignment horizontal="center" vertical="center"/>
      <protection locked="0"/>
    </xf>
    <xf numFmtId="173" fontId="26" fillId="8" borderId="6" xfId="4" applyNumberFormat="1" applyFont="1" applyFill="1" applyBorder="1" applyAlignment="1" applyProtection="1">
      <alignment horizontal="center" vertical="center"/>
      <protection locked="0"/>
    </xf>
    <xf numFmtId="173" fontId="26" fillId="8" borderId="7" xfId="4" applyNumberFormat="1" applyFont="1" applyFill="1" applyBorder="1" applyAlignment="1" applyProtection="1">
      <alignment horizontal="center" vertical="center"/>
      <protection locked="0"/>
    </xf>
    <xf numFmtId="173" fontId="26" fillId="8" borderId="28" xfId="4" applyNumberFormat="1" applyFont="1" applyFill="1" applyBorder="1" applyAlignment="1" applyProtection="1">
      <alignment horizontal="center" vertical="center"/>
      <protection locked="0"/>
    </xf>
    <xf numFmtId="173" fontId="24" fillId="48" borderId="96" xfId="0" applyNumberFormat="1" applyFont="1" applyFill="1" applyBorder="1" applyAlignment="1">
      <alignment horizontal="center" vertical="center"/>
    </xf>
    <xf numFmtId="173" fontId="26" fillId="49" borderId="15" xfId="4" applyNumberFormat="1" applyFont="1" applyFill="1" applyBorder="1" applyAlignment="1" applyProtection="1">
      <alignment horizontal="center" vertical="center"/>
    </xf>
    <xf numFmtId="173" fontId="26" fillId="8" borderId="17" xfId="4" applyNumberFormat="1" applyFont="1" applyFill="1" applyBorder="1" applyAlignment="1" applyProtection="1">
      <alignment horizontal="center" vertical="center"/>
      <protection locked="0"/>
    </xf>
    <xf numFmtId="171" fontId="26" fillId="21" borderId="23" xfId="4" applyNumberFormat="1" applyFont="1" applyFill="1" applyBorder="1" applyAlignment="1" applyProtection="1">
      <alignment vertical="center"/>
    </xf>
    <xf numFmtId="9" fontId="26" fillId="8" borderId="16" xfId="4" applyNumberFormat="1" applyFont="1" applyFill="1" applyBorder="1" applyAlignment="1" applyProtection="1">
      <alignment horizontal="center" vertical="center"/>
    </xf>
    <xf numFmtId="171" fontId="26" fillId="0" borderId="8" xfId="4" applyNumberFormat="1" applyFont="1" applyFill="1" applyBorder="1" applyAlignment="1" applyProtection="1">
      <alignment vertical="center"/>
    </xf>
    <xf numFmtId="0" fontId="0" fillId="0" borderId="42" xfId="0" applyBorder="1" applyAlignment="1">
      <alignment horizontal="left" vertical="center"/>
    </xf>
    <xf numFmtId="173" fontId="26" fillId="8" borderId="18" xfId="4" applyNumberFormat="1" applyFont="1" applyFill="1" applyBorder="1" applyAlignment="1" applyProtection="1">
      <alignment horizontal="center" vertical="center"/>
      <protection locked="0"/>
    </xf>
    <xf numFmtId="173" fontId="26" fillId="8" borderId="8" xfId="4" applyNumberFormat="1" applyFont="1" applyFill="1" applyBorder="1" applyAlignment="1" applyProtection="1">
      <alignment horizontal="center" vertical="center"/>
      <protection locked="0"/>
    </xf>
    <xf numFmtId="173" fontId="26" fillId="49" borderId="8" xfId="4" applyNumberFormat="1" applyFont="1" applyFill="1" applyBorder="1" applyAlignment="1" applyProtection="1">
      <alignment horizontal="center" vertical="center"/>
    </xf>
    <xf numFmtId="0" fontId="0" fillId="0" borderId="41" xfId="0" applyBorder="1" applyAlignment="1">
      <alignment horizontal="left" vertical="center"/>
    </xf>
    <xf numFmtId="0" fontId="0" fillId="0" borderId="43" xfId="0" applyBorder="1" applyAlignment="1">
      <alignment horizontal="left" vertical="center"/>
    </xf>
    <xf numFmtId="171" fontId="26" fillId="48" borderId="18" xfId="4" applyNumberFormat="1" applyFont="1" applyFill="1" applyBorder="1" applyAlignment="1" applyProtection="1">
      <alignment vertical="center"/>
    </xf>
    <xf numFmtId="171" fontId="26" fillId="48" borderId="21" xfId="4" applyNumberFormat="1" applyFont="1" applyFill="1" applyBorder="1" applyAlignment="1" applyProtection="1">
      <alignment vertical="center"/>
    </xf>
    <xf numFmtId="171" fontId="26" fillId="48" borderId="19" xfId="4" applyNumberFormat="1" applyFont="1" applyFill="1" applyBorder="1" applyAlignment="1" applyProtection="1">
      <alignment vertical="center"/>
    </xf>
    <xf numFmtId="171" fontId="26" fillId="48" borderId="26" xfId="4" applyNumberFormat="1" applyFont="1" applyFill="1" applyBorder="1" applyAlignment="1" applyProtection="1">
      <alignment vertical="center"/>
    </xf>
    <xf numFmtId="171" fontId="26" fillId="48" borderId="27" xfId="4" applyNumberFormat="1" applyFont="1" applyFill="1" applyBorder="1" applyAlignment="1" applyProtection="1">
      <alignment vertical="center"/>
    </xf>
    <xf numFmtId="171" fontId="26" fillId="48" borderId="23" xfId="4" applyNumberFormat="1" applyFont="1" applyFill="1" applyBorder="1" applyAlignment="1" applyProtection="1">
      <alignment vertical="center"/>
    </xf>
    <xf numFmtId="171" fontId="26" fillId="48" borderId="11" xfId="4" applyNumberFormat="1" applyFont="1" applyFill="1" applyBorder="1" applyAlignment="1" applyProtection="1">
      <alignment vertical="center"/>
    </xf>
    <xf numFmtId="0" fontId="0" fillId="48" borderId="41" xfId="0" applyFill="1" applyBorder="1" applyAlignment="1">
      <alignment horizontal="left" vertical="center"/>
    </xf>
    <xf numFmtId="171" fontId="26" fillId="48" borderId="20" xfId="4" applyNumberFormat="1" applyFont="1" applyFill="1" applyBorder="1" applyAlignment="1" applyProtection="1">
      <alignment vertical="center"/>
    </xf>
    <xf numFmtId="171" fontId="26" fillId="48" borderId="22" xfId="4" applyNumberFormat="1" applyFont="1" applyFill="1" applyBorder="1" applyAlignment="1" applyProtection="1">
      <alignment vertical="center"/>
    </xf>
    <xf numFmtId="0" fontId="0" fillId="48" borderId="46" xfId="0" applyFill="1" applyBorder="1" applyAlignment="1">
      <alignment horizontal="left" vertical="center"/>
    </xf>
    <xf numFmtId="0" fontId="0" fillId="48" borderId="58" xfId="0" applyFill="1" applyBorder="1" applyAlignment="1">
      <alignment horizontal="left" vertical="center"/>
    </xf>
    <xf numFmtId="171" fontId="26" fillId="48" borderId="6" xfId="4" applyNumberFormat="1" applyFont="1" applyFill="1" applyBorder="1" applyAlignment="1" applyProtection="1">
      <alignment vertical="center"/>
    </xf>
    <xf numFmtId="171" fontId="26" fillId="48" borderId="7" xfId="4" applyNumberFormat="1" applyFont="1" applyFill="1" applyBorder="1" applyAlignment="1" applyProtection="1">
      <alignment vertical="center"/>
    </xf>
    <xf numFmtId="171" fontId="26" fillId="48" borderId="5" xfId="4" applyNumberFormat="1" applyFont="1" applyFill="1" applyBorder="1" applyAlignment="1" applyProtection="1">
      <alignment vertical="center"/>
    </xf>
    <xf numFmtId="171" fontId="26" fillId="48" borderId="4" xfId="4" applyNumberFormat="1" applyFont="1" applyFill="1" applyBorder="1" applyAlignment="1" applyProtection="1">
      <alignment vertical="center"/>
    </xf>
    <xf numFmtId="171" fontId="26" fillId="48" borderId="28" xfId="4" applyNumberFormat="1" applyFont="1" applyFill="1" applyBorder="1" applyAlignment="1" applyProtection="1">
      <alignment vertical="center"/>
    </xf>
    <xf numFmtId="171" fontId="26" fillId="21" borderId="0" xfId="4" applyNumberFormat="1" applyFont="1" applyFill="1" applyBorder="1" applyAlignment="1" applyProtection="1">
      <alignment vertical="center"/>
    </xf>
    <xf numFmtId="0" fontId="0" fillId="48" borderId="40" xfId="0" applyFill="1" applyBorder="1" applyAlignment="1">
      <alignment horizontal="left" vertical="center"/>
    </xf>
    <xf numFmtId="171" fontId="26" fillId="48" borderId="10" xfId="4" applyNumberFormat="1" applyFont="1" applyFill="1" applyBorder="1" applyAlignment="1" applyProtection="1">
      <alignment vertical="center"/>
    </xf>
    <xf numFmtId="171" fontId="26" fillId="48" borderId="9" xfId="4" applyNumberFormat="1" applyFont="1" applyFill="1" applyBorder="1" applyAlignment="1" applyProtection="1">
      <alignment vertical="center"/>
    </xf>
    <xf numFmtId="171" fontId="26" fillId="50" borderId="8" xfId="4" applyNumberFormat="1" applyFont="1" applyFill="1" applyBorder="1" applyAlignment="1" applyProtection="1">
      <alignment vertical="center"/>
    </xf>
    <xf numFmtId="171" fontId="26" fillId="48" borderId="12" xfId="4" applyNumberFormat="1" applyFont="1" applyFill="1" applyBorder="1" applyAlignment="1" applyProtection="1">
      <alignment vertical="center"/>
    </xf>
    <xf numFmtId="171" fontId="26" fillId="48" borderId="8" xfId="4" applyNumberFormat="1" applyFont="1" applyFill="1" applyBorder="1" applyAlignment="1" applyProtection="1">
      <alignment vertical="center"/>
    </xf>
    <xf numFmtId="171" fontId="26" fillId="51" borderId="11" xfId="4" applyNumberFormat="1" applyFont="1" applyFill="1" applyBorder="1" applyAlignment="1" applyProtection="1">
      <alignment vertical="center"/>
    </xf>
    <xf numFmtId="171" fontId="26" fillId="51" borderId="21" xfId="4" applyNumberFormat="1" applyFont="1" applyFill="1" applyBorder="1" applyAlignment="1" applyProtection="1">
      <alignment vertical="center"/>
    </xf>
    <xf numFmtId="171" fontId="26" fillId="51" borderId="7" xfId="4" applyNumberFormat="1" applyFont="1" applyFill="1" applyBorder="1" applyAlignment="1" applyProtection="1">
      <alignment vertical="center"/>
    </xf>
    <xf numFmtId="173" fontId="26" fillId="8" borderId="9" xfId="4" applyNumberFormat="1" applyFont="1" applyFill="1" applyBorder="1" applyAlignment="1" applyProtection="1">
      <alignment horizontal="center" vertical="center"/>
      <protection locked="0"/>
    </xf>
    <xf numFmtId="173" fontId="26" fillId="8" borderId="72" xfId="4" applyNumberFormat="1" applyFont="1" applyFill="1" applyBorder="1" applyAlignment="1" applyProtection="1">
      <alignment horizontal="center" vertical="center"/>
      <protection locked="0"/>
    </xf>
    <xf numFmtId="173" fontId="26" fillId="8" borderId="19" xfId="4" applyNumberFormat="1" applyFont="1" applyFill="1" applyBorder="1" applyAlignment="1" applyProtection="1">
      <alignment horizontal="center" vertical="center"/>
      <protection locked="0"/>
    </xf>
    <xf numFmtId="173" fontId="26" fillId="8" borderId="77" xfId="4" applyNumberFormat="1" applyFont="1" applyFill="1" applyBorder="1" applyAlignment="1" applyProtection="1">
      <alignment horizontal="center" vertical="center"/>
      <protection locked="0"/>
    </xf>
    <xf numFmtId="173" fontId="24" fillId="48" borderId="41" xfId="0" applyNumberFormat="1" applyFont="1" applyFill="1" applyBorder="1" applyAlignment="1">
      <alignment horizontal="center" vertical="center"/>
    </xf>
    <xf numFmtId="173" fontId="24" fillId="48" borderId="42" xfId="0" applyNumberFormat="1" applyFont="1" applyFill="1" applyBorder="1" applyAlignment="1">
      <alignment horizontal="center" vertical="center"/>
    </xf>
    <xf numFmtId="165" fontId="4" fillId="0" borderId="14" xfId="4" applyNumberFormat="1" applyFont="1" applyFill="1" applyBorder="1" applyAlignment="1" applyProtection="1">
      <alignment vertical="center"/>
    </xf>
    <xf numFmtId="165" fontId="14" fillId="1" borderId="13" xfId="4" applyNumberFormat="1" applyFont="1" applyFill="1" applyBorder="1" applyAlignment="1" applyProtection="1">
      <alignment vertical="center"/>
    </xf>
    <xf numFmtId="166" fontId="14" fillId="0" borderId="6" xfId="11" applyNumberFormat="1" applyFont="1" applyBorder="1" applyAlignment="1" applyProtection="1">
      <alignment horizontal="center" vertical="center"/>
    </xf>
    <xf numFmtId="165" fontId="4" fillId="0" borderId="18" xfId="4" applyNumberFormat="1" applyFont="1" applyFill="1" applyBorder="1" applyAlignment="1" applyProtection="1">
      <alignment vertical="center"/>
    </xf>
    <xf numFmtId="165" fontId="4" fillId="0" borderId="8" xfId="4" applyNumberFormat="1" applyFont="1" applyFill="1" applyBorder="1" applyAlignment="1" applyProtection="1">
      <alignment vertical="center"/>
    </xf>
    <xf numFmtId="42" fontId="0" fillId="0" borderId="0" xfId="5" applyFont="1"/>
    <xf numFmtId="182" fontId="0" fillId="0" borderId="0" xfId="0" applyNumberFormat="1"/>
    <xf numFmtId="42" fontId="0" fillId="21" borderId="0" xfId="5" applyFont="1" applyFill="1"/>
    <xf numFmtId="0" fontId="0" fillId="21" borderId="62" xfId="0" applyFill="1" applyBorder="1"/>
    <xf numFmtId="0" fontId="0" fillId="21" borderId="4" xfId="0" applyFill="1" applyBorder="1"/>
    <xf numFmtId="0" fontId="2" fillId="21" borderId="0" xfId="9" applyFont="1" applyFill="1" applyAlignment="1">
      <alignment vertical="center"/>
    </xf>
    <xf numFmtId="0" fontId="2" fillId="21" borderId="0" xfId="9" applyFont="1" applyFill="1" applyAlignment="1">
      <alignment horizontal="center" vertical="center"/>
    </xf>
    <xf numFmtId="9" fontId="1" fillId="21" borderId="0" xfId="12" applyFont="1" applyFill="1" applyAlignment="1">
      <alignment vertical="center"/>
    </xf>
    <xf numFmtId="0" fontId="2" fillId="21" borderId="35" xfId="9" applyFont="1" applyFill="1" applyBorder="1" applyAlignment="1">
      <alignment horizontal="right" vertical="center"/>
    </xf>
    <xf numFmtId="0" fontId="5" fillId="21" borderId="30" xfId="9" applyFont="1" applyFill="1" applyBorder="1" applyAlignment="1" applyProtection="1">
      <alignment horizontal="center" vertical="center"/>
      <protection locked="0"/>
    </xf>
    <xf numFmtId="0" fontId="5" fillId="21" borderId="45" xfId="9" applyFont="1" applyFill="1" applyBorder="1" applyAlignment="1">
      <alignment horizontal="center" vertical="center"/>
    </xf>
    <xf numFmtId="0" fontId="5" fillId="21" borderId="0" xfId="9" applyFont="1" applyFill="1" applyAlignment="1">
      <alignment horizontal="center" vertical="center"/>
    </xf>
    <xf numFmtId="9" fontId="14" fillId="21" borderId="0" xfId="12" applyFont="1" applyFill="1"/>
    <xf numFmtId="0" fontId="2" fillId="21" borderId="0" xfId="9" applyFont="1" applyFill="1" applyAlignment="1">
      <alignment horizontal="right" vertical="center"/>
    </xf>
    <xf numFmtId="0" fontId="4" fillId="21" borderId="0" xfId="9" applyFill="1"/>
    <xf numFmtId="0" fontId="4" fillId="21" borderId="0" xfId="9" applyFill="1" applyAlignment="1">
      <alignment horizontal="left" vertical="center"/>
    </xf>
    <xf numFmtId="177" fontId="2" fillId="21" borderId="0" xfId="9" applyNumberFormat="1" applyFont="1" applyFill="1" applyAlignment="1">
      <alignment horizontal="right" vertical="center"/>
    </xf>
    <xf numFmtId="0" fontId="20" fillId="21" borderId="0" xfId="9" applyFont="1" applyFill="1" applyAlignment="1">
      <alignment horizontal="left" vertical="center" indent="2"/>
    </xf>
    <xf numFmtId="0" fontId="20" fillId="21" borderId="71" xfId="9" applyFont="1" applyFill="1" applyBorder="1" applyAlignment="1">
      <alignment vertical="center"/>
    </xf>
    <xf numFmtId="0" fontId="20" fillId="21" borderId="0" xfId="9" applyFont="1" applyFill="1" applyAlignment="1">
      <alignment vertical="center"/>
    </xf>
    <xf numFmtId="165" fontId="24" fillId="27" borderId="98" xfId="0" applyNumberFormat="1" applyFont="1" applyFill="1" applyBorder="1" applyAlignment="1">
      <alignment horizontal="center" vertical="center" wrapText="1"/>
    </xf>
    <xf numFmtId="165" fontId="24" fillId="27" borderId="84" xfId="0" applyNumberFormat="1" applyFont="1" applyFill="1" applyBorder="1" applyAlignment="1">
      <alignment horizontal="center" vertical="center" wrapText="1"/>
    </xf>
    <xf numFmtId="172" fontId="26" fillId="8" borderId="20" xfId="4" applyNumberFormat="1" applyFont="1" applyFill="1" applyBorder="1" applyAlignment="1" applyProtection="1">
      <alignment horizontal="center" vertical="center"/>
    </xf>
    <xf numFmtId="172" fontId="26" fillId="8" borderId="11" xfId="4" applyNumberFormat="1" applyFont="1" applyFill="1" applyBorder="1" applyAlignment="1" applyProtection="1">
      <alignment horizontal="center" vertical="center"/>
    </xf>
    <xf numFmtId="165" fontId="15" fillId="47" borderId="34" xfId="0" applyNumberFormat="1" applyFont="1" applyFill="1" applyBorder="1" applyAlignment="1">
      <alignment horizontal="center" vertical="center" wrapText="1"/>
    </xf>
    <xf numFmtId="165" fontId="15" fillId="47" borderId="36" xfId="0" applyNumberFormat="1" applyFont="1" applyFill="1" applyBorder="1" applyAlignment="1">
      <alignment horizontal="center" vertical="center" wrapText="1"/>
    </xf>
    <xf numFmtId="165" fontId="24" fillId="27" borderId="125" xfId="0" applyNumberFormat="1" applyFont="1" applyFill="1" applyBorder="1" applyAlignment="1">
      <alignment horizontal="center" vertical="center" wrapText="1"/>
    </xf>
    <xf numFmtId="172" fontId="26" fillId="8" borderId="10" xfId="4" applyNumberFormat="1" applyFont="1" applyFill="1" applyBorder="1" applyAlignment="1" applyProtection="1">
      <alignment horizontal="center" vertical="center"/>
    </xf>
    <xf numFmtId="172" fontId="26" fillId="8" borderId="12" xfId="4" applyNumberFormat="1" applyFont="1" applyFill="1" applyBorder="1" applyAlignment="1" applyProtection="1">
      <alignment horizontal="center" vertical="center"/>
    </xf>
    <xf numFmtId="172" fontId="26" fillId="8" borderId="25" xfId="4" applyNumberFormat="1" applyFont="1" applyFill="1" applyBorder="1" applyAlignment="1" applyProtection="1">
      <alignment horizontal="center" vertical="center"/>
    </xf>
    <xf numFmtId="172" fontId="26" fillId="8" borderId="26" xfId="4" applyNumberFormat="1" applyFont="1" applyFill="1" applyBorder="1" applyAlignment="1" applyProtection="1">
      <alignment horizontal="center" vertical="center"/>
    </xf>
    <xf numFmtId="172" fontId="26" fillId="8" borderId="27" xfId="4" applyNumberFormat="1" applyFont="1" applyFill="1" applyBorder="1" applyAlignment="1" applyProtection="1">
      <alignment horizontal="center" vertical="center"/>
    </xf>
    <xf numFmtId="172" fontId="26" fillId="8" borderId="21" xfId="4" applyNumberFormat="1" applyFont="1" applyFill="1" applyBorder="1" applyAlignment="1" applyProtection="1">
      <alignment horizontal="center" vertical="center"/>
    </xf>
    <xf numFmtId="172" fontId="26" fillId="8" borderId="22" xfId="4" applyNumberFormat="1" applyFont="1" applyFill="1" applyBorder="1" applyAlignment="1" applyProtection="1">
      <alignment horizontal="center" vertical="center"/>
    </xf>
    <xf numFmtId="172" fontId="26" fillId="8" borderId="59" xfId="4" applyNumberFormat="1" applyFont="1" applyFill="1" applyBorder="1" applyAlignment="1" applyProtection="1">
      <alignment horizontal="center" vertical="center"/>
    </xf>
    <xf numFmtId="172" fontId="26" fillId="8" borderId="53" xfId="4" applyNumberFormat="1" applyFont="1" applyFill="1" applyBorder="1" applyAlignment="1" applyProtection="1">
      <alignment horizontal="center" vertical="center"/>
    </xf>
    <xf numFmtId="172" fontId="26" fillId="8" borderId="60" xfId="4" applyNumberFormat="1" applyFont="1" applyFill="1" applyBorder="1" applyAlignment="1" applyProtection="1">
      <alignment horizontal="center" vertical="center"/>
    </xf>
    <xf numFmtId="0" fontId="18" fillId="21" borderId="0" xfId="0" applyFont="1" applyFill="1" applyAlignment="1">
      <alignment horizontal="center"/>
    </xf>
    <xf numFmtId="177" fontId="18" fillId="21" borderId="0" xfId="0" applyNumberFormat="1" applyFont="1" applyFill="1" applyAlignment="1">
      <alignment horizontal="center"/>
    </xf>
    <xf numFmtId="0" fontId="0" fillId="21" borderId="0" xfId="0" applyFill="1" applyAlignment="1" applyProtection="1">
      <alignment horizontal="left" vertical="center" wrapText="1"/>
      <protection locked="0"/>
    </xf>
    <xf numFmtId="0" fontId="0" fillId="21" borderId="126" xfId="0" applyFill="1" applyBorder="1"/>
    <xf numFmtId="165" fontId="2" fillId="0" borderId="0" xfId="0" applyNumberFormat="1" applyFont="1" applyAlignment="1">
      <alignment vertical="center"/>
    </xf>
    <xf numFmtId="0" fontId="2" fillId="0" borderId="0" xfId="0" applyFont="1" applyAlignment="1">
      <alignment horizontal="left" vertical="center"/>
    </xf>
    <xf numFmtId="167" fontId="2" fillId="0" borderId="0" xfId="0" applyNumberFormat="1" applyFont="1" applyAlignment="1">
      <alignment vertical="center"/>
    </xf>
    <xf numFmtId="165" fontId="2" fillId="0" borderId="0" xfId="0" applyNumberFormat="1" applyFont="1" applyAlignment="1">
      <alignment vertical="center" wrapText="1"/>
    </xf>
    <xf numFmtId="165" fontId="0" fillId="0" borderId="0" xfId="0" applyNumberFormat="1" applyAlignment="1">
      <alignment horizontal="center" vertical="center" wrapText="1"/>
    </xf>
    <xf numFmtId="9" fontId="32" fillId="0" borderId="0" xfId="11" applyFont="1" applyFill="1" applyBorder="1" applyAlignment="1" applyProtection="1">
      <alignment vertical="center"/>
    </xf>
    <xf numFmtId="0" fontId="34" fillId="0" borderId="0" xfId="0" applyFont="1" applyAlignment="1">
      <alignment horizontal="left" vertical="center" indent="2"/>
    </xf>
    <xf numFmtId="0" fontId="21" fillId="0" borderId="71" xfId="0" applyFont="1" applyBorder="1" applyAlignment="1">
      <alignment vertical="center" wrapText="1"/>
    </xf>
    <xf numFmtId="0" fontId="21" fillId="0" borderId="0" xfId="0" applyFont="1" applyAlignment="1">
      <alignment vertical="center" wrapText="1"/>
    </xf>
    <xf numFmtId="9" fontId="1" fillId="0" borderId="0" xfId="11" applyFont="1" applyFill="1" applyBorder="1" applyAlignment="1" applyProtection="1">
      <alignment vertical="center"/>
    </xf>
    <xf numFmtId="0" fontId="2" fillId="0" borderId="35" xfId="0" applyFont="1" applyBorder="1" applyAlignment="1">
      <alignment horizontal="right" vertical="center"/>
    </xf>
    <xf numFmtId="0" fontId="5" fillId="0" borderId="30"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Alignment="1">
      <alignment horizontal="center" vertical="center"/>
    </xf>
    <xf numFmtId="0" fontId="20" fillId="0" borderId="0" xfId="0" applyFont="1" applyAlignment="1">
      <alignment horizontal="left" vertical="center" indent="2"/>
    </xf>
    <xf numFmtId="177" fontId="2" fillId="45" borderId="11" xfId="0" applyNumberFormat="1" applyFont="1" applyFill="1" applyBorder="1" applyAlignment="1">
      <alignment horizontal="center" vertical="center"/>
    </xf>
    <xf numFmtId="172" fontId="2" fillId="45" borderId="11" xfId="11" applyNumberFormat="1" applyFont="1" applyFill="1" applyBorder="1" applyAlignment="1" applyProtection="1">
      <alignment horizontal="center" vertical="center"/>
    </xf>
    <xf numFmtId="165" fontId="4" fillId="59" borderId="25" xfId="4" applyNumberFormat="1" applyFont="1" applyFill="1" applyBorder="1" applyAlignment="1" applyProtection="1">
      <alignment vertical="center"/>
    </xf>
    <xf numFmtId="165" fontId="4" fillId="8" borderId="14" xfId="4" applyNumberFormat="1" applyFont="1" applyFill="1" applyBorder="1" applyAlignment="1" applyProtection="1">
      <alignment vertical="center"/>
      <protection locked="0"/>
    </xf>
    <xf numFmtId="165" fontId="4" fillId="40" borderId="9" xfId="4" applyNumberFormat="1" applyFont="1" applyFill="1" applyBorder="1" applyAlignment="1" applyProtection="1">
      <alignment vertical="center"/>
      <protection locked="0"/>
    </xf>
    <xf numFmtId="165" fontId="4" fillId="17" borderId="42" xfId="4" applyNumberFormat="1" applyFont="1" applyFill="1" applyBorder="1" applyAlignment="1" applyProtection="1">
      <alignment vertical="center"/>
    </xf>
    <xf numFmtId="42" fontId="14" fillId="0" borderId="0" xfId="5" applyFont="1" applyFill="1"/>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9" fontId="23" fillId="0" borderId="0" xfId="0" applyNumberFormat="1" applyFont="1" applyAlignment="1">
      <alignment horizontal="center"/>
    </xf>
    <xf numFmtId="0" fontId="18" fillId="0" borderId="0" xfId="0" applyFont="1" applyAlignment="1">
      <alignment horizontal="left"/>
    </xf>
    <xf numFmtId="9" fontId="4" fillId="0" borderId="0" xfId="12" applyFont="1" applyFill="1" applyAlignment="1">
      <alignment horizontal="center"/>
    </xf>
    <xf numFmtId="0" fontId="24" fillId="0" borderId="0" xfId="0" applyFont="1" applyAlignment="1">
      <alignment horizontal="left"/>
    </xf>
    <xf numFmtId="9" fontId="4" fillId="0" borderId="0" xfId="11" applyFont="1" applyFill="1" applyAlignment="1">
      <alignment horizontal="center"/>
    </xf>
    <xf numFmtId="0" fontId="18" fillId="0" borderId="61" xfId="0" applyFont="1" applyBorder="1" applyAlignment="1">
      <alignment horizontal="left" indent="2"/>
    </xf>
    <xf numFmtId="182" fontId="24" fillId="0" borderId="76" xfId="0" applyNumberFormat="1" applyFont="1" applyBorder="1"/>
    <xf numFmtId="182" fontId="24" fillId="0" borderId="83" xfId="0" applyNumberFormat="1" applyFont="1" applyBorder="1"/>
    <xf numFmtId="182" fontId="18" fillId="0" borderId="44" xfId="0" applyNumberFormat="1" applyFont="1" applyBorder="1"/>
    <xf numFmtId="42" fontId="0" fillId="0" borderId="0" xfId="0" applyNumberFormat="1"/>
    <xf numFmtId="42" fontId="0" fillId="0" borderId="0" xfId="5" applyFont="1" applyFill="1"/>
    <xf numFmtId="0" fontId="18" fillId="0" borderId="0" xfId="0" applyFont="1"/>
    <xf numFmtId="0" fontId="24" fillId="0" borderId="0" xfId="0" applyFont="1"/>
    <xf numFmtId="9" fontId="18" fillId="0" borderId="0" xfId="13" applyNumberFormat="1" applyFont="1" applyFill="1"/>
    <xf numFmtId="9" fontId="18" fillId="0" borderId="0" xfId="11" applyFont="1" applyFill="1" applyAlignment="1">
      <alignment horizontal="center"/>
    </xf>
    <xf numFmtId="0" fontId="18" fillId="0" borderId="0" xfId="0" applyFont="1" applyAlignment="1" applyProtection="1">
      <alignment horizontal="left" indent="2"/>
      <protection locked="0"/>
    </xf>
    <xf numFmtId="0" fontId="25" fillId="0" borderId="0" xfId="0" applyFont="1"/>
    <xf numFmtId="9" fontId="2" fillId="0" borderId="0" xfId="12" applyFont="1" applyFill="1" applyAlignment="1">
      <alignment horizontal="center"/>
    </xf>
    <xf numFmtId="9" fontId="18" fillId="0" borderId="0" xfId="13" applyNumberFormat="1" applyFont="1" applyFill="1" applyAlignment="1">
      <alignment horizontal="center"/>
    </xf>
    <xf numFmtId="0" fontId="4" fillId="8" borderId="10" xfId="9" applyFill="1" applyBorder="1" applyAlignment="1" applyProtection="1">
      <alignment horizontal="left" vertical="center"/>
      <protection locked="0"/>
    </xf>
    <xf numFmtId="0" fontId="4" fillId="8" borderId="6" xfId="9" applyFill="1" applyBorder="1" applyAlignment="1" applyProtection="1">
      <alignment horizontal="left" vertical="center"/>
      <protection locked="0"/>
    </xf>
    <xf numFmtId="9" fontId="0" fillId="8" borderId="10" xfId="0" applyNumberFormat="1" applyFill="1" applyBorder="1" applyAlignment="1" applyProtection="1">
      <alignment horizontal="center" vertical="center"/>
      <protection locked="0"/>
    </xf>
    <xf numFmtId="9" fontId="0" fillId="8" borderId="20" xfId="0" applyNumberFormat="1" applyFill="1" applyBorder="1" applyAlignment="1" applyProtection="1">
      <alignment horizontal="center" vertical="center"/>
      <protection locked="0"/>
    </xf>
    <xf numFmtId="9" fontId="0" fillId="8" borderId="25" xfId="0" applyNumberFormat="1" applyFill="1" applyBorder="1" applyAlignment="1" applyProtection="1">
      <alignment horizontal="center" vertical="center"/>
      <protection locked="0"/>
    </xf>
    <xf numFmtId="9" fontId="4" fillId="8" borderId="18" xfId="11" applyFont="1" applyFill="1" applyBorder="1" applyAlignment="1" applyProtection="1">
      <alignment horizontal="center" vertical="center"/>
      <protection locked="0"/>
    </xf>
    <xf numFmtId="9" fontId="4" fillId="8" borderId="8" xfId="11" applyFont="1" applyFill="1" applyBorder="1" applyAlignment="1" applyProtection="1">
      <alignment horizontal="center" vertical="center"/>
      <protection locked="0"/>
    </xf>
    <xf numFmtId="9" fontId="4" fillId="8" borderId="23" xfId="11" applyFont="1" applyFill="1" applyBorder="1" applyAlignment="1" applyProtection="1">
      <alignment horizontal="center" vertical="center"/>
      <protection locked="0"/>
    </xf>
    <xf numFmtId="177" fontId="4" fillId="8" borderId="14" xfId="9" applyNumberFormat="1" applyFill="1" applyBorder="1" applyProtection="1">
      <protection locked="0"/>
    </xf>
    <xf numFmtId="165" fontId="4" fillId="8" borderId="11" xfId="6" applyNumberFormat="1" applyFill="1" applyBorder="1" applyAlignment="1" applyProtection="1">
      <alignment vertical="center"/>
      <protection locked="0"/>
    </xf>
    <xf numFmtId="165" fontId="27" fillId="20" borderId="11" xfId="4" applyNumberFormat="1" applyFont="1" applyFill="1" applyBorder="1" applyAlignment="1" applyProtection="1">
      <alignment vertical="center"/>
      <protection locked="0"/>
    </xf>
    <xf numFmtId="165" fontId="27" fillId="8" borderId="11" xfId="4" applyNumberFormat="1" applyFont="1" applyFill="1" applyBorder="1" applyAlignment="1" applyProtection="1">
      <alignment vertical="center"/>
      <protection locked="0"/>
    </xf>
    <xf numFmtId="165" fontId="21" fillId="20" borderId="11" xfId="4" applyNumberFormat="1" applyFont="1" applyFill="1" applyBorder="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19" fillId="0" borderId="0" xfId="0" applyFont="1" applyProtection="1">
      <protection locked="0"/>
    </xf>
    <xf numFmtId="0" fontId="30" fillId="0" borderId="0" xfId="0" applyFont="1" applyProtection="1">
      <protection locked="0"/>
    </xf>
    <xf numFmtId="0" fontId="30" fillId="0" borderId="44" xfId="0" applyFont="1" applyBorder="1" applyAlignment="1" applyProtection="1">
      <alignment horizontal="center"/>
      <protection locked="0"/>
    </xf>
    <xf numFmtId="49" fontId="4" fillId="0" borderId="44" xfId="10" applyNumberFormat="1" applyBorder="1" applyProtection="1">
      <protection locked="0"/>
    </xf>
    <xf numFmtId="49" fontId="14" fillId="0" borderId="44" xfId="10" applyNumberFormat="1" applyFont="1" applyBorder="1" applyAlignment="1" applyProtection="1">
      <alignment horizontal="center"/>
      <protection locked="0"/>
    </xf>
    <xf numFmtId="181" fontId="14" fillId="0" borderId="44" xfId="2" applyNumberFormat="1" applyFont="1" applyBorder="1" applyProtection="1">
      <protection locked="0"/>
    </xf>
    <xf numFmtId="181" fontId="14" fillId="0" borderId="44" xfId="2" applyNumberFormat="1" applyFont="1" applyBorder="1" applyAlignment="1" applyProtection="1">
      <alignment wrapText="1"/>
      <protection locked="0"/>
    </xf>
    <xf numFmtId="181" fontId="14" fillId="0" borderId="86" xfId="2" applyNumberFormat="1" applyFont="1" applyBorder="1" applyProtection="1">
      <protection locked="0"/>
    </xf>
    <xf numFmtId="0" fontId="0" fillId="0" borderId="59" xfId="0" applyBorder="1" applyProtection="1">
      <protection locked="0"/>
    </xf>
    <xf numFmtId="181" fontId="14" fillId="0" borderId="54" xfId="2" applyNumberFormat="1" applyFont="1" applyBorder="1" applyProtection="1">
      <protection locked="0"/>
    </xf>
    <xf numFmtId="0" fontId="0" fillId="0" borderId="44" xfId="0" applyBorder="1" applyProtection="1">
      <protection locked="0"/>
    </xf>
    <xf numFmtId="0" fontId="30" fillId="8" borderId="41" xfId="0" applyFont="1" applyFill="1" applyBorder="1" applyAlignment="1" applyProtection="1">
      <alignment horizontal="center"/>
      <protection locked="0"/>
    </xf>
    <xf numFmtId="3" fontId="30" fillId="8" borderId="41" xfId="0" applyNumberFormat="1" applyFont="1" applyFill="1" applyBorder="1" applyProtection="1">
      <protection locked="0"/>
    </xf>
    <xf numFmtId="1" fontId="14" fillId="8" borderId="41" xfId="2" applyNumberFormat="1" applyFill="1" applyBorder="1" applyAlignment="1" applyProtection="1">
      <alignment horizontal="center"/>
      <protection locked="0"/>
    </xf>
    <xf numFmtId="49" fontId="14" fillId="8" borderId="41" xfId="10" applyNumberFormat="1" applyFont="1" applyFill="1" applyBorder="1" applyAlignment="1" applyProtection="1">
      <alignment horizontal="center"/>
      <protection locked="0"/>
    </xf>
    <xf numFmtId="181" fontId="14" fillId="8" borderId="41" xfId="2" applyNumberFormat="1" applyFill="1" applyBorder="1" applyProtection="1">
      <protection locked="0"/>
    </xf>
    <xf numFmtId="173" fontId="14" fillId="8" borderId="41" xfId="2" applyNumberFormat="1" applyFill="1" applyBorder="1" applyAlignment="1" applyProtection="1">
      <alignment horizontal="center"/>
      <protection locked="0"/>
    </xf>
    <xf numFmtId="169" fontId="14" fillId="8" borderId="41" xfId="2" applyNumberFormat="1" applyFill="1" applyBorder="1" applyProtection="1">
      <protection locked="0"/>
    </xf>
    <xf numFmtId="181" fontId="14" fillId="8" borderId="81" xfId="2" applyNumberFormat="1" applyFill="1" applyBorder="1" applyProtection="1">
      <protection locked="0"/>
    </xf>
    <xf numFmtId="0" fontId="30" fillId="8" borderId="42" xfId="0" applyFont="1" applyFill="1" applyBorder="1" applyAlignment="1" applyProtection="1">
      <alignment horizontal="center"/>
      <protection locked="0"/>
    </xf>
    <xf numFmtId="3" fontId="30" fillId="8" borderId="42" xfId="0" applyNumberFormat="1" applyFont="1" applyFill="1" applyBorder="1" applyProtection="1">
      <protection locked="0"/>
    </xf>
    <xf numFmtId="1" fontId="14" fillId="8" borderId="42" xfId="2" applyNumberFormat="1" applyFill="1" applyBorder="1" applyAlignment="1" applyProtection="1">
      <alignment horizontal="center"/>
      <protection locked="0"/>
    </xf>
    <xf numFmtId="49" fontId="14" fillId="8" borderId="42" xfId="10" applyNumberFormat="1" applyFont="1" applyFill="1" applyBorder="1" applyAlignment="1" applyProtection="1">
      <alignment horizontal="center"/>
      <protection locked="0"/>
    </xf>
    <xf numFmtId="181" fontId="14" fillId="8" borderId="42" xfId="2" applyNumberFormat="1" applyFill="1" applyBorder="1" applyProtection="1">
      <protection locked="0"/>
    </xf>
    <xf numFmtId="173" fontId="14" fillId="8" borderId="42" xfId="2" applyNumberFormat="1" applyFill="1" applyBorder="1" applyAlignment="1" applyProtection="1">
      <alignment horizontal="center"/>
      <protection locked="0"/>
    </xf>
    <xf numFmtId="181" fontId="14" fillId="8" borderId="89" xfId="2" applyNumberFormat="1" applyFill="1" applyBorder="1" applyProtection="1">
      <protection locked="0"/>
    </xf>
    <xf numFmtId="169" fontId="14" fillId="8" borderId="42" xfId="2" applyNumberFormat="1" applyFill="1" applyBorder="1" applyProtection="1">
      <protection locked="0"/>
    </xf>
    <xf numFmtId="181" fontId="14" fillId="8" borderId="82" xfId="2" applyNumberFormat="1" applyFill="1" applyBorder="1" applyProtection="1">
      <protection locked="0"/>
    </xf>
    <xf numFmtId="0" fontId="30" fillId="8" borderId="55" xfId="0" applyFont="1" applyFill="1" applyBorder="1" applyAlignment="1" applyProtection="1">
      <alignment horizontal="center"/>
      <protection locked="0"/>
    </xf>
    <xf numFmtId="3" fontId="30" fillId="8" borderId="55" xfId="0" applyNumberFormat="1" applyFont="1" applyFill="1" applyBorder="1" applyProtection="1">
      <protection locked="0"/>
    </xf>
    <xf numFmtId="0" fontId="30" fillId="8" borderId="43" xfId="0" applyFont="1" applyFill="1" applyBorder="1" applyAlignment="1" applyProtection="1">
      <alignment horizontal="center"/>
      <protection locked="0"/>
    </xf>
    <xf numFmtId="3" fontId="30" fillId="8" borderId="43" xfId="0" applyNumberFormat="1" applyFont="1" applyFill="1" applyBorder="1" applyProtection="1">
      <protection locked="0"/>
    </xf>
    <xf numFmtId="49" fontId="14" fillId="8" borderId="43" xfId="10" applyNumberFormat="1" applyFont="1" applyFill="1" applyBorder="1" applyAlignment="1" applyProtection="1">
      <alignment horizontal="center"/>
      <protection locked="0"/>
    </xf>
    <xf numFmtId="181" fontId="14" fillId="8" borderId="43" xfId="2" applyNumberFormat="1" applyFill="1" applyBorder="1" applyProtection="1">
      <protection locked="0"/>
    </xf>
    <xf numFmtId="1" fontId="14" fillId="8" borderId="43" xfId="2" applyNumberFormat="1" applyFill="1" applyBorder="1" applyAlignment="1" applyProtection="1">
      <alignment horizontal="center"/>
      <protection locked="0"/>
    </xf>
    <xf numFmtId="173" fontId="14" fillId="8" borderId="43" xfId="2" applyNumberFormat="1" applyFill="1" applyBorder="1" applyAlignment="1" applyProtection="1">
      <alignment horizontal="center"/>
      <protection locked="0"/>
    </xf>
    <xf numFmtId="181" fontId="14" fillId="8" borderId="61" xfId="2" applyNumberFormat="1" applyFill="1" applyBorder="1" applyProtection="1">
      <protection locked="0"/>
    </xf>
    <xf numFmtId="169" fontId="14" fillId="8" borderId="43" xfId="2" applyNumberFormat="1" applyFill="1" applyBorder="1" applyProtection="1">
      <protection locked="0"/>
    </xf>
    <xf numFmtId="181" fontId="14" fillId="8" borderId="87" xfId="2" applyNumberFormat="1" applyFill="1" applyBorder="1" applyProtection="1">
      <protection locked="0"/>
    </xf>
    <xf numFmtId="0" fontId="30" fillId="20" borderId="41" xfId="0" applyFont="1" applyFill="1" applyBorder="1" applyAlignment="1" applyProtection="1">
      <alignment horizontal="center"/>
      <protection locked="0"/>
    </xf>
    <xf numFmtId="3" fontId="30" fillId="20" borderId="41" xfId="0" applyNumberFormat="1" applyFont="1" applyFill="1" applyBorder="1" applyProtection="1">
      <protection locked="0"/>
    </xf>
    <xf numFmtId="1" fontId="30" fillId="20" borderId="41" xfId="0" applyNumberFormat="1" applyFont="1" applyFill="1" applyBorder="1" applyAlignment="1" applyProtection="1">
      <alignment horizontal="center"/>
      <protection locked="0"/>
    </xf>
    <xf numFmtId="49" fontId="14" fillId="20" borderId="41" xfId="10" applyNumberFormat="1" applyFont="1" applyFill="1" applyBorder="1" applyAlignment="1" applyProtection="1">
      <alignment horizontal="center"/>
      <protection locked="0"/>
    </xf>
    <xf numFmtId="181" fontId="14" fillId="20" borderId="41" xfId="2" applyNumberFormat="1" applyFill="1" applyBorder="1" applyProtection="1">
      <protection locked="0"/>
    </xf>
    <xf numFmtId="173" fontId="4" fillId="20" borderId="41" xfId="2" applyNumberFormat="1" applyFont="1" applyFill="1" applyBorder="1" applyAlignment="1" applyProtection="1">
      <alignment horizontal="center"/>
      <protection locked="0"/>
    </xf>
    <xf numFmtId="1" fontId="14" fillId="20" borderId="41" xfId="2" applyNumberFormat="1" applyFill="1" applyBorder="1" applyAlignment="1" applyProtection="1">
      <alignment horizontal="center"/>
      <protection locked="0"/>
    </xf>
    <xf numFmtId="173" fontId="4" fillId="20" borderId="41" xfId="2" applyNumberFormat="1" applyFont="1" applyFill="1" applyBorder="1" applyAlignment="1" applyProtection="1">
      <alignment horizontal="right"/>
      <protection locked="0"/>
    </xf>
    <xf numFmtId="181" fontId="4" fillId="20" borderId="41" xfId="2" applyNumberFormat="1" applyFont="1" applyFill="1" applyBorder="1" applyProtection="1">
      <protection locked="0"/>
    </xf>
    <xf numFmtId="0" fontId="30" fillId="20" borderId="61" xfId="0" applyFont="1" applyFill="1" applyBorder="1" applyAlignment="1" applyProtection="1">
      <alignment horizontal="center"/>
      <protection locked="0"/>
    </xf>
    <xf numFmtId="3" fontId="30" fillId="20" borderId="61" xfId="0" applyNumberFormat="1" applyFont="1" applyFill="1" applyBorder="1" applyProtection="1">
      <protection locked="0"/>
    </xf>
    <xf numFmtId="1" fontId="30" fillId="20" borderId="61" xfId="0" applyNumberFormat="1" applyFont="1" applyFill="1" applyBorder="1" applyAlignment="1" applyProtection="1">
      <alignment horizontal="center"/>
      <protection locked="0"/>
    </xf>
    <xf numFmtId="49" fontId="14" fillId="20" borderId="43" xfId="10" applyNumberFormat="1" applyFont="1" applyFill="1" applyBorder="1" applyAlignment="1" applyProtection="1">
      <alignment horizontal="center"/>
      <protection locked="0"/>
    </xf>
    <xf numFmtId="181" fontId="14" fillId="20" borderId="43" xfId="2" applyNumberFormat="1" applyFill="1" applyBorder="1" applyProtection="1">
      <protection locked="0"/>
    </xf>
    <xf numFmtId="173" fontId="4" fillId="20" borderId="61" xfId="2" applyNumberFormat="1" applyFont="1" applyFill="1" applyBorder="1" applyAlignment="1" applyProtection="1">
      <alignment horizontal="center"/>
      <protection locked="0"/>
    </xf>
    <xf numFmtId="1" fontId="14" fillId="20" borderId="61" xfId="2" applyNumberFormat="1" applyFill="1" applyBorder="1" applyAlignment="1" applyProtection="1">
      <alignment horizontal="center"/>
      <protection locked="0"/>
    </xf>
    <xf numFmtId="173" fontId="4" fillId="20" borderId="61" xfId="2" applyNumberFormat="1" applyFont="1" applyFill="1" applyBorder="1" applyAlignment="1" applyProtection="1">
      <alignment horizontal="right"/>
      <protection locked="0"/>
    </xf>
    <xf numFmtId="181" fontId="4" fillId="20" borderId="61" xfId="2" applyNumberFormat="1" applyFont="1" applyFill="1" applyBorder="1" applyProtection="1">
      <protection locked="0"/>
    </xf>
    <xf numFmtId="1" fontId="30" fillId="8" borderId="41" xfId="0" applyNumberFormat="1" applyFont="1" applyFill="1" applyBorder="1" applyAlignment="1" applyProtection="1">
      <alignment horizontal="center"/>
      <protection locked="0"/>
    </xf>
    <xf numFmtId="173" fontId="4" fillId="8" borderId="41" xfId="2" applyNumberFormat="1" applyFont="1" applyFill="1" applyBorder="1" applyAlignment="1" applyProtection="1">
      <alignment horizontal="center"/>
      <protection locked="0"/>
    </xf>
    <xf numFmtId="173" fontId="4" fillId="8" borderId="41" xfId="2" applyNumberFormat="1" applyFont="1" applyFill="1" applyBorder="1" applyAlignment="1" applyProtection="1">
      <alignment horizontal="right"/>
      <protection locked="0"/>
    </xf>
    <xf numFmtId="181" fontId="4" fillId="8" borderId="41" xfId="2" applyNumberFormat="1" applyFont="1" applyFill="1" applyBorder="1" applyProtection="1">
      <protection locked="0"/>
    </xf>
    <xf numFmtId="0" fontId="30" fillId="8" borderId="61" xfId="0" applyFont="1" applyFill="1" applyBorder="1" applyAlignment="1" applyProtection="1">
      <alignment horizontal="center"/>
      <protection locked="0"/>
    </xf>
    <xf numFmtId="3" fontId="30" fillId="8" borderId="61" xfId="0" applyNumberFormat="1" applyFont="1" applyFill="1" applyBorder="1" applyProtection="1">
      <protection locked="0"/>
    </xf>
    <xf numFmtId="1" fontId="30" fillId="8" borderId="61" xfId="0" applyNumberFormat="1" applyFont="1" applyFill="1" applyBorder="1" applyAlignment="1" applyProtection="1">
      <alignment horizontal="center"/>
      <protection locked="0"/>
    </xf>
    <xf numFmtId="173" fontId="4" fillId="8" borderId="61" xfId="2" applyNumberFormat="1" applyFont="1" applyFill="1" applyBorder="1" applyAlignment="1" applyProtection="1">
      <alignment horizontal="center"/>
      <protection locked="0"/>
    </xf>
    <xf numFmtId="173" fontId="4" fillId="8" borderId="61" xfId="2" applyNumberFormat="1" applyFont="1" applyFill="1" applyBorder="1" applyAlignment="1" applyProtection="1">
      <alignment horizontal="right"/>
      <protection locked="0"/>
    </xf>
    <xf numFmtId="181" fontId="4" fillId="8" borderId="61" xfId="2" applyNumberFormat="1" applyFont="1" applyFill="1" applyBorder="1" applyProtection="1">
      <protection locked="0"/>
    </xf>
    <xf numFmtId="0" fontId="30" fillId="20" borderId="44" xfId="0" applyFont="1" applyFill="1" applyBorder="1" applyAlignment="1" applyProtection="1">
      <alignment horizontal="center"/>
      <protection locked="0"/>
    </xf>
    <xf numFmtId="3" fontId="30" fillId="20" borderId="44" xfId="0" applyNumberFormat="1" applyFont="1" applyFill="1" applyBorder="1" applyProtection="1">
      <protection locked="0"/>
    </xf>
    <xf numFmtId="1" fontId="30" fillId="20" borderId="44" xfId="0" applyNumberFormat="1" applyFont="1" applyFill="1" applyBorder="1" applyAlignment="1" applyProtection="1">
      <alignment horizontal="center"/>
      <protection locked="0"/>
    </xf>
    <xf numFmtId="49" fontId="14" fillId="20" borderId="44" xfId="10" applyNumberFormat="1" applyFont="1" applyFill="1" applyBorder="1" applyAlignment="1" applyProtection="1">
      <alignment horizontal="center"/>
      <protection locked="0"/>
    </xf>
    <xf numFmtId="181" fontId="14" fillId="20" borderId="44" xfId="2" applyNumberFormat="1" applyFill="1" applyBorder="1" applyProtection="1">
      <protection locked="0"/>
    </xf>
    <xf numFmtId="173" fontId="4" fillId="20" borderId="44" xfId="2" applyNumberFormat="1" applyFont="1" applyFill="1" applyBorder="1" applyAlignment="1" applyProtection="1">
      <alignment horizontal="center"/>
      <protection locked="0"/>
    </xf>
    <xf numFmtId="173" fontId="4" fillId="20" borderId="44" xfId="2" applyNumberFormat="1" applyFont="1" applyFill="1" applyBorder="1" applyAlignment="1" applyProtection="1">
      <alignment horizontal="right"/>
      <protection locked="0"/>
    </xf>
    <xf numFmtId="181" fontId="4" fillId="20" borderId="44" xfId="2" applyNumberFormat="1" applyFont="1" applyFill="1" applyBorder="1" applyProtection="1">
      <protection locked="0"/>
    </xf>
    <xf numFmtId="0" fontId="30" fillId="8" borderId="44" xfId="0" applyFont="1" applyFill="1" applyBorder="1" applyAlignment="1" applyProtection="1">
      <alignment horizontal="center"/>
      <protection locked="0"/>
    </xf>
    <xf numFmtId="3" fontId="30" fillId="8" borderId="44" xfId="0" applyNumberFormat="1" applyFont="1" applyFill="1" applyBorder="1" applyProtection="1">
      <protection locked="0"/>
    </xf>
    <xf numFmtId="1" fontId="30" fillId="8" borderId="44" xfId="0" applyNumberFormat="1" applyFont="1" applyFill="1" applyBorder="1" applyAlignment="1" applyProtection="1">
      <alignment horizontal="center"/>
      <protection locked="0"/>
    </xf>
    <xf numFmtId="49" fontId="14" fillId="8" borderId="44" xfId="10" applyNumberFormat="1" applyFont="1" applyFill="1" applyBorder="1" applyAlignment="1" applyProtection="1">
      <alignment horizontal="center"/>
      <protection locked="0"/>
    </xf>
    <xf numFmtId="181" fontId="14" fillId="8" borderId="44" xfId="2" applyNumberFormat="1" applyFill="1" applyBorder="1" applyProtection="1">
      <protection locked="0"/>
    </xf>
    <xf numFmtId="173" fontId="4" fillId="8" borderId="44" xfId="2" applyNumberFormat="1" applyFont="1" applyFill="1" applyBorder="1" applyAlignment="1" applyProtection="1">
      <alignment horizontal="center"/>
      <protection locked="0"/>
    </xf>
    <xf numFmtId="173" fontId="4" fillId="8" borderId="44" xfId="2" applyNumberFormat="1" applyFont="1" applyFill="1" applyBorder="1" applyAlignment="1" applyProtection="1">
      <alignment horizontal="right"/>
      <protection locked="0"/>
    </xf>
    <xf numFmtId="181" fontId="4" fillId="8" borderId="44" xfId="2" applyNumberFormat="1" applyFont="1" applyFill="1" applyBorder="1" applyProtection="1">
      <protection locked="0"/>
    </xf>
    <xf numFmtId="0" fontId="30" fillId="21" borderId="44" xfId="0" applyFont="1" applyFill="1" applyBorder="1" applyAlignment="1" applyProtection="1">
      <alignment horizontal="center"/>
      <protection locked="0"/>
    </xf>
    <xf numFmtId="3" fontId="30" fillId="21" borderId="44" xfId="0" applyNumberFormat="1" applyFont="1" applyFill="1" applyBorder="1" applyProtection="1">
      <protection locked="0"/>
    </xf>
    <xf numFmtId="1" fontId="30" fillId="21" borderId="44" xfId="0" applyNumberFormat="1" applyFont="1" applyFill="1" applyBorder="1" applyAlignment="1" applyProtection="1">
      <alignment horizontal="center"/>
      <protection locked="0"/>
    </xf>
    <xf numFmtId="49" fontId="14" fillId="21" borderId="44" xfId="10" applyNumberFormat="1" applyFont="1" applyFill="1" applyBorder="1" applyAlignment="1" applyProtection="1">
      <alignment horizontal="center"/>
      <protection locked="0"/>
    </xf>
    <xf numFmtId="181" fontId="14" fillId="21" borderId="44" xfId="2" applyNumberFormat="1" applyFill="1" applyBorder="1" applyProtection="1">
      <protection locked="0"/>
    </xf>
    <xf numFmtId="173" fontId="4" fillId="21" borderId="44" xfId="2" applyNumberFormat="1" applyFont="1" applyFill="1" applyBorder="1" applyAlignment="1" applyProtection="1">
      <alignment horizontal="center"/>
      <protection locked="0"/>
    </xf>
    <xf numFmtId="1" fontId="4" fillId="21" borderId="44" xfId="2" applyNumberFormat="1" applyFont="1" applyFill="1" applyBorder="1" applyAlignment="1" applyProtection="1">
      <alignment horizontal="center"/>
      <protection locked="0"/>
    </xf>
    <xf numFmtId="173" fontId="4" fillId="21" borderId="44" xfId="2" applyNumberFormat="1" applyFont="1" applyFill="1" applyBorder="1" applyAlignment="1" applyProtection="1">
      <alignment horizontal="right"/>
      <protection locked="0"/>
    </xf>
    <xf numFmtId="181" fontId="4" fillId="21" borderId="44" xfId="2" applyNumberFormat="1" applyFont="1" applyFill="1" applyBorder="1" applyProtection="1">
      <protection locked="0"/>
    </xf>
    <xf numFmtId="0" fontId="28" fillId="0" borderId="0" xfId="8" applyFont="1" applyProtection="1">
      <protection locked="0"/>
    </xf>
    <xf numFmtId="0" fontId="2" fillId="27" borderId="94" xfId="0" applyFont="1" applyFill="1" applyBorder="1" applyAlignment="1">
      <alignment horizontal="center" vertical="center" wrapText="1"/>
    </xf>
    <xf numFmtId="0" fontId="0" fillId="8" borderId="41" xfId="0" applyFill="1" applyBorder="1" applyAlignment="1" applyProtection="1">
      <alignment horizontal="left" vertical="center"/>
      <protection locked="0"/>
    </xf>
    <xf numFmtId="171" fontId="4" fillId="8" borderId="41" xfId="4" applyNumberFormat="1" applyFont="1" applyFill="1" applyBorder="1" applyAlignment="1" applyProtection="1">
      <alignment vertical="center"/>
      <protection locked="0"/>
    </xf>
    <xf numFmtId="177" fontId="0" fillId="19" borderId="41" xfId="0" applyNumberFormat="1" applyFill="1" applyBorder="1" applyAlignment="1">
      <alignment vertical="center"/>
    </xf>
    <xf numFmtId="0" fontId="0" fillId="8" borderId="89" xfId="0" applyFill="1" applyBorder="1" applyAlignment="1" applyProtection="1">
      <alignment horizontal="left" vertical="center"/>
      <protection locked="0"/>
    </xf>
    <xf numFmtId="171" fontId="4" fillId="8" borderId="89" xfId="4" applyNumberFormat="1" applyFont="1" applyFill="1" applyBorder="1" applyAlignment="1" applyProtection="1">
      <alignment vertical="center"/>
      <protection locked="0"/>
    </xf>
    <xf numFmtId="177" fontId="0" fillId="19" borderId="89" xfId="0" applyNumberFormat="1" applyFill="1" applyBorder="1" applyAlignment="1">
      <alignment vertical="center"/>
    </xf>
    <xf numFmtId="0" fontId="0" fillId="8" borderId="42" xfId="0" applyFill="1" applyBorder="1" applyAlignment="1" applyProtection="1">
      <alignment horizontal="left" vertical="center"/>
      <protection locked="0"/>
    </xf>
    <xf numFmtId="171" fontId="4" fillId="8" borderId="42" xfId="4" applyNumberFormat="1" applyFont="1" applyFill="1" applyBorder="1" applyAlignment="1" applyProtection="1">
      <alignment vertical="center"/>
      <protection locked="0"/>
    </xf>
    <xf numFmtId="177" fontId="0" fillId="19" borderId="42" xfId="0" applyNumberFormat="1" applyFill="1" applyBorder="1" applyAlignment="1">
      <alignment vertical="center"/>
    </xf>
    <xf numFmtId="171" fontId="4" fillId="8" borderId="61" xfId="4" applyNumberFormat="1" applyFont="1" applyFill="1" applyBorder="1" applyAlignment="1" applyProtection="1">
      <alignment vertical="center"/>
      <protection locked="0"/>
    </xf>
    <xf numFmtId="177" fontId="0" fillId="0" borderId="0" xfId="0" applyNumberFormat="1" applyProtection="1">
      <protection locked="0"/>
    </xf>
    <xf numFmtId="0" fontId="31" fillId="8" borderId="41" xfId="0" applyFont="1" applyFill="1" applyBorder="1" applyAlignment="1" applyProtection="1">
      <alignment horizontal="left" vertical="center"/>
      <protection locked="0"/>
    </xf>
    <xf numFmtId="171" fontId="4" fillId="8" borderId="47" xfId="4" applyNumberFormat="1" applyFont="1" applyFill="1" applyBorder="1" applyAlignment="1" applyProtection="1">
      <alignment vertical="center"/>
      <protection locked="0"/>
    </xf>
    <xf numFmtId="177" fontId="31" fillId="19" borderId="47" xfId="0" applyNumberFormat="1" applyFont="1" applyFill="1" applyBorder="1" applyAlignment="1">
      <alignment vertical="center"/>
    </xf>
    <xf numFmtId="177" fontId="31" fillId="19" borderId="41" xfId="0" applyNumberFormat="1" applyFont="1" applyFill="1" applyBorder="1" applyAlignment="1">
      <alignment vertical="center"/>
    </xf>
    <xf numFmtId="177" fontId="31" fillId="19" borderId="41" xfId="0" applyNumberFormat="1" applyFont="1" applyFill="1" applyBorder="1" applyAlignment="1">
      <alignment horizontal="right" vertical="center"/>
    </xf>
    <xf numFmtId="0" fontId="31" fillId="8" borderId="42" xfId="0" applyFont="1" applyFill="1" applyBorder="1" applyAlignment="1" applyProtection="1">
      <alignment horizontal="left" vertical="center"/>
      <protection locked="0"/>
    </xf>
    <xf numFmtId="171" fontId="4" fillId="8" borderId="96" xfId="4" applyNumberFormat="1" applyFont="1" applyFill="1" applyBorder="1" applyAlignment="1" applyProtection="1">
      <alignment vertical="center"/>
      <protection locked="0"/>
    </xf>
    <xf numFmtId="177" fontId="31" fillId="19" borderId="48" xfId="0" applyNumberFormat="1" applyFont="1" applyFill="1" applyBorder="1" applyAlignment="1">
      <alignment vertical="center"/>
    </xf>
    <xf numFmtId="177" fontId="31" fillId="19" borderId="89" xfId="0" applyNumberFormat="1" applyFont="1" applyFill="1" applyBorder="1" applyAlignment="1">
      <alignment vertical="center"/>
    </xf>
    <xf numFmtId="177" fontId="31" fillId="19" borderId="89" xfId="0" applyNumberFormat="1" applyFont="1" applyFill="1" applyBorder="1" applyAlignment="1">
      <alignment horizontal="right" vertical="center"/>
    </xf>
    <xf numFmtId="171" fontId="4" fillId="8" borderId="48" xfId="4" applyNumberFormat="1" applyFont="1" applyFill="1" applyBorder="1" applyAlignment="1" applyProtection="1">
      <alignment vertical="center"/>
      <protection locked="0"/>
    </xf>
    <xf numFmtId="0" fontId="31" fillId="8" borderId="61" xfId="0" applyFont="1" applyFill="1" applyBorder="1" applyAlignment="1" applyProtection="1">
      <alignment horizontal="left" vertical="center"/>
      <protection locked="0"/>
    </xf>
    <xf numFmtId="177" fontId="31" fillId="19" borderId="61" xfId="0" applyNumberFormat="1" applyFont="1" applyFill="1" applyBorder="1" applyAlignment="1">
      <alignment vertical="center"/>
    </xf>
    <xf numFmtId="177" fontId="31" fillId="19" borderId="61" xfId="0" applyNumberFormat="1" applyFont="1" applyFill="1" applyBorder="1" applyAlignment="1">
      <alignment horizontal="right" vertical="center"/>
    </xf>
    <xf numFmtId="0" fontId="2" fillId="0" borderId="86" xfId="0" applyFont="1" applyBorder="1" applyAlignment="1" applyProtection="1">
      <alignment horizontal="center"/>
      <protection locked="0"/>
    </xf>
    <xf numFmtId="177" fontId="2" fillId="0" borderId="44" xfId="0" applyNumberFormat="1" applyFont="1" applyBorder="1" applyProtection="1">
      <protection locked="0"/>
    </xf>
    <xf numFmtId="0" fontId="22" fillId="32" borderId="59" xfId="0" applyFont="1" applyFill="1" applyBorder="1" applyAlignment="1">
      <alignment horizontal="center" vertical="center"/>
    </xf>
    <xf numFmtId="0" fontId="22" fillId="32" borderId="53" xfId="0" applyFont="1" applyFill="1" applyBorder="1" applyAlignment="1">
      <alignment horizontal="center" vertical="center"/>
    </xf>
    <xf numFmtId="0" fontId="22" fillId="32" borderId="60" xfId="0" applyFont="1" applyFill="1" applyBorder="1" applyAlignment="1">
      <alignment horizontal="center" vertical="center"/>
    </xf>
    <xf numFmtId="170" fontId="14" fillId="0" borderId="28" xfId="4" applyNumberFormat="1" applyBorder="1"/>
    <xf numFmtId="170" fontId="14" fillId="0" borderId="12" xfId="4" applyNumberFormat="1" applyBorder="1"/>
    <xf numFmtId="170" fontId="14" fillId="0" borderId="0" xfId="4" applyNumberFormat="1" applyBorder="1"/>
    <xf numFmtId="0" fontId="2" fillId="21" borderId="0" xfId="0" applyFont="1" applyFill="1"/>
    <xf numFmtId="0" fontId="2" fillId="0" borderId="0" xfId="0" applyFont="1" applyProtection="1">
      <protection locked="0"/>
    </xf>
    <xf numFmtId="1" fontId="14" fillId="8" borderId="44" xfId="2" applyNumberFormat="1" applyFill="1" applyBorder="1" applyAlignment="1" applyProtection="1">
      <alignment horizontal="center"/>
      <protection locked="0"/>
    </xf>
    <xf numFmtId="173" fontId="14" fillId="8" borderId="44" xfId="2" applyNumberFormat="1" applyFill="1" applyBorder="1" applyAlignment="1" applyProtection="1">
      <alignment horizontal="center"/>
      <protection locked="0"/>
    </xf>
    <xf numFmtId="169" fontId="14" fillId="8" borderId="44" xfId="2" applyNumberFormat="1" applyFill="1" applyBorder="1" applyProtection="1">
      <protection locked="0"/>
    </xf>
    <xf numFmtId="181" fontId="14" fillId="8" borderId="86" xfId="2" applyNumberFormat="1" applyFill="1" applyBorder="1" applyProtection="1">
      <protection locked="0"/>
    </xf>
    <xf numFmtId="0" fontId="18" fillId="21" borderId="86" xfId="0" applyFont="1" applyFill="1" applyBorder="1" applyProtection="1">
      <protection locked="0"/>
    </xf>
    <xf numFmtId="181" fontId="18" fillId="21" borderId="44" xfId="0" applyNumberFormat="1" applyFont="1" applyFill="1" applyBorder="1" applyProtection="1">
      <protection locked="0"/>
    </xf>
    <xf numFmtId="0" fontId="0" fillId="8" borderId="22" xfId="0" applyFill="1" applyBorder="1" applyProtection="1">
      <protection locked="0"/>
    </xf>
    <xf numFmtId="3" fontId="18" fillId="21" borderId="44" xfId="0" applyNumberFormat="1" applyFont="1" applyFill="1" applyBorder="1" applyProtection="1">
      <protection locked="0"/>
    </xf>
    <xf numFmtId="0" fontId="0" fillId="8" borderId="12" xfId="0" applyFill="1" applyBorder="1" applyProtection="1">
      <protection locked="0"/>
    </xf>
    <xf numFmtId="1" fontId="14" fillId="8" borderId="61" xfId="2" applyNumberFormat="1" applyFill="1" applyBorder="1" applyAlignment="1" applyProtection="1">
      <alignment horizontal="center"/>
      <protection locked="0"/>
    </xf>
    <xf numFmtId="181" fontId="0" fillId="0" borderId="86" xfId="0" applyNumberFormat="1" applyBorder="1" applyProtection="1">
      <protection locked="0"/>
    </xf>
    <xf numFmtId="181" fontId="0" fillId="0" borderId="44" xfId="0" applyNumberFormat="1" applyBorder="1" applyProtection="1">
      <protection locked="0"/>
    </xf>
    <xf numFmtId="0" fontId="30" fillId="8" borderId="89" xfId="0" applyFont="1" applyFill="1" applyBorder="1" applyAlignment="1" applyProtection="1">
      <alignment horizontal="center"/>
      <protection locked="0"/>
    </xf>
    <xf numFmtId="3" fontId="30" fillId="8" borderId="89" xfId="0" applyNumberFormat="1" applyFont="1" applyFill="1" applyBorder="1" applyProtection="1">
      <protection locked="0"/>
    </xf>
    <xf numFmtId="1" fontId="30" fillId="8" borderId="89" xfId="0" applyNumberFormat="1" applyFont="1" applyFill="1" applyBorder="1" applyAlignment="1" applyProtection="1">
      <alignment horizontal="center"/>
      <protection locked="0"/>
    </xf>
    <xf numFmtId="49" fontId="14" fillId="8" borderId="89" xfId="10" applyNumberFormat="1" applyFont="1" applyFill="1" applyBorder="1" applyAlignment="1" applyProtection="1">
      <alignment horizontal="center"/>
      <protection locked="0"/>
    </xf>
    <xf numFmtId="173" fontId="4" fillId="8" borderId="89" xfId="2" applyNumberFormat="1" applyFont="1" applyFill="1" applyBorder="1" applyAlignment="1" applyProtection="1">
      <alignment horizontal="center"/>
      <protection locked="0"/>
    </xf>
    <xf numFmtId="1" fontId="14" fillId="8" borderId="89" xfId="2" applyNumberFormat="1" applyFill="1" applyBorder="1" applyAlignment="1" applyProtection="1">
      <alignment horizontal="center"/>
      <protection locked="0"/>
    </xf>
    <xf numFmtId="173" fontId="4" fillId="8" borderId="89" xfId="2" applyNumberFormat="1" applyFont="1" applyFill="1" applyBorder="1" applyAlignment="1" applyProtection="1">
      <alignment horizontal="right"/>
      <protection locked="0"/>
    </xf>
    <xf numFmtId="181" fontId="4" fillId="8" borderId="89" xfId="2" applyNumberFormat="1" applyFont="1" applyFill="1" applyBorder="1" applyProtection="1">
      <protection locked="0"/>
    </xf>
    <xf numFmtId="49" fontId="4" fillId="20" borderId="44" xfId="10" applyNumberFormat="1" applyFill="1" applyBorder="1" applyProtection="1">
      <protection locked="0"/>
    </xf>
    <xf numFmtId="1" fontId="14" fillId="20" borderId="44" xfId="2" applyNumberFormat="1" applyFill="1" applyBorder="1" applyAlignment="1" applyProtection="1">
      <alignment horizontal="center"/>
      <protection locked="0"/>
    </xf>
    <xf numFmtId="0" fontId="26" fillId="51" borderId="60" xfId="0" applyFont="1" applyFill="1" applyBorder="1" applyProtection="1">
      <protection locked="0"/>
    </xf>
    <xf numFmtId="0" fontId="0" fillId="8" borderId="27" xfId="0" applyFill="1" applyBorder="1" applyProtection="1">
      <protection locked="0"/>
    </xf>
    <xf numFmtId="0" fontId="26" fillId="8" borderId="12" xfId="0" applyFont="1" applyFill="1" applyBorder="1" applyProtection="1">
      <protection locked="0"/>
    </xf>
    <xf numFmtId="165" fontId="4" fillId="8" borderId="28" xfId="4" applyNumberFormat="1" applyFont="1" applyFill="1" applyBorder="1" applyAlignment="1" applyProtection="1">
      <alignment vertical="center"/>
      <protection locked="0"/>
    </xf>
    <xf numFmtId="165" fontId="4" fillId="19" borderId="51" xfId="4" applyNumberFormat="1" applyFont="1" applyFill="1" applyBorder="1" applyAlignment="1" applyProtection="1">
      <alignment vertical="center"/>
    </xf>
    <xf numFmtId="165" fontId="4" fillId="19" borderId="44" xfId="4" applyNumberFormat="1" applyFont="1" applyFill="1" applyBorder="1" applyAlignment="1" applyProtection="1">
      <alignment vertical="center"/>
    </xf>
    <xf numFmtId="171" fontId="30" fillId="8" borderId="20" xfId="6" applyNumberFormat="1" applyFont="1" applyFill="1" applyBorder="1" applyAlignment="1" applyProtection="1">
      <alignment vertical="center"/>
      <protection locked="0"/>
    </xf>
    <xf numFmtId="171" fontId="30" fillId="8" borderId="21" xfId="6" applyNumberFormat="1" applyFont="1" applyFill="1" applyBorder="1" applyAlignment="1" applyProtection="1">
      <alignment vertical="center"/>
      <protection locked="0"/>
    </xf>
    <xf numFmtId="171" fontId="30" fillId="8" borderId="22" xfId="6" applyNumberFormat="1" applyFont="1" applyFill="1" applyBorder="1" applyAlignment="1" applyProtection="1">
      <alignment vertical="center"/>
      <protection locked="0"/>
    </xf>
    <xf numFmtId="171" fontId="30" fillId="8" borderId="10" xfId="6" applyNumberFormat="1" applyFont="1" applyFill="1" applyBorder="1" applyAlignment="1" applyProtection="1">
      <alignment vertical="center"/>
      <protection locked="0"/>
    </xf>
    <xf numFmtId="171" fontId="30" fillId="8" borderId="11" xfId="6" applyNumberFormat="1" applyFont="1" applyFill="1" applyBorder="1" applyAlignment="1" applyProtection="1">
      <alignment vertical="center"/>
      <protection locked="0"/>
    </xf>
    <xf numFmtId="171" fontId="30" fillId="8" borderId="12" xfId="6" applyNumberFormat="1" applyFont="1" applyFill="1" applyBorder="1" applyAlignment="1" applyProtection="1">
      <alignment vertical="center"/>
      <protection locked="0"/>
    </xf>
    <xf numFmtId="171" fontId="30" fillId="8" borderId="6" xfId="6" applyNumberFormat="1" applyFont="1" applyFill="1" applyBorder="1" applyAlignment="1" applyProtection="1">
      <alignment vertical="center"/>
      <protection locked="0"/>
    </xf>
    <xf numFmtId="171" fontId="30" fillId="8" borderId="7" xfId="6" applyNumberFormat="1" applyFont="1" applyFill="1" applyBorder="1" applyAlignment="1" applyProtection="1">
      <alignment vertical="center"/>
      <protection locked="0"/>
    </xf>
    <xf numFmtId="171" fontId="30" fillId="8" borderId="5" xfId="6" applyNumberFormat="1" applyFont="1" applyFill="1" applyBorder="1" applyAlignment="1" applyProtection="1">
      <alignment vertical="center"/>
      <protection locked="0"/>
    </xf>
    <xf numFmtId="171" fontId="30" fillId="8" borderId="9" xfId="6" applyNumberFormat="1" applyFont="1" applyFill="1" applyBorder="1" applyAlignment="1" applyProtection="1">
      <alignment vertical="center"/>
      <protection locked="0"/>
    </xf>
    <xf numFmtId="171" fontId="30" fillId="8" borderId="25" xfId="6" applyNumberFormat="1" applyFont="1" applyFill="1" applyBorder="1" applyAlignment="1" applyProtection="1">
      <alignment vertical="center"/>
      <protection locked="0"/>
    </xf>
    <xf numFmtId="171" fontId="30" fillId="8" borderId="26" xfId="6" applyNumberFormat="1" applyFont="1" applyFill="1" applyBorder="1" applyAlignment="1" applyProtection="1">
      <alignment vertical="center"/>
      <protection locked="0"/>
    </xf>
    <xf numFmtId="171" fontId="30" fillId="8" borderId="24" xfId="6" applyNumberFormat="1" applyFont="1" applyFill="1" applyBorder="1" applyAlignment="1" applyProtection="1">
      <alignment vertical="center"/>
      <protection locked="0"/>
    </xf>
    <xf numFmtId="171" fontId="30" fillId="8" borderId="19" xfId="6" applyNumberFormat="1" applyFont="1" applyFill="1" applyBorder="1" applyAlignment="1" applyProtection="1">
      <alignment vertical="center"/>
      <protection locked="0"/>
    </xf>
    <xf numFmtId="0" fontId="30" fillId="8" borderId="21" xfId="0" applyFont="1" applyFill="1" applyBorder="1" applyAlignment="1" applyProtection="1">
      <alignment horizontal="left" vertical="center"/>
      <protection locked="0"/>
    </xf>
    <xf numFmtId="0" fontId="30" fillId="8" borderId="19" xfId="0" applyFont="1" applyFill="1" applyBorder="1" applyAlignment="1" applyProtection="1">
      <alignment horizontal="left" vertical="center"/>
      <protection locked="0"/>
    </xf>
    <xf numFmtId="0" fontId="30" fillId="8" borderId="7" xfId="0" applyFont="1" applyFill="1" applyBorder="1" applyAlignment="1" applyProtection="1">
      <alignment horizontal="left" vertical="center"/>
      <protection locked="0"/>
    </xf>
    <xf numFmtId="0" fontId="30" fillId="8" borderId="11" xfId="0" applyFont="1" applyFill="1" applyBorder="1" applyAlignment="1" applyProtection="1">
      <alignment horizontal="left" vertical="center"/>
      <protection locked="0"/>
    </xf>
    <xf numFmtId="0" fontId="30" fillId="8" borderId="9" xfId="0" applyFont="1" applyFill="1" applyBorder="1" applyAlignment="1" applyProtection="1">
      <alignment horizontal="left" vertical="center"/>
      <protection locked="0"/>
    </xf>
    <xf numFmtId="177" fontId="30" fillId="19" borderId="41" xfId="0" applyNumberFormat="1" applyFont="1" applyFill="1" applyBorder="1" applyAlignment="1">
      <alignment horizontal="right" vertical="center"/>
    </xf>
    <xf numFmtId="177" fontId="30" fillId="19" borderId="42" xfId="0" applyNumberFormat="1" applyFont="1" applyFill="1" applyBorder="1" applyAlignment="1">
      <alignment horizontal="right" vertical="center"/>
    </xf>
    <xf numFmtId="177" fontId="30" fillId="41" borderId="42" xfId="0" applyNumberFormat="1" applyFont="1" applyFill="1" applyBorder="1" applyAlignment="1">
      <alignment horizontal="right" vertical="center"/>
    </xf>
    <xf numFmtId="0" fontId="30" fillId="8" borderId="26" xfId="0" applyFont="1" applyFill="1" applyBorder="1" applyAlignment="1" applyProtection="1">
      <alignment horizontal="left" vertical="center"/>
      <protection locked="0"/>
    </xf>
    <xf numFmtId="177" fontId="30" fillId="19" borderId="43" xfId="0" applyNumberFormat="1" applyFont="1" applyFill="1" applyBorder="1" applyAlignment="1">
      <alignment horizontal="right" vertical="center"/>
    </xf>
    <xf numFmtId="0" fontId="4" fillId="8" borderId="21" xfId="0" applyFont="1" applyFill="1" applyBorder="1" applyAlignment="1" applyProtection="1">
      <alignment horizontal="right" vertical="center"/>
      <protection locked="0"/>
    </xf>
    <xf numFmtId="177" fontId="30" fillId="19" borderId="89" xfId="0" applyNumberFormat="1" applyFont="1" applyFill="1" applyBorder="1" applyAlignment="1">
      <alignment horizontal="right" vertical="center"/>
    </xf>
    <xf numFmtId="0" fontId="4" fillId="8" borderId="11" xfId="0" applyFont="1" applyFill="1" applyBorder="1" applyAlignment="1" applyProtection="1">
      <alignment horizontal="right" vertical="center"/>
      <protection locked="0"/>
    </xf>
    <xf numFmtId="0" fontId="4" fillId="8" borderId="26" xfId="0" applyFont="1" applyFill="1" applyBorder="1" applyAlignment="1" applyProtection="1">
      <alignment horizontal="right" vertical="center"/>
      <protection locked="0"/>
    </xf>
    <xf numFmtId="173" fontId="0" fillId="0" borderId="0" xfId="0" applyNumberFormat="1"/>
    <xf numFmtId="171" fontId="4" fillId="8" borderId="79" xfId="4" applyNumberFormat="1" applyFont="1" applyFill="1" applyBorder="1" applyAlignment="1" applyProtection="1">
      <alignment vertical="center"/>
      <protection locked="0"/>
    </xf>
    <xf numFmtId="0" fontId="16" fillId="0" borderId="0" xfId="1" applyBorder="1" applyAlignment="1" applyProtection="1">
      <alignment horizontal="center" vertical="center"/>
    </xf>
    <xf numFmtId="0" fontId="16" fillId="0" borderId="0" xfId="1" applyBorder="1" applyAlignment="1" applyProtection="1">
      <alignment horizontal="left" vertical="center"/>
    </xf>
    <xf numFmtId="0" fontId="16" fillId="0" borderId="0" xfId="1"/>
    <xf numFmtId="0" fontId="16" fillId="0" borderId="0" xfId="1" applyBorder="1" applyAlignment="1" applyProtection="1">
      <alignment horizontal="left" vertical="center" wrapText="1"/>
    </xf>
    <xf numFmtId="165" fontId="14" fillId="3" borderId="2" xfId="4" applyNumberFormat="1" applyFont="1" applyFill="1" applyBorder="1" applyAlignment="1" applyProtection="1">
      <alignment horizontal="right" vertical="center"/>
    </xf>
    <xf numFmtId="165" fontId="14" fillId="2" borderId="2" xfId="4" applyNumberFormat="1" applyFont="1" applyFill="1" applyBorder="1" applyAlignment="1" applyProtection="1">
      <alignment horizontal="right" vertical="center"/>
    </xf>
    <xf numFmtId="165" fontId="6" fillId="7" borderId="30" xfId="0" applyNumberFormat="1" applyFont="1" applyFill="1" applyBorder="1" applyAlignment="1">
      <alignment horizontal="center" vertical="center"/>
    </xf>
    <xf numFmtId="165" fontId="6" fillId="7" borderId="29" xfId="0" applyNumberFormat="1" applyFont="1" applyFill="1" applyBorder="1" applyAlignment="1">
      <alignment horizontal="center" vertical="center"/>
    </xf>
    <xf numFmtId="0" fontId="0" fillId="0" borderId="1" xfId="0" applyBorder="1" applyAlignment="1">
      <alignment horizontal="right" vertical="center" wrapText="1"/>
    </xf>
    <xf numFmtId="0" fontId="0" fillId="0" borderId="106" xfId="0" applyBorder="1" applyAlignment="1">
      <alignment horizontal="right" vertical="center" wrapText="1"/>
    </xf>
    <xf numFmtId="0" fontId="0" fillId="0" borderId="3" xfId="0" applyBorder="1" applyAlignment="1">
      <alignment horizontal="right" vertical="center" wrapText="1"/>
    </xf>
    <xf numFmtId="165" fontId="0" fillId="1" borderId="1" xfId="0" applyNumberFormat="1" applyFill="1" applyBorder="1" applyAlignment="1">
      <alignment horizontal="center" vertical="center"/>
    </xf>
    <xf numFmtId="165" fontId="0" fillId="1" borderId="3" xfId="0" applyNumberFormat="1" applyFill="1" applyBorder="1" applyAlignment="1">
      <alignment horizontal="center" vertical="center"/>
    </xf>
    <xf numFmtId="165" fontId="14" fillId="2" borderId="1" xfId="4" applyNumberFormat="1" applyFont="1" applyFill="1" applyBorder="1" applyAlignment="1" applyProtection="1">
      <alignment horizontal="right" vertical="center"/>
    </xf>
    <xf numFmtId="165" fontId="14" fillId="3" borderId="3" xfId="4" applyNumberFormat="1" applyFont="1" applyFill="1" applyBorder="1" applyAlignment="1" applyProtection="1">
      <alignment horizontal="right" vertical="center"/>
    </xf>
    <xf numFmtId="165" fontId="14" fillId="2" borderId="3" xfId="4" applyNumberFormat="1" applyFont="1" applyFill="1" applyBorder="1" applyAlignment="1" applyProtection="1">
      <alignment horizontal="right" vertical="center"/>
    </xf>
    <xf numFmtId="0" fontId="2" fillId="0" borderId="35" xfId="0" applyFont="1" applyBorder="1" applyAlignment="1">
      <alignment horizontal="right" vertical="center"/>
    </xf>
    <xf numFmtId="0" fontId="5" fillId="8" borderId="30" xfId="0" applyFont="1" applyFill="1" applyBorder="1" applyAlignment="1">
      <alignment horizontal="center" vertical="center"/>
    </xf>
    <xf numFmtId="0" fontId="5" fillId="8" borderId="29" xfId="0" applyFont="1" applyFill="1" applyBorder="1" applyAlignment="1">
      <alignment horizontal="center" vertical="center"/>
    </xf>
    <xf numFmtId="0" fontId="16" fillId="0" borderId="0" xfId="1" applyFill="1"/>
    <xf numFmtId="0" fontId="2" fillId="29" borderId="2" xfId="0" applyFont="1" applyFill="1" applyBorder="1" applyAlignment="1">
      <alignment horizontal="center" vertical="center" wrapText="1"/>
    </xf>
    <xf numFmtId="0" fontId="2" fillId="29" borderId="1" xfId="0" applyFont="1" applyFill="1" applyBorder="1" applyAlignment="1">
      <alignment horizontal="center" vertical="center" wrapText="1"/>
    </xf>
    <xf numFmtId="165" fontId="2" fillId="29" borderId="30" xfId="0" applyNumberFormat="1" applyFont="1" applyFill="1" applyBorder="1" applyAlignment="1">
      <alignment horizontal="center" vertical="center"/>
    </xf>
    <xf numFmtId="165" fontId="2" fillId="29" borderId="1" xfId="0" applyNumberFormat="1" applyFont="1" applyFill="1" applyBorder="1" applyAlignment="1">
      <alignment horizontal="center" vertical="center"/>
    </xf>
    <xf numFmtId="165" fontId="35" fillId="52" borderId="2" xfId="0" applyNumberFormat="1" applyFont="1" applyFill="1" applyBorder="1" applyAlignment="1">
      <alignment horizontal="center" vertical="center" wrapText="1"/>
    </xf>
    <xf numFmtId="165" fontId="22" fillId="52" borderId="36" xfId="0" applyNumberFormat="1" applyFont="1" applyFill="1" applyBorder="1" applyAlignment="1">
      <alignment horizontal="center" vertical="center" wrapText="1"/>
    </xf>
    <xf numFmtId="165" fontId="22" fillId="52" borderId="106"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left" vertical="center" wrapText="1"/>
    </xf>
    <xf numFmtId="0" fontId="0" fillId="0" borderId="106" xfId="0" applyBorder="1" applyAlignment="1">
      <alignment horizontal="left" vertical="center" wrapText="1"/>
    </xf>
    <xf numFmtId="0" fontId="0" fillId="0" borderId="3" xfId="0" applyBorder="1" applyAlignment="1">
      <alignment horizontal="left" vertical="center" wrapText="1"/>
    </xf>
    <xf numFmtId="165" fontId="14" fillId="3" borderId="1" xfId="4" applyNumberFormat="1" applyFont="1" applyFill="1" applyBorder="1" applyAlignment="1" applyProtection="1">
      <alignment horizontal="right" vertical="center"/>
    </xf>
    <xf numFmtId="165" fontId="22" fillId="5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06" xfId="0" applyFont="1" applyBorder="1" applyAlignment="1">
      <alignment horizontal="left" vertical="center" wrapText="1"/>
    </xf>
    <xf numFmtId="0" fontId="2" fillId="0" borderId="3" xfId="0" applyFont="1" applyBorder="1" applyAlignment="1">
      <alignment horizontal="left" vertical="center" wrapText="1"/>
    </xf>
    <xf numFmtId="0" fontId="0" fillId="8" borderId="1" xfId="0" applyFill="1" applyBorder="1" applyAlignment="1">
      <alignment horizontal="left" vertical="center" wrapText="1"/>
    </xf>
    <xf numFmtId="0" fontId="0" fillId="8" borderId="106" xfId="0" applyFill="1" applyBorder="1" applyAlignment="1">
      <alignment horizontal="left" vertical="center" wrapText="1"/>
    </xf>
    <xf numFmtId="0" fontId="0" fillId="8" borderId="3" xfId="0" applyFill="1" applyBorder="1" applyAlignment="1">
      <alignment horizontal="left" vertical="center" wrapText="1"/>
    </xf>
    <xf numFmtId="165" fontId="6" fillId="7" borderId="69" xfId="0" applyNumberFormat="1" applyFont="1" applyFill="1" applyBorder="1" applyAlignment="1">
      <alignment horizontal="center" vertical="center"/>
    </xf>
    <xf numFmtId="0" fontId="5" fillId="0" borderId="11" xfId="0" applyFont="1" applyBorder="1" applyAlignment="1">
      <alignment horizontal="center" vertical="center" wrapText="1"/>
    </xf>
    <xf numFmtId="0" fontId="0" fillId="0" borderId="36" xfId="0" applyBorder="1" applyAlignment="1">
      <alignment horizontal="left" vertical="center" wrapText="1"/>
    </xf>
    <xf numFmtId="0" fontId="0" fillId="0" borderId="35" xfId="0" applyBorder="1" applyAlignment="1">
      <alignment horizontal="left" vertical="center" wrapText="1"/>
    </xf>
    <xf numFmtId="0" fontId="0" fillId="0" borderId="31" xfId="0" applyBorder="1" applyAlignment="1">
      <alignment horizontal="left" vertical="center" wrapText="1"/>
    </xf>
    <xf numFmtId="0" fontId="5" fillId="0" borderId="10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1" xfId="0" applyFont="1" applyBorder="1" applyAlignment="1">
      <alignment horizontal="left" vertical="center" wrapText="1"/>
    </xf>
    <xf numFmtId="0" fontId="16" fillId="0" borderId="0" xfId="1" applyFill="1" applyBorder="1" applyAlignment="1" applyProtection="1">
      <alignment horizontal="left" vertical="center" indent="2"/>
    </xf>
    <xf numFmtId="0" fontId="5" fillId="53" borderId="41" xfId="0" applyFont="1" applyFill="1" applyBorder="1" applyAlignment="1">
      <alignment horizontal="center" vertical="center" wrapText="1"/>
    </xf>
    <xf numFmtId="0" fontId="5" fillId="53" borderId="42" xfId="0" applyFont="1" applyFill="1" applyBorder="1" applyAlignment="1">
      <alignment horizontal="center" vertical="center" wrapText="1"/>
    </xf>
    <xf numFmtId="0" fontId="5" fillId="53" borderId="55" xfId="0" applyFont="1" applyFill="1" applyBorder="1" applyAlignment="1">
      <alignment horizontal="center" vertical="center" wrapText="1"/>
    </xf>
    <xf numFmtId="0" fontId="5" fillId="53" borderId="43" xfId="0" applyFont="1" applyFill="1" applyBorder="1" applyAlignment="1">
      <alignment horizontal="center" vertical="center" wrapText="1"/>
    </xf>
    <xf numFmtId="165" fontId="2" fillId="54" borderId="84" xfId="0" applyNumberFormat="1" applyFont="1" applyFill="1" applyBorder="1" applyAlignment="1">
      <alignment horizontal="center" vertical="center"/>
    </xf>
    <xf numFmtId="0" fontId="2" fillId="54" borderId="100" xfId="0" applyFont="1" applyFill="1" applyBorder="1" applyAlignment="1">
      <alignment horizontal="center" vertical="center"/>
    </xf>
    <xf numFmtId="0" fontId="2" fillId="54" borderId="103" xfId="0" applyFont="1" applyFill="1" applyBorder="1" applyAlignment="1">
      <alignment horizontal="center" vertical="center"/>
    </xf>
    <xf numFmtId="0" fontId="2" fillId="29" borderId="41" xfId="0" applyFont="1" applyFill="1" applyBorder="1" applyAlignment="1">
      <alignment horizontal="center" vertical="center" wrapText="1"/>
    </xf>
    <xf numFmtId="0" fontId="2" fillId="29" borderId="42" xfId="0" applyFont="1" applyFill="1" applyBorder="1" applyAlignment="1">
      <alignment horizontal="center" vertical="center" wrapText="1"/>
    </xf>
    <xf numFmtId="0" fontId="2" fillId="29" borderId="43" xfId="0" applyFont="1" applyFill="1" applyBorder="1" applyAlignment="1">
      <alignment horizontal="center" vertical="center" wrapText="1"/>
    </xf>
    <xf numFmtId="165" fontId="2" fillId="29" borderId="18" xfId="0" applyNumberFormat="1" applyFont="1" applyFill="1" applyBorder="1" applyAlignment="1">
      <alignment horizontal="center" vertical="center"/>
    </xf>
    <xf numFmtId="165" fontId="2" fillId="29" borderId="8" xfId="0" applyNumberFormat="1" applyFont="1" applyFill="1" applyBorder="1" applyAlignment="1">
      <alignment horizontal="center" vertical="center"/>
    </xf>
    <xf numFmtId="165" fontId="2" fillId="29" borderId="23" xfId="0" applyNumberFormat="1" applyFont="1" applyFill="1" applyBorder="1" applyAlignment="1">
      <alignment horizontal="center" vertical="center"/>
    </xf>
    <xf numFmtId="165" fontId="2" fillId="29" borderId="22" xfId="0" applyNumberFormat="1" applyFont="1" applyFill="1" applyBorder="1" applyAlignment="1">
      <alignment horizontal="center" vertical="center"/>
    </xf>
    <xf numFmtId="165" fontId="2" fillId="29" borderId="12" xfId="0" applyNumberFormat="1" applyFont="1" applyFill="1" applyBorder="1" applyAlignment="1">
      <alignment horizontal="center" vertical="center"/>
    </xf>
    <xf numFmtId="165" fontId="2" fillId="29" borderId="27" xfId="0" applyNumberFormat="1" applyFont="1" applyFill="1" applyBorder="1" applyAlignment="1">
      <alignment horizontal="center" vertical="center"/>
    </xf>
    <xf numFmtId="0" fontId="2" fillId="27" borderId="86" xfId="0" applyFont="1" applyFill="1" applyBorder="1" applyAlignment="1">
      <alignment horizontal="center" vertical="center"/>
    </xf>
    <xf numFmtId="0" fontId="2" fillId="27" borderId="57" xfId="0" applyFont="1" applyFill="1" applyBorder="1" applyAlignment="1">
      <alignment horizontal="center" vertical="center"/>
    </xf>
    <xf numFmtId="0" fontId="2" fillId="27" borderId="95" xfId="0" applyFont="1" applyFill="1" applyBorder="1" applyAlignment="1">
      <alignment horizontal="center" vertical="center"/>
    </xf>
    <xf numFmtId="0" fontId="5" fillId="53" borderId="97" xfId="0" applyFont="1" applyFill="1" applyBorder="1" applyAlignment="1">
      <alignment horizontal="center" vertical="center" wrapText="1"/>
    </xf>
    <xf numFmtId="0" fontId="5" fillId="53" borderId="61" xfId="0" applyFont="1" applyFill="1" applyBorder="1" applyAlignment="1">
      <alignment horizontal="center" vertical="center" wrapText="1"/>
    </xf>
    <xf numFmtId="165" fontId="2" fillId="54" borderId="100" xfId="0" applyNumberFormat="1" applyFont="1" applyFill="1" applyBorder="1" applyAlignment="1">
      <alignment horizontal="center" vertical="center"/>
    </xf>
    <xf numFmtId="0" fontId="5" fillId="53" borderId="89" xfId="0" applyFont="1" applyFill="1" applyBorder="1" applyAlignment="1">
      <alignment horizontal="center" vertical="center" wrapText="1"/>
    </xf>
    <xf numFmtId="0" fontId="2" fillId="29" borderId="4" xfId="0" applyFont="1" applyFill="1" applyBorder="1" applyAlignment="1">
      <alignment horizontal="center" vertical="center" wrapText="1"/>
    </xf>
    <xf numFmtId="0" fontId="2" fillId="29" borderId="23" xfId="0" applyFont="1" applyFill="1" applyBorder="1" applyAlignment="1">
      <alignment horizontal="center" vertical="center" wrapText="1"/>
    </xf>
    <xf numFmtId="0" fontId="2" fillId="29" borderId="7" xfId="0" applyFont="1" applyFill="1" applyBorder="1" applyAlignment="1">
      <alignment horizontal="center" vertical="center" wrapText="1"/>
    </xf>
    <xf numFmtId="0" fontId="2" fillId="29" borderId="26" xfId="0" applyFont="1" applyFill="1" applyBorder="1" applyAlignment="1">
      <alignment horizontal="center" vertical="center" wrapText="1"/>
    </xf>
    <xf numFmtId="165" fontId="2" fillId="29" borderId="7" xfId="0" applyNumberFormat="1" applyFont="1" applyFill="1" applyBorder="1" applyAlignment="1">
      <alignment horizontal="center" vertical="center" wrapText="1"/>
    </xf>
    <xf numFmtId="165" fontId="2" fillId="29" borderId="28" xfId="0" applyNumberFormat="1" applyFont="1" applyFill="1" applyBorder="1" applyAlignment="1">
      <alignment horizontal="center" vertical="center" wrapText="1"/>
    </xf>
    <xf numFmtId="165" fontId="2" fillId="29" borderId="26" xfId="0" applyNumberFormat="1" applyFont="1" applyFill="1" applyBorder="1" applyAlignment="1">
      <alignment horizontal="center" vertical="center" wrapText="1"/>
    </xf>
    <xf numFmtId="165" fontId="2" fillId="29" borderId="27" xfId="0" applyNumberFormat="1" applyFont="1" applyFill="1" applyBorder="1" applyAlignment="1">
      <alignment horizontal="center" vertical="center" wrapText="1"/>
    </xf>
    <xf numFmtId="0" fontId="24" fillId="0" borderId="35" xfId="0" applyFont="1" applyBorder="1" applyAlignment="1">
      <alignment horizontal="right" vertical="center"/>
    </xf>
    <xf numFmtId="0" fontId="24" fillId="0" borderId="0" xfId="0" applyFont="1" applyAlignment="1">
      <alignment horizontal="right" vertical="center"/>
    </xf>
    <xf numFmtId="0" fontId="24" fillId="55" borderId="108" xfId="0" applyFont="1" applyFill="1" applyBorder="1" applyAlignment="1" applyProtection="1">
      <alignment horizontal="center" vertical="center"/>
      <protection locked="0"/>
    </xf>
    <xf numFmtId="0" fontId="24" fillId="55" borderId="109" xfId="0" applyFont="1" applyFill="1" applyBorder="1" applyAlignment="1" applyProtection="1">
      <alignment horizontal="center" vertical="center"/>
      <protection locked="0"/>
    </xf>
    <xf numFmtId="0" fontId="16" fillId="0" borderId="0" xfId="1" applyFill="1" applyBorder="1" applyAlignment="1" applyProtection="1">
      <alignment horizontal="center" vertical="center"/>
    </xf>
    <xf numFmtId="0" fontId="16" fillId="25" borderId="0" xfId="1" applyFill="1" applyBorder="1" applyAlignment="1" applyProtection="1">
      <alignment horizontal="center" vertical="center"/>
    </xf>
    <xf numFmtId="0" fontId="24" fillId="0" borderId="81" xfId="0" applyFont="1" applyBorder="1" applyAlignment="1">
      <alignment horizontal="center" vertical="center" wrapText="1"/>
    </xf>
    <xf numFmtId="0" fontId="24" fillId="0" borderId="85" xfId="0" applyFont="1" applyBorder="1" applyAlignment="1">
      <alignment horizontal="center" vertical="center" wrapText="1"/>
    </xf>
    <xf numFmtId="165" fontId="24" fillId="27" borderId="98" xfId="0" applyNumberFormat="1" applyFont="1" applyFill="1" applyBorder="1" applyAlignment="1">
      <alignment horizontal="center" vertical="center" wrapText="1"/>
    </xf>
    <xf numFmtId="165" fontId="24" fillId="27" borderId="99" xfId="0" applyNumberFormat="1" applyFont="1" applyFill="1" applyBorder="1" applyAlignment="1">
      <alignment horizontal="center" vertical="center" wrapText="1"/>
    </xf>
    <xf numFmtId="165" fontId="24" fillId="27" borderId="84" xfId="0" applyNumberFormat="1" applyFont="1" applyFill="1" applyBorder="1" applyAlignment="1">
      <alignment horizontal="center" vertical="center" wrapText="1"/>
    </xf>
    <xf numFmtId="165" fontId="15" fillId="47" borderId="98" xfId="0" applyNumberFormat="1" applyFont="1" applyFill="1" applyBorder="1" applyAlignment="1">
      <alignment horizontal="center" vertical="center" wrapText="1"/>
    </xf>
    <xf numFmtId="165" fontId="15" fillId="47" borderId="99" xfId="0" applyNumberFormat="1" applyFont="1" applyFill="1" applyBorder="1" applyAlignment="1">
      <alignment horizontal="center" vertical="center" wrapText="1"/>
    </xf>
    <xf numFmtId="165" fontId="15" fillId="47" borderId="84" xfId="0" applyNumberFormat="1" applyFont="1" applyFill="1" applyBorder="1" applyAlignment="1">
      <alignment horizontal="center" vertical="center" wrapText="1"/>
    </xf>
    <xf numFmtId="0" fontId="24" fillId="29" borderId="81" xfId="0" applyFont="1" applyFill="1" applyBorder="1" applyAlignment="1">
      <alignment horizontal="center" vertical="center" wrapText="1"/>
    </xf>
    <xf numFmtId="0" fontId="24" fillId="29" borderId="85" xfId="0" applyFont="1" applyFill="1" applyBorder="1" applyAlignment="1">
      <alignment horizontal="center" vertical="center" wrapText="1"/>
    </xf>
    <xf numFmtId="0" fontId="24" fillId="27" borderId="41" xfId="0" applyFont="1" applyFill="1" applyBorder="1" applyAlignment="1">
      <alignment horizontal="center" vertical="center" wrapText="1"/>
    </xf>
    <xf numFmtId="0" fontId="24" fillId="27" borderId="55" xfId="0" applyFont="1" applyFill="1" applyBorder="1" applyAlignment="1">
      <alignment horizontal="center" vertical="center" wrapText="1"/>
    </xf>
    <xf numFmtId="165" fontId="15" fillId="52" borderId="112" xfId="0" applyNumberFormat="1" applyFont="1" applyFill="1" applyBorder="1" applyAlignment="1">
      <alignment horizontal="center" vertical="center" wrapText="1"/>
    </xf>
    <xf numFmtId="165" fontId="15" fillId="52" borderId="64" xfId="0" applyNumberFormat="1" applyFont="1" applyFill="1" applyBorder="1" applyAlignment="1">
      <alignment horizontal="center" vertical="center" wrapText="1"/>
    </xf>
    <xf numFmtId="165" fontId="15" fillId="52" borderId="113" xfId="0" applyNumberFormat="1" applyFont="1" applyFill="1" applyBorder="1" applyAlignment="1">
      <alignment horizontal="center" vertical="center" wrapText="1"/>
    </xf>
    <xf numFmtId="0" fontId="24" fillId="27" borderId="84" xfId="0" applyFont="1" applyFill="1" applyBorder="1" applyAlignment="1">
      <alignment horizontal="center" vertical="center" wrapText="1"/>
    </xf>
    <xf numFmtId="0" fontId="24" fillId="27" borderId="100" xfId="0" applyFont="1" applyFill="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55" xfId="0" applyFont="1" applyBorder="1" applyAlignment="1">
      <alignment horizontal="center" vertical="center" wrapText="1"/>
    </xf>
    <xf numFmtId="0" fontId="24" fillId="21" borderId="81" xfId="0" applyFont="1" applyFill="1" applyBorder="1" applyAlignment="1">
      <alignment horizontal="center" vertical="center" wrapText="1"/>
    </xf>
    <xf numFmtId="0" fontId="24" fillId="21" borderId="82" xfId="0" applyFont="1" applyFill="1" applyBorder="1" applyAlignment="1">
      <alignment horizontal="center" vertical="center" wrapText="1"/>
    </xf>
    <xf numFmtId="0" fontId="24" fillId="21" borderId="85" xfId="0" applyFont="1" applyFill="1" applyBorder="1" applyAlignment="1">
      <alignment horizontal="center" vertical="center" wrapText="1"/>
    </xf>
    <xf numFmtId="165" fontId="15" fillId="56" borderId="63" xfId="0" applyNumberFormat="1" applyFont="1" applyFill="1" applyBorder="1" applyAlignment="1">
      <alignment horizontal="center" vertical="center" wrapText="1"/>
    </xf>
    <xf numFmtId="165" fontId="15" fillId="56" borderId="110" xfId="0" applyNumberFormat="1" applyFont="1" applyFill="1" applyBorder="1" applyAlignment="1">
      <alignment horizontal="center" vertical="center" wrapText="1"/>
    </xf>
    <xf numFmtId="165" fontId="15" fillId="56" borderId="111" xfId="0" applyNumberFormat="1" applyFont="1" applyFill="1" applyBorder="1" applyAlignment="1">
      <alignment horizontal="center" vertical="center" wrapText="1"/>
    </xf>
    <xf numFmtId="0" fontId="24" fillId="0" borderId="89" xfId="0" applyFont="1" applyBorder="1" applyAlignment="1">
      <alignment horizontal="center" vertical="center" wrapText="1"/>
    </xf>
    <xf numFmtId="0" fontId="24" fillId="21" borderId="98" xfId="0" applyFont="1" applyFill="1" applyBorder="1" applyAlignment="1">
      <alignment horizontal="center" vertical="center" wrapText="1"/>
    </xf>
    <xf numFmtId="0" fontId="24" fillId="21" borderId="71" xfId="0" applyFont="1" applyFill="1" applyBorder="1" applyAlignment="1">
      <alignment horizontal="center" vertical="center" wrapText="1"/>
    </xf>
    <xf numFmtId="0" fontId="24" fillId="21" borderId="83" xfId="0" applyFont="1" applyFill="1" applyBorder="1" applyAlignment="1">
      <alignment horizontal="center" vertical="center" wrapText="1"/>
    </xf>
    <xf numFmtId="0" fontId="24" fillId="0" borderId="94" xfId="0" applyFont="1" applyBorder="1" applyAlignment="1">
      <alignment horizontal="center" vertical="center" wrapText="1"/>
    </xf>
    <xf numFmtId="0" fontId="24" fillId="0" borderId="61" xfId="0" applyFont="1" applyBorder="1" applyAlignment="1">
      <alignment horizontal="center" vertical="center" wrapText="1"/>
    </xf>
    <xf numFmtId="9" fontId="26" fillId="8" borderId="82" xfId="4" applyNumberFormat="1" applyFont="1" applyFill="1" applyBorder="1" applyAlignment="1" applyProtection="1">
      <alignment horizontal="center" vertical="center"/>
    </xf>
    <xf numFmtId="9" fontId="26" fillId="8" borderId="40" xfId="4" applyNumberFormat="1" applyFont="1" applyFill="1" applyBorder="1" applyAlignment="1" applyProtection="1">
      <alignment horizontal="center" vertical="center"/>
    </xf>
    <xf numFmtId="9" fontId="26" fillId="8" borderId="48" xfId="4" applyNumberFormat="1" applyFont="1" applyFill="1" applyBorder="1" applyAlignment="1" applyProtection="1">
      <alignment horizontal="center" vertical="center"/>
    </xf>
    <xf numFmtId="0" fontId="24" fillId="0" borderId="82"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98"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43" xfId="0" applyFont="1" applyBorder="1" applyAlignment="1">
      <alignment horizontal="center" vertical="center" wrapText="1"/>
    </xf>
    <xf numFmtId="0" fontId="24" fillId="21" borderId="87" xfId="0" applyFont="1" applyFill="1" applyBorder="1" applyAlignment="1">
      <alignment horizontal="center" vertical="center" wrapText="1"/>
    </xf>
    <xf numFmtId="9" fontId="26" fillId="8" borderId="7" xfId="4" applyNumberFormat="1" applyFont="1" applyFill="1" applyBorder="1" applyAlignment="1" applyProtection="1">
      <alignment horizontal="center" vertical="center"/>
    </xf>
    <xf numFmtId="42" fontId="0" fillId="21" borderId="0" xfId="5" applyFont="1" applyFill="1" applyAlignment="1">
      <alignment horizontal="center"/>
    </xf>
    <xf numFmtId="165" fontId="5" fillId="0" borderId="98" xfId="0" applyNumberFormat="1" applyFont="1" applyBorder="1" applyAlignment="1">
      <alignment horizontal="center" vertical="center" wrapText="1"/>
    </xf>
    <xf numFmtId="165" fontId="5" fillId="0" borderId="99" xfId="0" applyNumberFormat="1" applyFont="1" applyBorder="1" applyAlignment="1">
      <alignment horizontal="center" vertical="center" wrapText="1"/>
    </xf>
    <xf numFmtId="165" fontId="5" fillId="0" borderId="84" xfId="0" applyNumberFormat="1"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61"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5" xfId="0" applyFont="1" applyBorder="1" applyAlignment="1">
      <alignment horizontal="center" vertical="center" wrapText="1"/>
    </xf>
    <xf numFmtId="0" fontId="6" fillId="0" borderId="94" xfId="0" applyFont="1" applyBorder="1" applyAlignment="1">
      <alignment horizontal="center" vertical="center" wrapText="1"/>
    </xf>
    <xf numFmtId="0" fontId="7" fillId="9" borderId="11" xfId="0" applyFont="1" applyFill="1" applyBorder="1" applyAlignment="1" applyProtection="1">
      <alignment horizontal="center" vertical="center"/>
      <protection locked="0"/>
    </xf>
    <xf numFmtId="0" fontId="7" fillId="27" borderId="1" xfId="0" applyFont="1" applyFill="1" applyBorder="1" applyAlignment="1">
      <alignment horizontal="center" vertical="center"/>
    </xf>
    <xf numFmtId="0" fontId="7" fillId="27" borderId="106"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3" xfId="0" applyFont="1" applyFill="1" applyBorder="1" applyAlignment="1">
      <alignment horizontal="center" vertical="center"/>
    </xf>
    <xf numFmtId="0" fontId="7" fillId="29" borderId="1" xfId="0" applyFont="1" applyFill="1" applyBorder="1" applyAlignment="1">
      <alignment horizontal="center" vertical="center"/>
    </xf>
    <xf numFmtId="0" fontId="7" fillId="29" borderId="3" xfId="0" applyFont="1" applyFill="1" applyBorder="1" applyAlignment="1">
      <alignment horizontal="center" vertical="center"/>
    </xf>
    <xf numFmtId="0" fontId="7" fillId="27" borderId="1"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9" borderId="30" xfId="0" applyFont="1" applyFill="1" applyBorder="1" applyAlignment="1">
      <alignment horizontal="center" vertical="center"/>
    </xf>
    <xf numFmtId="0" fontId="7" fillId="9" borderId="69" xfId="0" applyFont="1" applyFill="1" applyBorder="1" applyAlignment="1">
      <alignment horizontal="center" vertical="center"/>
    </xf>
    <xf numFmtId="0" fontId="7" fillId="9" borderId="29" xfId="0" applyFont="1" applyFill="1" applyBorder="1" applyAlignment="1">
      <alignment horizontal="center" vertical="center"/>
    </xf>
    <xf numFmtId="44" fontId="2" fillId="57" borderId="34" xfId="4" applyFont="1" applyFill="1" applyBorder="1" applyAlignment="1" applyProtection="1">
      <alignment horizontal="center" vertical="center" wrapText="1"/>
    </xf>
    <xf numFmtId="44" fontId="2" fillId="57" borderId="45" xfId="4" applyFont="1" applyFill="1" applyBorder="1" applyAlignment="1" applyProtection="1">
      <alignment horizontal="center" vertical="center" wrapText="1"/>
    </xf>
    <xf numFmtId="0" fontId="5" fillId="8" borderId="30" xfId="0" applyFont="1" applyFill="1" applyBorder="1" applyAlignment="1" applyProtection="1">
      <alignment horizontal="center" vertical="center"/>
      <protection locked="0"/>
    </xf>
    <xf numFmtId="0" fontId="5" fillId="8" borderId="29" xfId="0" applyFont="1" applyFill="1" applyBorder="1" applyAlignment="1" applyProtection="1">
      <alignment horizontal="center" vertical="center"/>
      <protection locked="0"/>
    </xf>
    <xf numFmtId="0" fontId="16" fillId="25" borderId="0" xfId="1" applyFill="1" applyBorder="1" applyAlignment="1" applyProtection="1">
      <alignment horizontal="left" vertical="center" indent="2"/>
    </xf>
    <xf numFmtId="0" fontId="5" fillId="0" borderId="16"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14" xfId="0" applyFont="1" applyBorder="1" applyAlignment="1">
      <alignment horizontal="center" vertical="center" wrapText="1"/>
    </xf>
    <xf numFmtId="44" fontId="2" fillId="57" borderId="120" xfId="4" applyFont="1" applyFill="1" applyBorder="1" applyAlignment="1" applyProtection="1">
      <alignment horizontal="center" vertical="center" wrapText="1"/>
    </xf>
    <xf numFmtId="44" fontId="2" fillId="57" borderId="121" xfId="4" applyFont="1" applyFill="1" applyBorder="1" applyAlignment="1" applyProtection="1">
      <alignment horizontal="center" vertical="center" wrapText="1"/>
    </xf>
    <xf numFmtId="0" fontId="7" fillId="9" borderId="117" xfId="0" applyFont="1" applyFill="1" applyBorder="1" applyAlignment="1">
      <alignment horizontal="center" vertical="center"/>
    </xf>
    <xf numFmtId="0" fontId="7" fillId="9" borderId="118" xfId="0" applyFont="1" applyFill="1" applyBorder="1" applyAlignment="1">
      <alignment horizontal="center" vertical="center"/>
    </xf>
    <xf numFmtId="0" fontId="7" fillId="9" borderId="119" xfId="0" applyFont="1" applyFill="1" applyBorder="1" applyAlignment="1">
      <alignment horizontal="center" vertical="center"/>
    </xf>
    <xf numFmtId="0" fontId="7" fillId="9" borderId="16" xfId="0" applyFont="1" applyFill="1" applyBorder="1" applyAlignment="1" applyProtection="1">
      <alignment horizontal="center" vertical="center"/>
      <protection locked="0"/>
    </xf>
    <xf numFmtId="0" fontId="7" fillId="9" borderId="7" xfId="0" applyFont="1" applyFill="1" applyBorder="1" applyAlignment="1" applyProtection="1">
      <alignment horizontal="center" vertical="center"/>
      <protection locked="0"/>
    </xf>
    <xf numFmtId="0" fontId="7" fillId="27" borderId="115" xfId="0" applyFont="1" applyFill="1" applyBorder="1" applyAlignment="1">
      <alignment horizontal="center" vertical="center"/>
    </xf>
    <xf numFmtId="0" fontId="2" fillId="9" borderId="116" xfId="0" applyFont="1" applyFill="1" applyBorder="1" applyAlignment="1">
      <alignment horizontal="center" vertical="center"/>
    </xf>
    <xf numFmtId="0" fontId="7" fillId="29" borderId="116" xfId="0" applyFont="1" applyFill="1" applyBorder="1" applyAlignment="1">
      <alignment horizontal="center" vertical="center"/>
    </xf>
    <xf numFmtId="0" fontId="7" fillId="27" borderId="116" xfId="0" applyFont="1" applyFill="1" applyBorder="1" applyAlignment="1">
      <alignment horizontal="center" vertical="center" wrapText="1"/>
    </xf>
    <xf numFmtId="0" fontId="7" fillId="27" borderId="115" xfId="0" applyFont="1" applyFill="1" applyBorder="1" applyAlignment="1">
      <alignment horizontal="center" vertical="center" wrapText="1"/>
    </xf>
    <xf numFmtId="0" fontId="5" fillId="22" borderId="94" xfId="9" applyFont="1" applyFill="1" applyBorder="1" applyAlignment="1">
      <alignment horizontal="center" vertical="center" textRotation="90" wrapText="1"/>
    </xf>
    <xf numFmtId="0" fontId="5" fillId="22" borderId="97" xfId="9" applyFont="1" applyFill="1" applyBorder="1" applyAlignment="1">
      <alignment horizontal="center" vertical="center" textRotation="90" wrapText="1"/>
    </xf>
    <xf numFmtId="0" fontId="5" fillId="22" borderId="61" xfId="9" applyFont="1" applyFill="1" applyBorder="1" applyAlignment="1">
      <alignment horizontal="center" vertical="center" textRotation="90" wrapText="1"/>
    </xf>
    <xf numFmtId="0" fontId="5" fillId="22" borderId="94" xfId="9" applyFont="1" applyFill="1" applyBorder="1" applyAlignment="1">
      <alignment horizontal="left" vertical="center" wrapText="1"/>
    </xf>
    <xf numFmtId="0" fontId="5" fillId="22" borderId="97" xfId="9" applyFont="1" applyFill="1" applyBorder="1" applyAlignment="1">
      <alignment horizontal="left" vertical="center" wrapText="1"/>
    </xf>
    <xf numFmtId="0" fontId="5" fillId="22" borderId="61" xfId="9" applyFont="1" applyFill="1" applyBorder="1" applyAlignment="1">
      <alignment horizontal="left" vertical="center" wrapText="1"/>
    </xf>
    <xf numFmtId="0" fontId="5" fillId="22" borderId="94" xfId="0" applyFont="1" applyFill="1" applyBorder="1" applyAlignment="1">
      <alignment horizontal="center" vertical="center" textRotation="90" wrapText="1"/>
    </xf>
    <xf numFmtId="0" fontId="5" fillId="22" borderId="97" xfId="0" applyFont="1" applyFill="1" applyBorder="1" applyAlignment="1">
      <alignment horizontal="center" vertical="center" textRotation="90" wrapText="1"/>
    </xf>
    <xf numFmtId="0" fontId="5" fillId="22" borderId="61" xfId="0" applyFont="1" applyFill="1" applyBorder="1" applyAlignment="1">
      <alignment horizontal="center" vertical="center" textRotation="90" wrapText="1"/>
    </xf>
    <xf numFmtId="0" fontId="5" fillId="22" borderId="94" xfId="0" applyFont="1" applyFill="1" applyBorder="1" applyAlignment="1">
      <alignment horizontal="left" vertical="center" wrapText="1"/>
    </xf>
    <xf numFmtId="0" fontId="5" fillId="22" borderId="97" xfId="0" applyFont="1" applyFill="1" applyBorder="1" applyAlignment="1">
      <alignment horizontal="left" vertical="center" wrapText="1"/>
    </xf>
    <xf numFmtId="0" fontId="5" fillId="22" borderId="61" xfId="0" applyFont="1" applyFill="1" applyBorder="1" applyAlignment="1">
      <alignment horizontal="left" vertical="center" wrapText="1"/>
    </xf>
    <xf numFmtId="0" fontId="20" fillId="0" borderId="0" xfId="9" applyFont="1" applyAlignment="1">
      <alignment horizontal="center" vertical="center" wrapText="1"/>
    </xf>
    <xf numFmtId="0" fontId="20" fillId="21" borderId="0" xfId="9" applyFont="1" applyFill="1" applyAlignment="1">
      <alignment horizontal="center" vertical="center"/>
    </xf>
    <xf numFmtId="0" fontId="6" fillId="27" borderId="81" xfId="9" applyFont="1" applyFill="1" applyBorder="1" applyAlignment="1">
      <alignment horizontal="center" vertical="center"/>
    </xf>
    <xf numFmtId="0" fontId="6" fillId="27" borderId="46" xfId="9" applyFont="1" applyFill="1" applyBorder="1" applyAlignment="1">
      <alignment horizontal="center" vertical="center"/>
    </xf>
    <xf numFmtId="0" fontId="6" fillId="27" borderId="47" xfId="9" applyFont="1" applyFill="1" applyBorder="1" applyAlignment="1">
      <alignment horizontal="center" vertical="center"/>
    </xf>
    <xf numFmtId="0" fontId="2" fillId="45" borderId="94" xfId="9" applyFont="1" applyFill="1" applyBorder="1" applyAlignment="1">
      <alignment horizontal="center" vertical="center" wrapText="1"/>
    </xf>
    <xf numFmtId="0" fontId="2" fillId="45" borderId="61" xfId="9" applyFont="1" applyFill="1" applyBorder="1" applyAlignment="1">
      <alignment horizontal="center" vertical="center" wrapText="1"/>
    </xf>
    <xf numFmtId="0" fontId="22" fillId="43" borderId="81" xfId="9" applyFont="1" applyFill="1" applyBorder="1" applyAlignment="1">
      <alignment horizontal="center" vertical="center"/>
    </xf>
    <xf numFmtId="0" fontId="22" fillId="43" borderId="46" xfId="9" applyFont="1" applyFill="1" applyBorder="1" applyAlignment="1">
      <alignment horizontal="center" vertical="center"/>
    </xf>
    <xf numFmtId="0" fontId="22" fillId="44" borderId="81" xfId="9" applyFont="1" applyFill="1" applyBorder="1" applyAlignment="1">
      <alignment horizontal="center" vertical="center"/>
    </xf>
    <xf numFmtId="0" fontId="22" fillId="44" borderId="47" xfId="9" applyFont="1" applyFill="1" applyBorder="1" applyAlignment="1">
      <alignment horizontal="center" vertical="center"/>
    </xf>
    <xf numFmtId="0" fontId="22" fillId="22" borderId="46" xfId="9" applyFont="1" applyFill="1" applyBorder="1" applyAlignment="1">
      <alignment horizontal="center" vertical="center"/>
    </xf>
    <xf numFmtId="0" fontId="2" fillId="27" borderId="98" xfId="9" applyFont="1" applyFill="1" applyBorder="1" applyAlignment="1">
      <alignment horizontal="center" vertical="center" wrapText="1"/>
    </xf>
    <xf numFmtId="0" fontId="2" fillId="27" borderId="104" xfId="9" applyFont="1" applyFill="1" applyBorder="1" applyAlignment="1">
      <alignment horizontal="center" vertical="center" wrapText="1"/>
    </xf>
    <xf numFmtId="0" fontId="2" fillId="27" borderId="71" xfId="9" applyFont="1" applyFill="1" applyBorder="1" applyAlignment="1">
      <alignment horizontal="center" vertical="center" wrapText="1"/>
    </xf>
    <xf numFmtId="0" fontId="2" fillId="27" borderId="62" xfId="9" applyFont="1" applyFill="1" applyBorder="1" applyAlignment="1">
      <alignment horizontal="center" vertical="center" wrapText="1"/>
    </xf>
    <xf numFmtId="0" fontId="2" fillId="27" borderId="79" xfId="9" applyFont="1" applyFill="1" applyBorder="1" applyAlignment="1">
      <alignment horizontal="center" vertical="center"/>
    </xf>
    <xf numFmtId="0" fontId="2" fillId="27" borderId="75" xfId="9" applyFont="1" applyFill="1" applyBorder="1" applyAlignment="1">
      <alignment horizontal="center" vertical="center"/>
    </xf>
    <xf numFmtId="0" fontId="2" fillId="27" borderId="79" xfId="9" applyFont="1" applyFill="1" applyBorder="1" applyAlignment="1">
      <alignment horizontal="center" vertical="center" wrapText="1"/>
    </xf>
    <xf numFmtId="0" fontId="2" fillId="27" borderId="75" xfId="9" applyFont="1" applyFill="1" applyBorder="1" applyAlignment="1">
      <alignment horizontal="center" vertical="center" wrapText="1"/>
    </xf>
    <xf numFmtId="0" fontId="2" fillId="27" borderId="105" xfId="9" applyFont="1" applyFill="1" applyBorder="1" applyAlignment="1">
      <alignment horizontal="center" vertical="center" wrapText="1"/>
    </xf>
    <xf numFmtId="0" fontId="2" fillId="27" borderId="90" xfId="9" applyFont="1" applyFill="1" applyBorder="1" applyAlignment="1">
      <alignment horizontal="center" vertical="center" wrapText="1"/>
    </xf>
    <xf numFmtId="0" fontId="22" fillId="22" borderId="81" xfId="9" applyFont="1" applyFill="1" applyBorder="1" applyAlignment="1">
      <alignment horizontal="center" vertical="center"/>
    </xf>
    <xf numFmtId="0" fontId="22" fillId="22" borderId="47" xfId="9" applyFont="1" applyFill="1" applyBorder="1" applyAlignment="1">
      <alignment horizontal="center" vertical="center"/>
    </xf>
    <xf numFmtId="0" fontId="22" fillId="43" borderId="47" xfId="9" applyFont="1" applyFill="1" applyBorder="1" applyAlignment="1">
      <alignment horizontal="center" vertical="center"/>
    </xf>
    <xf numFmtId="0" fontId="22" fillId="43" borderId="20" xfId="9" applyFont="1" applyFill="1" applyBorder="1" applyAlignment="1">
      <alignment horizontal="center" vertical="center"/>
    </xf>
    <xf numFmtId="0" fontId="22" fillId="43" borderId="19" xfId="9" applyFont="1" applyFill="1" applyBorder="1" applyAlignment="1">
      <alignment horizontal="center" vertical="center"/>
    </xf>
    <xf numFmtId="0" fontId="2" fillId="0" borderId="0" xfId="9" applyFont="1" applyAlignment="1">
      <alignment horizontal="center" vertical="center"/>
    </xf>
    <xf numFmtId="0" fontId="2" fillId="27" borderId="94" xfId="9" applyFont="1" applyFill="1" applyBorder="1" applyAlignment="1">
      <alignment horizontal="center" vertical="center" wrapText="1"/>
    </xf>
    <xf numFmtId="0" fontId="2" fillId="27" borderId="61" xfId="9" applyFont="1" applyFill="1" applyBorder="1" applyAlignment="1">
      <alignment horizontal="center" vertical="center" wrapText="1"/>
    </xf>
    <xf numFmtId="0" fontId="2" fillId="9" borderId="16" xfId="9" applyFont="1" applyFill="1" applyBorder="1" applyAlignment="1">
      <alignment horizontal="center" vertical="center" wrapText="1"/>
    </xf>
    <xf numFmtId="0" fontId="2" fillId="9" borderId="7" xfId="9" applyFont="1" applyFill="1" applyBorder="1" applyAlignment="1">
      <alignment horizontal="center" vertical="center" wrapText="1"/>
    </xf>
    <xf numFmtId="0" fontId="7" fillId="29" borderId="16" xfId="9" applyFont="1" applyFill="1" applyBorder="1" applyAlignment="1">
      <alignment horizontal="center" vertical="center" wrapText="1"/>
    </xf>
    <xf numFmtId="0" fontId="7" fillId="29" borderId="7" xfId="9" applyFont="1" applyFill="1" applyBorder="1" applyAlignment="1">
      <alignment horizontal="center" vertical="center" wrapText="1"/>
    </xf>
    <xf numFmtId="0" fontId="7" fillId="27" borderId="11" xfId="9" applyFont="1" applyFill="1" applyBorder="1" applyAlignment="1">
      <alignment horizontal="center" vertical="center" wrapText="1"/>
    </xf>
    <xf numFmtId="0" fontId="5" fillId="8" borderId="94" xfId="9" applyFont="1" applyFill="1" applyBorder="1" applyAlignment="1" applyProtection="1">
      <alignment horizontal="left" vertical="center" wrapText="1"/>
      <protection locked="0"/>
    </xf>
    <xf numFmtId="0" fontId="5" fillId="8" borderId="97" xfId="9" applyFont="1" applyFill="1" applyBorder="1" applyAlignment="1" applyProtection="1">
      <alignment horizontal="left" vertical="center" wrapText="1"/>
      <protection locked="0"/>
    </xf>
    <xf numFmtId="0" fontId="5" fillId="8" borderId="61" xfId="9" applyFont="1" applyFill="1" applyBorder="1" applyAlignment="1" applyProtection="1">
      <alignment horizontal="left" vertical="center" wrapText="1"/>
      <protection locked="0"/>
    </xf>
    <xf numFmtId="0" fontId="10" fillId="22" borderId="84" xfId="9" applyFont="1" applyFill="1" applyBorder="1" applyAlignment="1">
      <alignment horizontal="center" vertical="center" textRotation="90" wrapText="1"/>
    </xf>
    <xf numFmtId="0" fontId="10" fillId="22" borderId="100" xfId="9" applyFont="1" applyFill="1" applyBorder="1" applyAlignment="1">
      <alignment horizontal="center" vertical="center" textRotation="90" wrapText="1"/>
    </xf>
    <xf numFmtId="0" fontId="10" fillId="22" borderId="103" xfId="9" applyFont="1" applyFill="1" applyBorder="1" applyAlignment="1">
      <alignment horizontal="center" vertical="center" textRotation="90" wrapText="1"/>
    </xf>
    <xf numFmtId="0" fontId="5" fillId="8" borderId="41" xfId="9" applyFont="1" applyFill="1" applyBorder="1" applyAlignment="1" applyProtection="1">
      <alignment horizontal="left" vertical="center" wrapText="1"/>
      <protection locked="0"/>
    </xf>
    <xf numFmtId="0" fontId="5" fillId="8" borderId="42" xfId="9" applyFont="1" applyFill="1" applyBorder="1" applyAlignment="1" applyProtection="1">
      <alignment horizontal="left" vertical="center" wrapText="1"/>
      <protection locked="0"/>
    </xf>
    <xf numFmtId="0" fontId="5" fillId="8" borderId="43" xfId="9" applyFont="1" applyFill="1" applyBorder="1" applyAlignment="1" applyProtection="1">
      <alignment horizontal="left" vertical="center" wrapText="1"/>
      <protection locked="0"/>
    </xf>
    <xf numFmtId="0" fontId="9" fillId="43" borderId="87" xfId="9" applyFont="1" applyFill="1" applyBorder="1" applyAlignment="1">
      <alignment horizontal="center" vertical="center"/>
    </xf>
    <xf numFmtId="0" fontId="9" fillId="43" borderId="50" xfId="9" applyFont="1" applyFill="1" applyBorder="1" applyAlignment="1">
      <alignment horizontal="center" vertical="center"/>
    </xf>
    <xf numFmtId="0" fontId="9" fillId="44" borderId="87" xfId="9" applyFont="1" applyFill="1" applyBorder="1" applyAlignment="1">
      <alignment horizontal="center" vertical="center"/>
    </xf>
    <xf numFmtId="0" fontId="9" fillId="44" borderId="50" xfId="9" applyFont="1" applyFill="1" applyBorder="1" applyAlignment="1">
      <alignment horizontal="center" vertical="center"/>
    </xf>
    <xf numFmtId="0" fontId="9" fillId="22" borderId="87" xfId="9" applyFont="1" applyFill="1" applyBorder="1" applyAlignment="1">
      <alignment horizontal="center" vertical="center"/>
    </xf>
    <xf numFmtId="0" fontId="9" fillId="22" borderId="50" xfId="9" applyFont="1" applyFill="1" applyBorder="1" applyAlignment="1">
      <alignment horizontal="center" vertical="center"/>
    </xf>
    <xf numFmtId="177" fontId="4" fillId="28" borderId="86" xfId="9" applyNumberFormat="1" applyFill="1" applyBorder="1" applyAlignment="1">
      <alignment horizontal="center" vertical="center"/>
    </xf>
    <xf numFmtId="177" fontId="4" fillId="28" borderId="95" xfId="9" applyNumberFormat="1" applyFill="1" applyBorder="1" applyAlignment="1">
      <alignment horizontal="center" vertical="center"/>
    </xf>
    <xf numFmtId="0" fontId="22" fillId="44" borderId="20" xfId="9" applyFont="1" applyFill="1" applyBorder="1" applyAlignment="1">
      <alignment horizontal="center" vertical="center"/>
    </xf>
    <xf numFmtId="0" fontId="22" fillId="44" borderId="22" xfId="9" applyFont="1" applyFill="1" applyBorder="1" applyAlignment="1">
      <alignment horizontal="center" vertical="center"/>
    </xf>
    <xf numFmtId="0" fontId="22" fillId="22" borderId="18" xfId="9" applyFont="1" applyFill="1" applyBorder="1" applyAlignment="1">
      <alignment horizontal="center" vertical="center"/>
    </xf>
    <xf numFmtId="0" fontId="22" fillId="22" borderId="22" xfId="9" applyFont="1" applyFill="1" applyBorder="1" applyAlignment="1">
      <alignment horizontal="center" vertical="center"/>
    </xf>
    <xf numFmtId="0" fontId="5" fillId="25" borderId="98" xfId="0" applyFont="1" applyFill="1" applyBorder="1" applyAlignment="1">
      <alignment horizontal="center" vertical="center" wrapText="1"/>
    </xf>
    <xf numFmtId="0" fontId="5" fillId="25" borderId="71" xfId="0" applyFont="1" applyFill="1" applyBorder="1" applyAlignment="1">
      <alignment horizontal="center" vertical="center" wrapText="1"/>
    </xf>
    <xf numFmtId="0" fontId="5" fillId="25" borderId="97" xfId="0" applyFont="1" applyFill="1" applyBorder="1" applyAlignment="1">
      <alignment horizontal="center" vertical="center" wrapText="1"/>
    </xf>
    <xf numFmtId="0" fontId="5" fillId="25" borderId="61" xfId="0" applyFont="1" applyFill="1" applyBorder="1" applyAlignment="1">
      <alignment horizontal="center" vertical="center" wrapText="1"/>
    </xf>
    <xf numFmtId="0" fontId="5" fillId="25" borderId="74" xfId="0" applyFont="1" applyFill="1" applyBorder="1" applyAlignment="1">
      <alignment horizontal="center" vertical="center" wrapText="1"/>
    </xf>
    <xf numFmtId="0" fontId="5" fillId="25" borderId="76" xfId="0" applyFont="1" applyFill="1" applyBorder="1" applyAlignment="1">
      <alignment horizontal="center" vertical="center" wrapText="1"/>
    </xf>
    <xf numFmtId="0" fontId="2" fillId="27" borderId="79" xfId="0" applyFont="1" applyFill="1" applyBorder="1" applyAlignment="1">
      <alignment horizontal="center" vertical="center" wrapText="1"/>
    </xf>
    <xf numFmtId="0" fontId="2" fillId="27" borderId="75" xfId="0" applyFont="1" applyFill="1" applyBorder="1" applyAlignment="1">
      <alignment horizontal="center" vertical="center" wrapText="1"/>
    </xf>
    <xf numFmtId="0" fontId="5" fillId="25" borderId="122" xfId="0" applyFont="1" applyFill="1" applyBorder="1" applyAlignment="1">
      <alignment horizontal="center" vertical="center" wrapText="1"/>
    </xf>
    <xf numFmtId="0" fontId="5" fillId="21" borderId="94" xfId="0" applyFont="1" applyFill="1" applyBorder="1" applyAlignment="1">
      <alignment horizontal="center" vertical="center" wrapText="1"/>
    </xf>
    <xf numFmtId="0" fontId="5" fillId="21" borderId="97" xfId="0" applyFont="1" applyFill="1" applyBorder="1" applyAlignment="1">
      <alignment horizontal="center" vertical="center" wrapText="1"/>
    </xf>
    <xf numFmtId="0" fontId="5" fillId="21" borderId="61" xfId="0" applyFont="1" applyFill="1" applyBorder="1" applyAlignment="1">
      <alignment horizontal="center" vertical="center" wrapText="1"/>
    </xf>
    <xf numFmtId="0" fontId="5" fillId="25" borderId="94" xfId="0" applyFont="1" applyFill="1" applyBorder="1" applyAlignment="1">
      <alignment horizontal="center" vertical="center" wrapText="1"/>
    </xf>
    <xf numFmtId="0" fontId="5" fillId="25" borderId="20" xfId="0" applyFont="1" applyFill="1" applyBorder="1" applyAlignment="1">
      <alignment horizontal="center" vertical="center" wrapText="1"/>
    </xf>
    <xf numFmtId="0" fontId="5" fillId="25" borderId="10" xfId="0" applyFont="1" applyFill="1" applyBorder="1" applyAlignment="1">
      <alignment horizontal="center" vertical="center" wrapText="1"/>
    </xf>
    <xf numFmtId="0" fontId="5" fillId="25" borderId="25" xfId="0" applyFont="1" applyFill="1" applyBorder="1" applyAlignment="1">
      <alignment horizontal="center" vertical="center" wrapText="1"/>
    </xf>
    <xf numFmtId="0" fontId="5" fillId="25" borderId="83" xfId="0" applyFont="1" applyFill="1" applyBorder="1" applyAlignment="1">
      <alignment horizontal="center" vertical="center" wrapText="1"/>
    </xf>
    <xf numFmtId="0" fontId="2" fillId="45" borderId="21" xfId="0" applyFont="1" applyFill="1" applyBorder="1" applyAlignment="1">
      <alignment horizontal="center" vertical="center" wrapText="1"/>
    </xf>
    <xf numFmtId="0" fontId="2" fillId="45" borderId="16" xfId="0" applyFont="1" applyFill="1" applyBorder="1" applyAlignment="1">
      <alignment horizontal="center" vertical="center" wrapText="1"/>
    </xf>
    <xf numFmtId="0" fontId="2" fillId="27" borderId="21" xfId="0" applyFont="1" applyFill="1" applyBorder="1" applyAlignment="1">
      <alignment horizontal="center" vertical="center" wrapText="1"/>
    </xf>
    <xf numFmtId="0" fontId="2" fillId="27" borderId="16" xfId="0" applyFont="1" applyFill="1" applyBorder="1" applyAlignment="1">
      <alignment horizontal="center" vertical="center" wrapText="1"/>
    </xf>
    <xf numFmtId="177" fontId="5" fillId="19" borderId="47" xfId="0" applyNumberFormat="1" applyFont="1" applyFill="1" applyBorder="1" applyAlignment="1">
      <alignment horizontal="center" vertical="center"/>
    </xf>
    <xf numFmtId="177" fontId="5" fillId="19" borderId="48" xfId="0" applyNumberFormat="1" applyFont="1" applyFill="1" applyBorder="1" applyAlignment="1">
      <alignment horizontal="center" vertical="center"/>
    </xf>
    <xf numFmtId="177" fontId="5" fillId="19" borderId="50" xfId="0" applyNumberFormat="1" applyFont="1" applyFill="1" applyBorder="1" applyAlignment="1">
      <alignment horizontal="center" vertical="center"/>
    </xf>
    <xf numFmtId="177" fontId="5" fillId="19" borderId="47" xfId="0" applyNumberFormat="1" applyFont="1" applyFill="1" applyBorder="1" applyAlignment="1" applyProtection="1">
      <alignment horizontal="center" vertical="center"/>
      <protection locked="0"/>
    </xf>
    <xf numFmtId="177" fontId="5" fillId="19" borderId="48" xfId="0" applyNumberFormat="1" applyFont="1" applyFill="1" applyBorder="1" applyAlignment="1" applyProtection="1">
      <alignment horizontal="center" vertical="center"/>
      <protection locked="0"/>
    </xf>
    <xf numFmtId="177" fontId="5" fillId="19" borderId="50" xfId="0" applyNumberFormat="1" applyFont="1" applyFill="1" applyBorder="1" applyAlignment="1" applyProtection="1">
      <alignment horizontal="center" vertical="center"/>
      <protection locked="0"/>
    </xf>
    <xf numFmtId="0" fontId="5" fillId="25" borderId="81" xfId="0" applyFont="1" applyFill="1" applyBorder="1" applyAlignment="1">
      <alignment horizontal="center" vertical="center" wrapText="1"/>
    </xf>
    <xf numFmtId="0" fontId="5" fillId="25" borderId="82" xfId="0" applyFont="1" applyFill="1" applyBorder="1" applyAlignment="1">
      <alignment horizontal="center" vertical="center" wrapText="1"/>
    </xf>
    <xf numFmtId="0" fontId="5" fillId="25" borderId="87" xfId="0" applyFont="1" applyFill="1" applyBorder="1" applyAlignment="1">
      <alignment horizontal="center" vertical="center" wrapText="1"/>
    </xf>
    <xf numFmtId="0" fontId="2" fillId="27" borderId="20" xfId="0" applyFont="1" applyFill="1" applyBorder="1" applyAlignment="1">
      <alignment horizontal="center" vertical="center" wrapText="1"/>
    </xf>
    <xf numFmtId="0" fontId="2" fillId="27" borderId="25" xfId="0" applyFont="1" applyFill="1" applyBorder="1" applyAlignment="1">
      <alignment horizontal="center" vertical="center" wrapText="1"/>
    </xf>
    <xf numFmtId="0" fontId="2" fillId="27" borderId="21" xfId="0" applyFont="1" applyFill="1" applyBorder="1" applyAlignment="1">
      <alignment horizontal="center" vertical="center"/>
    </xf>
    <xf numFmtId="0" fontId="2" fillId="27" borderId="16" xfId="0" applyFont="1" applyFill="1" applyBorder="1" applyAlignment="1">
      <alignment horizontal="center" vertical="center"/>
    </xf>
    <xf numFmtId="0" fontId="2" fillId="45" borderId="22" xfId="0" applyFont="1" applyFill="1" applyBorder="1" applyAlignment="1">
      <alignment horizontal="center" vertical="center" wrapText="1"/>
    </xf>
    <xf numFmtId="0" fontId="2" fillId="45" borderId="27" xfId="0" applyFont="1" applyFill="1" applyBorder="1" applyAlignment="1">
      <alignment horizontal="center" vertical="center" wrapText="1"/>
    </xf>
    <xf numFmtId="177" fontId="5" fillId="19" borderId="96" xfId="0" applyNumberFormat="1" applyFont="1" applyFill="1" applyBorder="1" applyAlignment="1">
      <alignment horizontal="center" vertical="center"/>
    </xf>
    <xf numFmtId="0" fontId="2" fillId="27" borderId="72"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16" fillId="0" borderId="0" xfId="1" applyBorder="1" applyAlignment="1" applyProtection="1">
      <alignment horizontal="left" vertical="center" indent="2"/>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35" fillId="47" borderId="20" xfId="0" applyFont="1" applyFill="1" applyBorder="1" applyAlignment="1">
      <alignment horizontal="center" vertical="center"/>
    </xf>
    <xf numFmtId="0" fontId="35" fillId="47" borderId="21" xfId="0" applyFont="1" applyFill="1" applyBorder="1" applyAlignment="1">
      <alignment horizontal="center" vertical="center"/>
    </xf>
    <xf numFmtId="0" fontId="35" fillId="47" borderId="22" xfId="0" applyFont="1" applyFill="1" applyBorder="1" applyAlignment="1">
      <alignment horizontal="center" vertical="center"/>
    </xf>
    <xf numFmtId="0" fontId="5" fillId="27" borderId="20" xfId="0" applyFont="1" applyFill="1" applyBorder="1" applyAlignment="1">
      <alignment horizontal="center" vertical="center"/>
    </xf>
    <xf numFmtId="0" fontId="5" fillId="27" borderId="21" xfId="0" applyFont="1" applyFill="1" applyBorder="1" applyAlignment="1">
      <alignment horizontal="center" vertical="center"/>
    </xf>
    <xf numFmtId="0" fontId="5" fillId="27" borderId="22" xfId="0" applyFont="1" applyFill="1" applyBorder="1" applyAlignment="1">
      <alignment horizontal="center" vertical="center"/>
    </xf>
    <xf numFmtId="0" fontId="5" fillId="0" borderId="97"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7" xfId="0" applyFont="1" applyBorder="1" applyAlignment="1">
      <alignment horizontal="center" vertical="center" wrapText="1"/>
    </xf>
    <xf numFmtId="0" fontId="0" fillId="58" borderId="14" xfId="0" applyFill="1" applyBorder="1" applyAlignment="1">
      <alignment horizontal="left" vertical="center" wrapText="1"/>
    </xf>
    <xf numFmtId="0" fontId="0" fillId="58" borderId="56" xfId="0" applyFill="1" applyBorder="1" applyAlignment="1">
      <alignment horizontal="left" vertical="center" wrapText="1"/>
    </xf>
    <xf numFmtId="0" fontId="0" fillId="58" borderId="13" xfId="0" applyFill="1" applyBorder="1" applyAlignment="1">
      <alignment horizontal="left" vertical="center" wrapText="1"/>
    </xf>
    <xf numFmtId="0" fontId="0" fillId="58" borderId="90" xfId="0" applyFill="1" applyBorder="1" applyAlignment="1">
      <alignment horizontal="left" vertical="center" wrapText="1"/>
    </xf>
    <xf numFmtId="0" fontId="0" fillId="58" borderId="0" xfId="0" applyFill="1" applyAlignment="1">
      <alignment horizontal="left" vertical="center" wrapText="1"/>
    </xf>
    <xf numFmtId="0" fontId="0" fillId="58" borderId="62" xfId="0" applyFill="1" applyBorder="1" applyAlignment="1">
      <alignment horizontal="left" vertical="center" wrapText="1"/>
    </xf>
    <xf numFmtId="0" fontId="0" fillId="58" borderId="5" xfId="0" applyFill="1" applyBorder="1" applyAlignment="1">
      <alignment horizontal="left" vertical="center" wrapText="1"/>
    </xf>
    <xf numFmtId="0" fontId="0" fillId="58" borderId="58" xfId="0" applyFill="1" applyBorder="1" applyAlignment="1">
      <alignment horizontal="left" vertical="center" wrapText="1"/>
    </xf>
    <xf numFmtId="0" fontId="0" fillId="58" borderId="4" xfId="0" applyFill="1" applyBorder="1" applyAlignment="1">
      <alignment horizontal="left" vertical="center" wrapText="1"/>
    </xf>
    <xf numFmtId="0" fontId="2" fillId="29" borderId="46" xfId="0" applyFont="1" applyFill="1" applyBorder="1" applyAlignment="1">
      <alignment horizontal="center" vertical="center" wrapText="1"/>
    </xf>
    <xf numFmtId="0" fontId="2" fillId="29" borderId="56" xfId="0" applyFont="1" applyFill="1" applyBorder="1" applyAlignment="1">
      <alignment horizontal="center" vertical="center" wrapText="1"/>
    </xf>
    <xf numFmtId="165" fontId="35" fillId="52" borderId="20" xfId="0" applyNumberFormat="1" applyFont="1" applyFill="1" applyBorder="1" applyAlignment="1">
      <alignment horizontal="center" vertical="center" wrapText="1"/>
    </xf>
    <xf numFmtId="165" fontId="35" fillId="52" borderId="21" xfId="0" applyNumberFormat="1" applyFont="1" applyFill="1" applyBorder="1" applyAlignment="1">
      <alignment horizontal="center" vertical="center" wrapText="1"/>
    </xf>
    <xf numFmtId="165" fontId="35" fillId="52" borderId="22" xfId="0" applyNumberFormat="1" applyFont="1" applyFill="1" applyBorder="1" applyAlignment="1">
      <alignment horizontal="center" vertical="center" wrapText="1"/>
    </xf>
    <xf numFmtId="44" fontId="2" fillId="27" borderId="20" xfId="4" applyFont="1" applyFill="1" applyBorder="1" applyAlignment="1" applyProtection="1">
      <alignment horizontal="center" vertical="center"/>
    </xf>
    <xf numFmtId="44" fontId="2" fillId="27" borderId="21" xfId="4" applyFont="1" applyFill="1" applyBorder="1" applyAlignment="1" applyProtection="1">
      <alignment horizontal="center" vertical="center"/>
    </xf>
    <xf numFmtId="44" fontId="2" fillId="27" borderId="22" xfId="4" applyFont="1" applyFill="1" applyBorder="1" applyAlignment="1" applyProtection="1">
      <alignment horizontal="center" vertical="center"/>
    </xf>
    <xf numFmtId="0" fontId="2" fillId="27" borderId="18" xfId="0" applyFont="1" applyFill="1" applyBorder="1" applyAlignment="1">
      <alignment horizontal="center" vertical="center"/>
    </xf>
    <xf numFmtId="0" fontId="2" fillId="27" borderId="22" xfId="0" applyFont="1" applyFill="1" applyBorder="1" applyAlignment="1">
      <alignment horizontal="center" vertical="center" wrapText="1"/>
    </xf>
    <xf numFmtId="0" fontId="2" fillId="27" borderId="17" xfId="0" applyFont="1" applyFill="1" applyBorder="1" applyAlignment="1">
      <alignment horizontal="center" vertical="center" wrapText="1"/>
    </xf>
    <xf numFmtId="0" fontId="5" fillId="8" borderId="9" xfId="0" applyFont="1" applyFill="1" applyBorder="1" applyAlignment="1">
      <alignment horizontal="center" vertical="center"/>
    </xf>
    <xf numFmtId="0" fontId="5" fillId="8" borderId="8" xfId="0" applyFont="1" applyFill="1" applyBorder="1" applyAlignment="1">
      <alignment horizontal="center" vertical="center"/>
    </xf>
    <xf numFmtId="0" fontId="0" fillId="21" borderId="0" xfId="0" applyFill="1" applyAlignment="1">
      <alignment horizontal="left" vertical="center"/>
    </xf>
    <xf numFmtId="0" fontId="2" fillId="27" borderId="94" xfId="0" applyFont="1" applyFill="1" applyBorder="1" applyAlignment="1">
      <alignment horizontal="center" vertical="center" wrapText="1"/>
    </xf>
    <xf numFmtId="0" fontId="2" fillId="27" borderId="97" xfId="0" applyFont="1" applyFill="1" applyBorder="1" applyAlignment="1">
      <alignment horizontal="center" vertical="center" wrapText="1"/>
    </xf>
    <xf numFmtId="0" fontId="6" fillId="27" borderId="99" xfId="0" applyFont="1" applyFill="1" applyBorder="1" applyAlignment="1">
      <alignment horizontal="center" vertical="center"/>
    </xf>
    <xf numFmtId="0" fontId="2" fillId="45" borderId="94" xfId="0" applyFont="1" applyFill="1" applyBorder="1" applyAlignment="1">
      <alignment horizontal="center" vertical="center" wrapText="1"/>
    </xf>
    <xf numFmtId="0" fontId="2" fillId="45" borderId="61" xfId="0" applyFont="1" applyFill="1" applyBorder="1" applyAlignment="1">
      <alignment horizontal="center" vertical="center" wrapText="1"/>
    </xf>
    <xf numFmtId="0" fontId="2" fillId="45" borderId="97" xfId="0" applyFont="1" applyFill="1" applyBorder="1" applyAlignment="1">
      <alignment horizontal="center" vertical="center" wrapText="1"/>
    </xf>
    <xf numFmtId="0" fontId="2" fillId="21" borderId="0" xfId="0" applyFont="1" applyFill="1" applyAlignment="1">
      <alignment horizontal="center" vertical="center"/>
    </xf>
    <xf numFmtId="0" fontId="16" fillId="21" borderId="0" xfId="1" applyFill="1" applyAlignment="1">
      <alignment horizontal="left" vertical="center"/>
    </xf>
    <xf numFmtId="1" fontId="0" fillId="21" borderId="0" xfId="0" applyNumberFormat="1" applyFill="1" applyAlignment="1">
      <alignment horizontal="center" vertical="center"/>
    </xf>
    <xf numFmtId="0" fontId="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2" xfId="0" applyFont="1" applyBorder="1" applyAlignment="1" applyProtection="1">
      <alignment horizontal="center" vertical="center"/>
      <protection locked="0"/>
    </xf>
    <xf numFmtId="182" fontId="0" fillId="21" borderId="16" xfId="0" applyNumberFormat="1" applyFill="1" applyBorder="1" applyAlignment="1">
      <alignment horizontal="center"/>
    </xf>
    <xf numFmtId="182" fontId="0" fillId="21" borderId="75" xfId="0" applyNumberFormat="1" applyFill="1" applyBorder="1" applyAlignment="1">
      <alignment horizontal="center"/>
    </xf>
    <xf numFmtId="182" fontId="0" fillId="21" borderId="7" xfId="0" applyNumberFormat="1" applyFill="1" applyBorder="1" applyAlignment="1">
      <alignment horizontal="center"/>
    </xf>
    <xf numFmtId="182" fontId="0" fillId="21" borderId="16" xfId="0" applyNumberFormat="1" applyFill="1" applyBorder="1" applyAlignment="1">
      <alignment horizontal="center" vertical="center"/>
    </xf>
    <xf numFmtId="182" fontId="0" fillId="21" borderId="75" xfId="0" applyNumberFormat="1" applyFill="1" applyBorder="1" applyAlignment="1">
      <alignment horizontal="center" vertical="center"/>
    </xf>
    <xf numFmtId="182" fontId="0" fillId="21" borderId="7" xfId="0" applyNumberFormat="1" applyFill="1" applyBorder="1" applyAlignment="1">
      <alignment horizontal="center" vertical="center"/>
    </xf>
    <xf numFmtId="0" fontId="0" fillId="34" borderId="9" xfId="0" applyFill="1" applyBorder="1" applyAlignment="1">
      <alignment horizontal="center"/>
    </xf>
    <xf numFmtId="0" fontId="0" fillId="34" borderId="40" xfId="0" applyFill="1" applyBorder="1" applyAlignment="1">
      <alignment horizontal="center"/>
    </xf>
    <xf numFmtId="0" fontId="0" fillId="34" borderId="8" xfId="0" applyFill="1" applyBorder="1" applyAlignment="1">
      <alignment horizontal="center"/>
    </xf>
    <xf numFmtId="171" fontId="4" fillId="19" borderId="47" xfId="4" applyNumberFormat="1" applyFont="1" applyFill="1" applyBorder="1" applyAlignment="1" applyProtection="1">
      <alignment vertical="center"/>
    </xf>
    <xf numFmtId="171" fontId="4" fillId="19" borderId="48" xfId="4" applyNumberFormat="1" applyFont="1" applyFill="1" applyBorder="1" applyAlignment="1" applyProtection="1">
      <alignment vertical="center"/>
    </xf>
    <xf numFmtId="171" fontId="4" fillId="19" borderId="48" xfId="4" applyNumberFormat="1" applyFont="1" applyFill="1" applyBorder="1" applyAlignment="1" applyProtection="1">
      <alignment horizontal="right" vertical="center"/>
    </xf>
    <xf numFmtId="165" fontId="27" fillId="0" borderId="0" xfId="4" applyNumberFormat="1" applyFont="1" applyFill="1" applyBorder="1" applyAlignment="1" applyProtection="1">
      <alignment vertical="center"/>
    </xf>
  </cellXfs>
  <cellStyles count="14">
    <cellStyle name="Hipervínculo" xfId="1" builtinId="8"/>
    <cellStyle name="Millares" xfId="2" builtinId="3"/>
    <cellStyle name="Millares [0]" xfId="13" builtinId="6"/>
    <cellStyle name="Millares 2 3" xfId="3" xr:uid="{00000000-0005-0000-0000-000003000000}"/>
    <cellStyle name="Moneda" xfId="4" builtinId="4"/>
    <cellStyle name="Moneda [0]" xfId="5" builtinId="7"/>
    <cellStyle name="Moneda 3" xfId="6" xr:uid="{00000000-0005-0000-0000-000006000000}"/>
    <cellStyle name="Normal" xfId="0" builtinId="0"/>
    <cellStyle name="Normal 2" xfId="7" xr:uid="{00000000-0005-0000-0000-000008000000}"/>
    <cellStyle name="Normal 2 3" xfId="8" xr:uid="{00000000-0005-0000-0000-000009000000}"/>
    <cellStyle name="Normal 3" xfId="9" xr:uid="{00000000-0005-0000-0000-00000A000000}"/>
    <cellStyle name="Normal_Hoja1 2" xfId="10" xr:uid="{00000000-0005-0000-0000-00000B000000}"/>
    <cellStyle name="Porcentaje" xfId="11" builtinId="5"/>
    <cellStyle name="Porcentaje 3" xfId="12" xr:uid="{00000000-0005-0000-0000-00000D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L"/>
              <a:t>INGRESOS</a:t>
            </a:r>
          </a:p>
        </c:rich>
      </c:tx>
      <c:overlay val="0"/>
      <c:spPr>
        <a:noFill/>
        <a:ln w="25400">
          <a:noFill/>
        </a:ln>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('L)'!$C$76,'L)'!$E$76,'L)'!$G$76,'L)'!$I$76,'L)'!$K$76,'L)'!$M$76,'L)'!$O$76)</c:f>
              <c:numCache>
                <c:formatCode>_("$"* #,##0_);_("$"* \(#,##0\);_("$"* "-"_);_(@_)</c:formatCode>
                <c:ptCount val="7"/>
                <c:pt idx="0">
                  <c:v>80008925.953137919</c:v>
                </c:pt>
                <c:pt idx="1">
                  <c:v>81897987.224589884</c:v>
                </c:pt>
                <c:pt idx="2">
                  <c:v>52454952.790488794</c:v>
                </c:pt>
                <c:pt idx="3">
                  <c:v>55378267.785251766</c:v>
                </c:pt>
                <c:pt idx="4">
                  <c:v>43416840.005599037</c:v>
                </c:pt>
                <c:pt idx="5">
                  <c:v>44066479.651140153</c:v>
                </c:pt>
                <c:pt idx="6">
                  <c:v>68939787.594468936</c:v>
                </c:pt>
              </c:numCache>
            </c:numRef>
          </c:val>
          <c:smooth val="0"/>
          <c:extLst>
            <c:ext xmlns:c16="http://schemas.microsoft.com/office/drawing/2014/chart" uri="{C3380CC4-5D6E-409C-BE32-E72D297353CC}">
              <c16:uniqueId val="{00000000-8F50-434B-820D-3B53A37C5C40}"/>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('L)'!$D$76,'L)'!$F$76,'L)'!$H$76,'L)'!$J$76,'L)'!$L$76,'L)'!$N$76,'L)'!$P$76)</c:f>
              <c:numCache>
                <c:formatCode>_("$"* #,##0_);_("$"* \(#,##0\);_("$"* "-"_);_(@_)</c:formatCode>
                <c:ptCount val="7"/>
                <c:pt idx="0">
                  <c:v>88520450</c:v>
                </c:pt>
                <c:pt idx="1">
                  <c:v>86117050</c:v>
                </c:pt>
                <c:pt idx="2">
                  <c:v>77906586</c:v>
                </c:pt>
                <c:pt idx="3">
                  <c:v>57927977</c:v>
                </c:pt>
                <c:pt idx="4">
                  <c:v>56205304</c:v>
                </c:pt>
                <c:pt idx="5">
                  <c:v>0</c:v>
                </c:pt>
                <c:pt idx="6">
                  <c:v>0</c:v>
                </c:pt>
              </c:numCache>
            </c:numRef>
          </c:val>
          <c:smooth val="0"/>
          <c:extLst>
            <c:ext xmlns:c16="http://schemas.microsoft.com/office/drawing/2014/chart" uri="{C3380CC4-5D6E-409C-BE32-E72D297353CC}">
              <c16:uniqueId val="{00000001-8F50-434B-820D-3B53A37C5C40}"/>
            </c:ext>
          </c:extLst>
        </c:ser>
        <c:dLbls>
          <c:showLegendKey val="0"/>
          <c:showVal val="0"/>
          <c:showCatName val="0"/>
          <c:showSerName val="0"/>
          <c:showPercent val="0"/>
          <c:showBubbleSize val="0"/>
        </c:dLbls>
        <c:marker val="1"/>
        <c:smooth val="0"/>
        <c:axId val="107374080"/>
        <c:axId val="107375616"/>
      </c:lineChart>
      <c:catAx>
        <c:axId val="10737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L"/>
          </a:p>
        </c:txPr>
        <c:crossAx val="107375616"/>
        <c:crosses val="autoZero"/>
        <c:auto val="1"/>
        <c:lblAlgn val="ctr"/>
        <c:lblOffset val="100"/>
        <c:noMultiLvlLbl val="0"/>
      </c:catAx>
      <c:valAx>
        <c:axId val="1073756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L"/>
          </a:p>
        </c:txPr>
        <c:crossAx val="107374080"/>
        <c:crosses val="autoZero"/>
        <c:crossBetween val="between"/>
      </c:valAx>
      <c:spPr>
        <a:noFill/>
        <a:ln w="25400">
          <a:noFill/>
        </a:ln>
      </c:spPr>
    </c:plotArea>
    <c:legend>
      <c:legendPos val="r"/>
      <c:layout>
        <c:manualLayout>
          <c:xMode val="edge"/>
          <c:yMode val="edge"/>
          <c:wMode val="edge"/>
          <c:hMode val="edge"/>
          <c:x val="0.85512464878435435"/>
          <c:y val="0.49495126240533066"/>
          <c:w val="0.98822259438486759"/>
          <c:h val="0.63636575731063916"/>
        </c:manualLayout>
      </c:layout>
      <c:overlay val="0"/>
      <c:spPr>
        <a:noFill/>
        <a:ln w="25400">
          <a:noFill/>
        </a:ln>
      </c:spPr>
      <c:txPr>
        <a:bodyPr/>
        <a:lstStyle/>
        <a:p>
          <a:pPr>
            <a:defRPr sz="630" b="0" i="0" u="none" strike="noStrike" baseline="0">
              <a:solidFill>
                <a:srgbClr val="333333"/>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L"/>
              <a:t>REMUNERACION</a:t>
            </a:r>
          </a:p>
        </c:rich>
      </c:tx>
      <c:overlay val="0"/>
      <c:spPr>
        <a:noFill/>
        <a:ln w="25400">
          <a:noFill/>
        </a:ln>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('L)'!$C$77,'L)'!$E$77,'L)'!$G$77,'L)'!$I$77,'L)'!$K$77,'L)'!$M$77,'L)'!$O$77)</c:f>
              <c:numCache>
                <c:formatCode>_("$"* #,##0_);_("$"* \(#,##0\);_("$"* "-"_);_(@_)</c:formatCode>
                <c:ptCount val="7"/>
                <c:pt idx="0">
                  <c:v>42044308.405499995</c:v>
                </c:pt>
                <c:pt idx="1">
                  <c:v>37435378.905499995</c:v>
                </c:pt>
                <c:pt idx="2">
                  <c:v>37435378.905499995</c:v>
                </c:pt>
                <c:pt idx="3">
                  <c:v>22423864.905499995</c:v>
                </c:pt>
                <c:pt idx="4">
                  <c:v>22423864.905499995</c:v>
                </c:pt>
                <c:pt idx="5">
                  <c:v>22423864.905499995</c:v>
                </c:pt>
                <c:pt idx="6">
                  <c:v>20405078.998499997</c:v>
                </c:pt>
              </c:numCache>
            </c:numRef>
          </c:val>
          <c:smooth val="0"/>
          <c:extLst>
            <c:ext xmlns:c16="http://schemas.microsoft.com/office/drawing/2014/chart" uri="{C3380CC4-5D6E-409C-BE32-E72D297353CC}">
              <c16:uniqueId val="{00000000-E079-42A4-A645-BE15B9FF061A}"/>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('L)'!$D$77,'L)'!$F$77,'L)'!$H$77,'L)'!$J$77,'L)'!$L$77,'L)'!$N$77,'L)'!$P$77)</c:f>
              <c:numCache>
                <c:formatCode>_("$"* #,##0_);_("$"* \(#,##0\);_("$"* "-"_);_(@_)</c:formatCode>
                <c:ptCount val="7"/>
                <c:pt idx="0">
                  <c:v>43893828</c:v>
                </c:pt>
                <c:pt idx="1">
                  <c:v>31362477</c:v>
                </c:pt>
                <c:pt idx="2">
                  <c:v>28611937</c:v>
                </c:pt>
                <c:pt idx="3">
                  <c:v>26161133</c:v>
                </c:pt>
                <c:pt idx="4">
                  <c:v>26794606</c:v>
                </c:pt>
                <c:pt idx="5">
                  <c:v>0</c:v>
                </c:pt>
                <c:pt idx="6">
                  <c:v>0</c:v>
                </c:pt>
              </c:numCache>
            </c:numRef>
          </c:val>
          <c:smooth val="0"/>
          <c:extLst>
            <c:ext xmlns:c16="http://schemas.microsoft.com/office/drawing/2014/chart" uri="{C3380CC4-5D6E-409C-BE32-E72D297353CC}">
              <c16:uniqueId val="{00000001-E079-42A4-A645-BE15B9FF061A}"/>
            </c:ext>
          </c:extLst>
        </c:ser>
        <c:dLbls>
          <c:showLegendKey val="0"/>
          <c:showVal val="0"/>
          <c:showCatName val="0"/>
          <c:showSerName val="0"/>
          <c:showPercent val="0"/>
          <c:showBubbleSize val="0"/>
        </c:dLbls>
        <c:marker val="1"/>
        <c:smooth val="0"/>
        <c:axId val="107431424"/>
        <c:axId val="107432960"/>
      </c:lineChart>
      <c:catAx>
        <c:axId val="10743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L"/>
          </a:p>
        </c:txPr>
        <c:crossAx val="107432960"/>
        <c:crosses val="autoZero"/>
        <c:auto val="1"/>
        <c:lblAlgn val="ctr"/>
        <c:lblOffset val="100"/>
        <c:noMultiLvlLbl val="0"/>
      </c:catAx>
      <c:valAx>
        <c:axId val="1074329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L"/>
          </a:p>
        </c:txPr>
        <c:crossAx val="107431424"/>
        <c:crosses val="autoZero"/>
        <c:crossBetween val="between"/>
      </c:valAx>
      <c:spPr>
        <a:noFill/>
        <a:ln w="25400">
          <a:noFill/>
        </a:ln>
      </c:spPr>
    </c:plotArea>
    <c:legend>
      <c:legendPos val="r"/>
      <c:layout>
        <c:manualLayout>
          <c:xMode val="edge"/>
          <c:yMode val="edge"/>
          <c:wMode val="edge"/>
          <c:hMode val="edge"/>
          <c:x val="0.85647111012531885"/>
          <c:y val="0.49495126240533066"/>
          <c:w val="0.98941234458368754"/>
          <c:h val="0.63636575731063916"/>
        </c:manualLayout>
      </c:layout>
      <c:overlay val="0"/>
      <c:spPr>
        <a:noFill/>
        <a:ln w="25400">
          <a:noFill/>
        </a:ln>
      </c:spPr>
      <c:txPr>
        <a:bodyPr/>
        <a:lstStyle/>
        <a:p>
          <a:pPr>
            <a:defRPr sz="630" b="0" i="0" u="none" strike="noStrike" baseline="0">
              <a:solidFill>
                <a:srgbClr val="333333"/>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L"/>
              <a:t>COSTOS DE OPERACION</a:t>
            </a:r>
          </a:p>
        </c:rich>
      </c:tx>
      <c:overlay val="0"/>
      <c:spPr>
        <a:noFill/>
        <a:ln w="25400">
          <a:noFill/>
        </a:ln>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('L)'!$C$78,'L)'!$E$78,'L)'!$G$78,'L)'!$I$78,'L)'!$K$78,'L)'!$M$78,'L)'!$O$78,'L)'!$Q$78)</c:f>
              <c:numCache>
                <c:formatCode>_("$"* #,##0_);_("$"* \(#,##0\);_("$"* "-"_);_(@_)</c:formatCode>
                <c:ptCount val="8"/>
                <c:pt idx="0">
                  <c:v>25390116.259045731</c:v>
                </c:pt>
                <c:pt idx="1">
                  <c:v>24823745.985861119</c:v>
                </c:pt>
                <c:pt idx="2">
                  <c:v>21383931.119439386</c:v>
                </c:pt>
                <c:pt idx="3">
                  <c:v>14033129.895594984</c:v>
                </c:pt>
                <c:pt idx="4">
                  <c:v>18788753.614213504</c:v>
                </c:pt>
                <c:pt idx="5">
                  <c:v>13877929.305558184</c:v>
                </c:pt>
                <c:pt idx="6">
                  <c:v>14531111.442210233</c:v>
                </c:pt>
                <c:pt idx="7">
                  <c:v>13395734.854017846</c:v>
                </c:pt>
              </c:numCache>
            </c:numRef>
          </c:val>
          <c:smooth val="0"/>
          <c:extLst>
            <c:ext xmlns:c16="http://schemas.microsoft.com/office/drawing/2014/chart" uri="{C3380CC4-5D6E-409C-BE32-E72D297353CC}">
              <c16:uniqueId val="{00000000-1D6A-4B5C-9E05-9097AC6BC1E1}"/>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('L)'!$D$78,'L)'!$F$78,'L)'!$H$78,'L)'!$J$78,'L)'!$L$78,'L)'!$N$78,'L)'!$P$78,'L)'!$R$78)</c:f>
              <c:numCache>
                <c:formatCode>_("$"* #,##0_);_("$"* \(#,##0\);_("$"* "-"_);_(@_)</c:formatCode>
                <c:ptCount val="8"/>
                <c:pt idx="0">
                  <c:v>20440026</c:v>
                </c:pt>
                <c:pt idx="1">
                  <c:v>30216658</c:v>
                </c:pt>
                <c:pt idx="2">
                  <c:v>49231694</c:v>
                </c:pt>
                <c:pt idx="3">
                  <c:v>33809650</c:v>
                </c:pt>
                <c:pt idx="4">
                  <c:v>27125611</c:v>
                </c:pt>
                <c:pt idx="5">
                  <c:v>0</c:v>
                </c:pt>
                <c:pt idx="6">
                  <c:v>0</c:v>
                </c:pt>
                <c:pt idx="7">
                  <c:v>0</c:v>
                </c:pt>
              </c:numCache>
            </c:numRef>
          </c:val>
          <c:smooth val="0"/>
          <c:extLst>
            <c:ext xmlns:c16="http://schemas.microsoft.com/office/drawing/2014/chart" uri="{C3380CC4-5D6E-409C-BE32-E72D297353CC}">
              <c16:uniqueId val="{00000001-1D6A-4B5C-9E05-9097AC6BC1E1}"/>
            </c:ext>
          </c:extLst>
        </c:ser>
        <c:dLbls>
          <c:showLegendKey val="0"/>
          <c:showVal val="0"/>
          <c:showCatName val="0"/>
          <c:showSerName val="0"/>
          <c:showPercent val="0"/>
          <c:showBubbleSize val="0"/>
        </c:dLbls>
        <c:marker val="1"/>
        <c:smooth val="0"/>
        <c:axId val="110044672"/>
        <c:axId val="110046208"/>
      </c:lineChart>
      <c:catAx>
        <c:axId val="11004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L"/>
          </a:p>
        </c:txPr>
        <c:crossAx val="110046208"/>
        <c:crosses val="autoZero"/>
        <c:auto val="1"/>
        <c:lblAlgn val="ctr"/>
        <c:lblOffset val="100"/>
        <c:noMultiLvlLbl val="0"/>
      </c:catAx>
      <c:valAx>
        <c:axId val="1100462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L"/>
          </a:p>
        </c:txPr>
        <c:crossAx val="110044672"/>
        <c:crosses val="autoZero"/>
        <c:crossBetween val="between"/>
      </c:valAx>
      <c:spPr>
        <a:noFill/>
        <a:ln w="25400">
          <a:noFill/>
        </a:ln>
      </c:spPr>
    </c:plotArea>
    <c:legend>
      <c:legendPos val="r"/>
      <c:layout>
        <c:manualLayout>
          <c:xMode val="edge"/>
          <c:yMode val="edge"/>
          <c:wMode val="edge"/>
          <c:hMode val="edge"/>
          <c:x val="0.85394684653842479"/>
          <c:y val="0.49495126240533066"/>
          <c:w val="0.98704479213893803"/>
          <c:h val="0.63636575731063916"/>
        </c:manualLayout>
      </c:layout>
      <c:overlay val="0"/>
      <c:spPr>
        <a:noFill/>
        <a:ln w="25400">
          <a:noFill/>
        </a:ln>
      </c:spPr>
      <c:txPr>
        <a:bodyPr/>
        <a:lstStyle/>
        <a:p>
          <a:pPr>
            <a:defRPr sz="630" b="0" i="0" u="none" strike="noStrike" baseline="0">
              <a:solidFill>
                <a:srgbClr val="333333"/>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L"/>
              <a:t>RESULTADO OPERACIONAL</a:t>
            </a:r>
          </a:p>
        </c:rich>
      </c:tx>
      <c:overlay val="0"/>
      <c:spPr>
        <a:noFill/>
        <a:ln w="25400">
          <a:noFill/>
        </a:ln>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('L)'!$C$79,'L)'!$E$79,'L)'!$G$79,'L)'!$I$79,'L)'!$K$79,'L)'!$M$79,'L)'!$O$79)</c:f>
              <c:numCache>
                <c:formatCode>_("$"* #,##0_);_("$"* \(#,##0\);_("$"* "-"_);_(@_)</c:formatCode>
                <c:ptCount val="7"/>
                <c:pt idx="0">
                  <c:v>12574501.28859221</c:v>
                </c:pt>
                <c:pt idx="1">
                  <c:v>19638862.333228774</c:v>
                </c:pt>
                <c:pt idx="2">
                  <c:v>-6364357.2344506029</c:v>
                </c:pt>
                <c:pt idx="3">
                  <c:v>18921272.984156772</c:v>
                </c:pt>
                <c:pt idx="4">
                  <c:v>2204221.4858855358</c:v>
                </c:pt>
                <c:pt idx="5">
                  <c:v>7764685.4400819754</c:v>
                </c:pt>
                <c:pt idx="6">
                  <c:v>31984811.246758699</c:v>
                </c:pt>
              </c:numCache>
            </c:numRef>
          </c:val>
          <c:smooth val="0"/>
          <c:extLst>
            <c:ext xmlns:c16="http://schemas.microsoft.com/office/drawing/2014/chart" uri="{C3380CC4-5D6E-409C-BE32-E72D297353CC}">
              <c16:uniqueId val="{00000000-4CCA-4DC5-92C6-83CE6E10E5DF}"/>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([4]Hoja1!$B$37,[4]Hoja1!$D$37,[4]Hoja1!$F$37,[4]Hoja1!$H$37,[4]Hoja1!$J$37)</c:f>
              <c:strCache>
                <c:ptCount val="5"/>
                <c:pt idx="0">
                  <c:v>ENERO</c:v>
                </c:pt>
                <c:pt idx="1">
                  <c:v>FEBRERO</c:v>
                </c:pt>
                <c:pt idx="2">
                  <c:v>MARZO</c:v>
                </c:pt>
                <c:pt idx="3">
                  <c:v>ABRIL</c:v>
                </c:pt>
                <c:pt idx="4">
                  <c:v>MAYO</c:v>
                </c:pt>
              </c:strCache>
            </c:strRef>
          </c:cat>
          <c:val>
            <c:numRef>
              <c:f>('L)'!$D$79,'L)'!$F$79,'L)'!$H$79,'L)'!$J$79,'L)'!$L$79,'L)'!$N$79,'L)'!$P$79)</c:f>
              <c:numCache>
                <c:formatCode>_("$"* #,##0_);_("$"* \(#,##0\);_("$"* "-"_);_(@_)</c:formatCode>
                <c:ptCount val="7"/>
                <c:pt idx="0">
                  <c:v>24186596</c:v>
                </c:pt>
                <c:pt idx="1">
                  <c:v>24537915</c:v>
                </c:pt>
                <c:pt idx="2">
                  <c:v>62955</c:v>
                </c:pt>
                <c:pt idx="3">
                  <c:v>-2042806</c:v>
                </c:pt>
                <c:pt idx="4">
                  <c:v>2285087</c:v>
                </c:pt>
                <c:pt idx="5">
                  <c:v>0</c:v>
                </c:pt>
                <c:pt idx="6">
                  <c:v>0</c:v>
                </c:pt>
              </c:numCache>
            </c:numRef>
          </c:val>
          <c:smooth val="0"/>
          <c:extLst>
            <c:ext xmlns:c16="http://schemas.microsoft.com/office/drawing/2014/chart" uri="{C3380CC4-5D6E-409C-BE32-E72D297353CC}">
              <c16:uniqueId val="{00000001-4CCA-4DC5-92C6-83CE6E10E5DF}"/>
            </c:ext>
          </c:extLst>
        </c:ser>
        <c:dLbls>
          <c:showLegendKey val="0"/>
          <c:showVal val="0"/>
          <c:showCatName val="0"/>
          <c:showSerName val="0"/>
          <c:showPercent val="0"/>
          <c:showBubbleSize val="0"/>
        </c:dLbls>
        <c:marker val="1"/>
        <c:smooth val="0"/>
        <c:axId val="110081536"/>
        <c:axId val="110083072"/>
      </c:lineChart>
      <c:catAx>
        <c:axId val="11008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L"/>
          </a:p>
        </c:txPr>
        <c:crossAx val="110083072"/>
        <c:crosses val="autoZero"/>
        <c:auto val="1"/>
        <c:lblAlgn val="ctr"/>
        <c:lblOffset val="100"/>
        <c:noMultiLvlLbl val="0"/>
      </c:catAx>
      <c:valAx>
        <c:axId val="110083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L"/>
          </a:p>
        </c:txPr>
        <c:crossAx val="110081536"/>
        <c:crosses val="autoZero"/>
        <c:crossBetween val="between"/>
      </c:valAx>
      <c:spPr>
        <a:noFill/>
        <a:ln w="25400">
          <a:noFill/>
        </a:ln>
      </c:spPr>
    </c:plotArea>
    <c:legend>
      <c:legendPos val="r"/>
      <c:layout>
        <c:manualLayout>
          <c:xMode val="edge"/>
          <c:yMode val="edge"/>
          <c:wMode val="edge"/>
          <c:hMode val="edge"/>
          <c:x val="0.85647111012531885"/>
          <c:y val="0.49158425903832725"/>
          <c:w val="0.98941234458368754"/>
          <c:h val="0.63299875394363581"/>
        </c:manualLayout>
      </c:layout>
      <c:overlay val="0"/>
      <c:spPr>
        <a:noFill/>
        <a:ln w="25400">
          <a:noFill/>
        </a:ln>
      </c:spPr>
      <c:txPr>
        <a:bodyPr/>
        <a:lstStyle/>
        <a:p>
          <a:pPr>
            <a:defRPr sz="630" b="0" i="0" u="none" strike="noStrike" baseline="0">
              <a:solidFill>
                <a:srgbClr val="333333"/>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hyperlink" Target="file:///C:\Users\139984374\AppData\Local\Microsoft\Windows\80708076\AppData\Local\Microsoft\Windows\AppData\Local\Microsoft\Windows\Temporary%20Internet%20Files\Content.Outlook\09FUB3DJ\RESUMEN.xlsx" TargetMode="External"/><Relationship Id="rId1" Type="http://schemas.openxmlformats.org/officeDocument/2006/relationships/hyperlink" Target="#'&#205;ndice Tablas'!A1"/></Relationships>
</file>

<file path=xl/drawings/_rels/drawing3.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4.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5.xml.rels><?xml version="1.0" encoding="UTF-8" standalone="yes"?>
<Relationships xmlns="http://schemas.openxmlformats.org/package/2006/relationships"><Relationship Id="rId2" Type="http://schemas.openxmlformats.org/officeDocument/2006/relationships/hyperlink" Target="#'&#205;ndice Tablas'!A1"/><Relationship Id="rId1" Type="http://schemas.openxmlformats.org/officeDocument/2006/relationships/hyperlink" Target="#'D) Costos Indirectos '!A1"/></Relationships>
</file>

<file path=xl/drawings/_rels/drawing6.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8.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9.xml.rels><?xml version="1.0" encoding="UTF-8" standalone="yes"?>
<Relationships xmlns="http://schemas.openxmlformats.org/package/2006/relationships"><Relationship Id="rId2" Type="http://schemas.openxmlformats.org/officeDocument/2006/relationships/hyperlink" Target="#'&#205;ndice Tablas'!A1"/><Relationship Id="rId1" Type="http://schemas.openxmlformats.org/officeDocument/2006/relationships/hyperlink" Target="#'&#205;ndice Tablas '!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457200</xdr:colOff>
      <xdr:row>40</xdr:row>
      <xdr:rowOff>133350</xdr:rowOff>
    </xdr:to>
    <xdr:pic>
      <xdr:nvPicPr>
        <xdr:cNvPr id="7" name="Imagen 6">
          <a:extLst>
            <a:ext uri="{FF2B5EF4-FFF2-40B4-BE49-F238E27FC236}">
              <a16:creationId xmlns:a16="http://schemas.microsoft.com/office/drawing/2014/main" id="{22BCB7C7-CA8A-499C-B579-2FD088BA3CFC}"/>
            </a:ext>
          </a:extLst>
        </xdr:cNvPr>
        <xdr:cNvPicPr>
          <a:picLocks noChangeAspect="1"/>
        </xdr:cNvPicPr>
      </xdr:nvPicPr>
      <xdr:blipFill>
        <a:blip xmlns:r="http://schemas.openxmlformats.org/officeDocument/2006/relationships" r:embed="rId1"/>
        <a:stretch>
          <a:fillRect/>
        </a:stretch>
      </xdr:blipFill>
      <xdr:spPr>
        <a:xfrm>
          <a:off x="762000" y="952500"/>
          <a:ext cx="6553200" cy="6800850"/>
        </a:xfrm>
        <a:prstGeom prst="rect">
          <a:avLst/>
        </a:prstGeom>
      </xdr:spPr>
    </xdr:pic>
    <xdr:clientData/>
  </xdr:twoCellAnchor>
  <xdr:twoCellAnchor editAs="oneCell">
    <xdr:from>
      <xdr:col>13</xdr:col>
      <xdr:colOff>714374</xdr:colOff>
      <xdr:row>6</xdr:row>
      <xdr:rowOff>76200</xdr:rowOff>
    </xdr:from>
    <xdr:to>
      <xdr:col>21</xdr:col>
      <xdr:colOff>504825</xdr:colOff>
      <xdr:row>40</xdr:row>
      <xdr:rowOff>115209</xdr:rowOff>
    </xdr:to>
    <xdr:pic>
      <xdr:nvPicPr>
        <xdr:cNvPr id="8" name="Imagen 7">
          <a:extLst>
            <a:ext uri="{FF2B5EF4-FFF2-40B4-BE49-F238E27FC236}">
              <a16:creationId xmlns:a16="http://schemas.microsoft.com/office/drawing/2014/main" id="{B9FB204C-9DC4-4209-AF99-E6E82EEF9F01}"/>
            </a:ext>
          </a:extLst>
        </xdr:cNvPr>
        <xdr:cNvPicPr>
          <a:picLocks noChangeAspect="1"/>
        </xdr:cNvPicPr>
      </xdr:nvPicPr>
      <xdr:blipFill>
        <a:blip xmlns:r="http://schemas.openxmlformats.org/officeDocument/2006/relationships" r:embed="rId2"/>
        <a:stretch>
          <a:fillRect/>
        </a:stretch>
      </xdr:blipFill>
      <xdr:spPr>
        <a:xfrm>
          <a:off x="10620374" y="1219200"/>
          <a:ext cx="5886451" cy="6516009"/>
        </a:xfrm>
        <a:prstGeom prst="rect">
          <a:avLst/>
        </a:prstGeom>
      </xdr:spPr>
    </xdr:pic>
    <xdr:clientData/>
  </xdr:twoCellAnchor>
  <xdr:twoCellAnchor editAs="oneCell">
    <xdr:from>
      <xdr:col>1</xdr:col>
      <xdr:colOff>514351</xdr:colOff>
      <xdr:row>49</xdr:row>
      <xdr:rowOff>190499</xdr:rowOff>
    </xdr:from>
    <xdr:to>
      <xdr:col>9</xdr:col>
      <xdr:colOff>266701</xdr:colOff>
      <xdr:row>86</xdr:row>
      <xdr:rowOff>123824</xdr:rowOff>
    </xdr:to>
    <xdr:pic>
      <xdr:nvPicPr>
        <xdr:cNvPr id="9" name="Imagen 8">
          <a:extLst>
            <a:ext uri="{FF2B5EF4-FFF2-40B4-BE49-F238E27FC236}">
              <a16:creationId xmlns:a16="http://schemas.microsoft.com/office/drawing/2014/main" id="{7A4DA72E-E32D-467A-A3A9-80D4CA38C93C}"/>
            </a:ext>
          </a:extLst>
        </xdr:cNvPr>
        <xdr:cNvPicPr>
          <a:picLocks noChangeAspect="1"/>
        </xdr:cNvPicPr>
      </xdr:nvPicPr>
      <xdr:blipFill>
        <a:blip xmlns:r="http://schemas.openxmlformats.org/officeDocument/2006/relationships" r:embed="rId3"/>
        <a:stretch>
          <a:fillRect/>
        </a:stretch>
      </xdr:blipFill>
      <xdr:spPr>
        <a:xfrm>
          <a:off x="1276351" y="9524999"/>
          <a:ext cx="5848350" cy="6981825"/>
        </a:xfrm>
        <a:prstGeom prst="rect">
          <a:avLst/>
        </a:prstGeom>
      </xdr:spPr>
    </xdr:pic>
    <xdr:clientData/>
  </xdr:twoCellAnchor>
  <xdr:twoCellAnchor editAs="oneCell">
    <xdr:from>
      <xdr:col>14</xdr:col>
      <xdr:colOff>238125</xdr:colOff>
      <xdr:row>49</xdr:row>
      <xdr:rowOff>180975</xdr:rowOff>
    </xdr:from>
    <xdr:to>
      <xdr:col>21</xdr:col>
      <xdr:colOff>466725</xdr:colOff>
      <xdr:row>84</xdr:row>
      <xdr:rowOff>47625</xdr:rowOff>
    </xdr:to>
    <xdr:pic>
      <xdr:nvPicPr>
        <xdr:cNvPr id="10" name="Imagen 9">
          <a:extLst>
            <a:ext uri="{FF2B5EF4-FFF2-40B4-BE49-F238E27FC236}">
              <a16:creationId xmlns:a16="http://schemas.microsoft.com/office/drawing/2014/main" id="{3355645A-2E72-49C4-A389-13706EDD073A}"/>
            </a:ext>
          </a:extLst>
        </xdr:cNvPr>
        <xdr:cNvPicPr>
          <a:picLocks noChangeAspect="1"/>
        </xdr:cNvPicPr>
      </xdr:nvPicPr>
      <xdr:blipFill>
        <a:blip xmlns:r="http://schemas.openxmlformats.org/officeDocument/2006/relationships" r:embed="rId4"/>
        <a:stretch>
          <a:fillRect/>
        </a:stretch>
      </xdr:blipFill>
      <xdr:spPr>
        <a:xfrm>
          <a:off x="10906125" y="9515475"/>
          <a:ext cx="5562600" cy="6534150"/>
        </a:xfrm>
        <a:prstGeom prst="rect">
          <a:avLst/>
        </a:prstGeom>
      </xdr:spPr>
    </xdr:pic>
    <xdr:clientData/>
  </xdr:twoCellAnchor>
  <xdr:twoCellAnchor editAs="oneCell">
    <xdr:from>
      <xdr:col>2</xdr:col>
      <xdr:colOff>0</xdr:colOff>
      <xdr:row>97</xdr:row>
      <xdr:rowOff>0</xdr:rowOff>
    </xdr:from>
    <xdr:to>
      <xdr:col>10</xdr:col>
      <xdr:colOff>257175</xdr:colOff>
      <xdr:row>119</xdr:row>
      <xdr:rowOff>143480</xdr:rowOff>
    </xdr:to>
    <xdr:pic>
      <xdr:nvPicPr>
        <xdr:cNvPr id="11" name="Imagen 10">
          <a:extLst>
            <a:ext uri="{FF2B5EF4-FFF2-40B4-BE49-F238E27FC236}">
              <a16:creationId xmlns:a16="http://schemas.microsoft.com/office/drawing/2014/main" id="{9DAB14C8-898C-422C-B868-94AEB4FBF45C}"/>
            </a:ext>
          </a:extLst>
        </xdr:cNvPr>
        <xdr:cNvPicPr>
          <a:picLocks noChangeAspect="1"/>
        </xdr:cNvPicPr>
      </xdr:nvPicPr>
      <xdr:blipFill>
        <a:blip xmlns:r="http://schemas.openxmlformats.org/officeDocument/2006/relationships" r:embed="rId5"/>
        <a:stretch>
          <a:fillRect/>
        </a:stretch>
      </xdr:blipFill>
      <xdr:spPr>
        <a:xfrm>
          <a:off x="1524000" y="18478500"/>
          <a:ext cx="6353175" cy="4334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1309902</xdr:colOff>
      <xdr:row>5</xdr:row>
      <xdr:rowOff>51398</xdr:rowOff>
    </xdr:to>
    <xdr:sp macro="" textlink="">
      <xdr:nvSpPr>
        <xdr:cNvPr id="2" name="Flecha: a la derecha 3">
          <a:hlinkClick xmlns:r="http://schemas.openxmlformats.org/officeDocument/2006/relationships" r:id="rId1"/>
          <a:extLst>
            <a:ext uri="{FF2B5EF4-FFF2-40B4-BE49-F238E27FC236}">
              <a16:creationId xmlns:a16="http://schemas.microsoft.com/office/drawing/2014/main" id="{1CE618B7-D139-CF76-6847-BD52E0CFFFE6}"/>
            </a:ext>
          </a:extLst>
        </xdr:cNvPr>
        <xdr:cNvSpPr/>
      </xdr:nvSpPr>
      <xdr:spPr bwMode="auto">
        <a:xfrm flipH="1">
          <a:off x="762000" y="161925"/>
          <a:ext cx="1309688" cy="75247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83</xdr:row>
      <xdr:rowOff>0</xdr:rowOff>
    </xdr:from>
    <xdr:to>
      <xdr:col>15</xdr:col>
      <xdr:colOff>352425</xdr:colOff>
      <xdr:row>97</xdr:row>
      <xdr:rowOff>161925</xdr:rowOff>
    </xdr:to>
    <xdr:graphicFrame macro="">
      <xdr:nvGraphicFramePr>
        <xdr:cNvPr id="2120817" name="Gráfico 1">
          <a:extLst>
            <a:ext uri="{FF2B5EF4-FFF2-40B4-BE49-F238E27FC236}">
              <a16:creationId xmlns:a16="http://schemas.microsoft.com/office/drawing/2014/main" id="{DE3A28F0-6237-B06E-8FF8-E43C57B6B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83</xdr:row>
      <xdr:rowOff>0</xdr:rowOff>
    </xdr:from>
    <xdr:to>
      <xdr:col>24</xdr:col>
      <xdr:colOff>85725</xdr:colOff>
      <xdr:row>97</xdr:row>
      <xdr:rowOff>161925</xdr:rowOff>
    </xdr:to>
    <xdr:graphicFrame macro="">
      <xdr:nvGraphicFramePr>
        <xdr:cNvPr id="2120818" name="Gráfico 2">
          <a:extLst>
            <a:ext uri="{FF2B5EF4-FFF2-40B4-BE49-F238E27FC236}">
              <a16:creationId xmlns:a16="http://schemas.microsoft.com/office/drawing/2014/main" id="{7B342132-DD17-EFB1-878F-CB66C7A43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100</xdr:row>
      <xdr:rowOff>0</xdr:rowOff>
    </xdr:from>
    <xdr:to>
      <xdr:col>15</xdr:col>
      <xdr:colOff>352425</xdr:colOff>
      <xdr:row>114</xdr:row>
      <xdr:rowOff>161925</xdr:rowOff>
    </xdr:to>
    <xdr:graphicFrame macro="">
      <xdr:nvGraphicFramePr>
        <xdr:cNvPr id="2120819" name="Gráfico 3">
          <a:extLst>
            <a:ext uri="{FF2B5EF4-FFF2-40B4-BE49-F238E27FC236}">
              <a16:creationId xmlns:a16="http://schemas.microsoft.com/office/drawing/2014/main" id="{9103E164-EBE0-F10D-6D6E-996C8EB84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100</xdr:row>
      <xdr:rowOff>0</xdr:rowOff>
    </xdr:from>
    <xdr:to>
      <xdr:col>24</xdr:col>
      <xdr:colOff>85725</xdr:colOff>
      <xdr:row>114</xdr:row>
      <xdr:rowOff>161925</xdr:rowOff>
    </xdr:to>
    <xdr:graphicFrame macro="">
      <xdr:nvGraphicFramePr>
        <xdr:cNvPr id="2120820" name="Gráfico 4">
          <a:extLst>
            <a:ext uri="{FF2B5EF4-FFF2-40B4-BE49-F238E27FC236}">
              <a16:creationId xmlns:a16="http://schemas.microsoft.com/office/drawing/2014/main" id="{5EB10458-178C-5FC9-B20E-018104795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95254</xdr:colOff>
      <xdr:row>0</xdr:row>
      <xdr:rowOff>80964</xdr:rowOff>
    </xdr:from>
    <xdr:to>
      <xdr:col>0</xdr:col>
      <xdr:colOff>1442966</xdr:colOff>
      <xdr:row>4</xdr:row>
      <xdr:rowOff>47655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D826451F-4998-AF7C-8C52-1CACC6668EDE}"/>
            </a:ext>
          </a:extLst>
        </xdr:cNvPr>
        <xdr:cNvSpPr/>
      </xdr:nvSpPr>
      <xdr:spPr bwMode="auto">
        <a:xfrm flipH="1">
          <a:off x="95254" y="71439"/>
          <a:ext cx="1347816" cy="700086"/>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1</xdr:col>
      <xdr:colOff>337523</xdr:colOff>
      <xdr:row>2</xdr:row>
      <xdr:rowOff>128444</xdr:rowOff>
    </xdr:to>
    <xdr:sp macro="" textlink="">
      <xdr:nvSpPr>
        <xdr:cNvPr id="3" name="Estrella: 5 puntas 2">
          <a:hlinkClick xmlns:r="http://schemas.openxmlformats.org/officeDocument/2006/relationships" r:id="rId2"/>
          <a:extLst>
            <a:ext uri="{FF2B5EF4-FFF2-40B4-BE49-F238E27FC236}">
              <a16:creationId xmlns:a16="http://schemas.microsoft.com/office/drawing/2014/main" id="{5D0851BE-1CCA-F6E6-8228-9FBD4CBB6CD1}"/>
            </a:ext>
          </a:extLst>
        </xdr:cNvPr>
        <xdr:cNvSpPr/>
      </xdr:nvSpPr>
      <xdr:spPr bwMode="auto">
        <a:xfrm>
          <a:off x="2428875" y="161925"/>
          <a:ext cx="333375" cy="280988"/>
        </a:xfrm>
        <a:prstGeom prst="star5">
          <a:avLst/>
        </a:prstGeom>
        <a:solidFill>
          <a:srgbClr val="00206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s-C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549115</xdr:colOff>
      <xdr:row>3</xdr:row>
      <xdr:rowOff>111917</xdr:rowOff>
    </xdr:from>
    <xdr:to>
      <xdr:col>0</xdr:col>
      <xdr:colOff>1858329</xdr:colOff>
      <xdr:row>6</xdr:row>
      <xdr:rowOff>173174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7B2AFCF9-F1D1-432C-E672-BA908E217422}"/>
            </a:ext>
          </a:extLst>
        </xdr:cNvPr>
        <xdr:cNvSpPr/>
      </xdr:nvSpPr>
      <xdr:spPr bwMode="auto">
        <a:xfrm flipH="1">
          <a:off x="547210" y="584357"/>
          <a:ext cx="1318985" cy="70865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96677</xdr:colOff>
      <xdr:row>0</xdr:row>
      <xdr:rowOff>110974</xdr:rowOff>
    </xdr:from>
    <xdr:to>
      <xdr:col>0</xdr:col>
      <xdr:colOff>1430812</xdr:colOff>
      <xdr:row>4</xdr:row>
      <xdr:rowOff>90382</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E592FC4D-5FBE-47E5-7DE8-53F19DB22990}"/>
            </a:ext>
          </a:extLst>
        </xdr:cNvPr>
        <xdr:cNvSpPr/>
      </xdr:nvSpPr>
      <xdr:spPr bwMode="auto">
        <a:xfrm flipH="1">
          <a:off x="89057" y="107164"/>
          <a:ext cx="1341927" cy="6977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342900</xdr:colOff>
      <xdr:row>2</xdr:row>
      <xdr:rowOff>47625</xdr:rowOff>
    </xdr:from>
    <xdr:to>
      <xdr:col>32</xdr:col>
      <xdr:colOff>781050</xdr:colOff>
      <xdr:row>3</xdr:row>
      <xdr:rowOff>180975</xdr:rowOff>
    </xdr:to>
    <xdr:sp macro="" textlink="">
      <xdr:nvSpPr>
        <xdr:cNvPr id="2115754" name="Flecha derecha 5">
          <a:hlinkClick xmlns:r="http://schemas.openxmlformats.org/officeDocument/2006/relationships" r:id="rId1"/>
          <a:extLst>
            <a:ext uri="{FF2B5EF4-FFF2-40B4-BE49-F238E27FC236}">
              <a16:creationId xmlns:a16="http://schemas.microsoft.com/office/drawing/2014/main" id="{11326CF4-2F6F-130C-97D7-B6C1ECC9CD84}"/>
            </a:ext>
          </a:extLst>
        </xdr:cNvPr>
        <xdr:cNvSpPr>
          <a:spLocks noChangeArrowheads="1"/>
        </xdr:cNvSpPr>
      </xdr:nvSpPr>
      <xdr:spPr bwMode="auto">
        <a:xfrm rot="10800000">
          <a:off x="37461825" y="371475"/>
          <a:ext cx="438150" cy="295275"/>
        </a:xfrm>
        <a:prstGeom prst="rightArrow">
          <a:avLst>
            <a:gd name="adj1" fmla="val 50000"/>
            <a:gd name="adj2" fmla="val 52148"/>
          </a:avLst>
        </a:prstGeom>
        <a:solidFill>
          <a:srgbClr val="0000CC"/>
        </a:solidFill>
        <a:ln w="9525" algn="ctr">
          <a:solidFill>
            <a:srgbClr val="000000"/>
          </a:solidFill>
          <a:round/>
          <a:headEnd/>
          <a:tailEnd/>
        </a:ln>
      </xdr:spPr>
    </xdr:sp>
    <xdr:clientData/>
  </xdr:twoCellAnchor>
  <xdr:twoCellAnchor>
    <xdr:from>
      <xdr:col>24</xdr:col>
      <xdr:colOff>0</xdr:colOff>
      <xdr:row>3</xdr:row>
      <xdr:rowOff>0</xdr:rowOff>
    </xdr:from>
    <xdr:to>
      <xdr:col>24</xdr:col>
      <xdr:colOff>438150</xdr:colOff>
      <xdr:row>4</xdr:row>
      <xdr:rowOff>57150</xdr:rowOff>
    </xdr:to>
    <xdr:sp macro="" textlink="">
      <xdr:nvSpPr>
        <xdr:cNvPr id="2115755" name="Flecha derecha 6">
          <a:hlinkClick xmlns:r="http://schemas.openxmlformats.org/officeDocument/2006/relationships" r:id="rId1"/>
          <a:extLst>
            <a:ext uri="{FF2B5EF4-FFF2-40B4-BE49-F238E27FC236}">
              <a16:creationId xmlns:a16="http://schemas.microsoft.com/office/drawing/2014/main" id="{D8B25CA4-A3B1-574C-78E2-218ED29C9ED9}"/>
            </a:ext>
          </a:extLst>
        </xdr:cNvPr>
        <xdr:cNvSpPr>
          <a:spLocks noChangeArrowheads="1"/>
        </xdr:cNvSpPr>
      </xdr:nvSpPr>
      <xdr:spPr bwMode="auto">
        <a:xfrm rot="10800000">
          <a:off x="29889450" y="485775"/>
          <a:ext cx="438150" cy="295275"/>
        </a:xfrm>
        <a:prstGeom prst="rightArrow">
          <a:avLst>
            <a:gd name="adj1" fmla="val 50000"/>
            <a:gd name="adj2" fmla="val 52993"/>
          </a:avLst>
        </a:prstGeom>
        <a:solidFill>
          <a:srgbClr val="0000CC"/>
        </a:solidFill>
        <a:ln w="9525" algn="ctr">
          <a:solidFill>
            <a:srgbClr val="000000"/>
          </a:solidFill>
          <a:round/>
          <a:headEnd/>
          <a:tailEnd/>
        </a:ln>
      </xdr:spPr>
    </xdr:sp>
    <xdr:clientData/>
  </xdr:twoCellAnchor>
  <xdr:twoCellAnchor>
    <xdr:from>
      <xdr:col>20</xdr:col>
      <xdr:colOff>0</xdr:colOff>
      <xdr:row>3</xdr:row>
      <xdr:rowOff>0</xdr:rowOff>
    </xdr:from>
    <xdr:to>
      <xdr:col>20</xdr:col>
      <xdr:colOff>438150</xdr:colOff>
      <xdr:row>4</xdr:row>
      <xdr:rowOff>57150</xdr:rowOff>
    </xdr:to>
    <xdr:sp macro="" textlink="">
      <xdr:nvSpPr>
        <xdr:cNvPr id="2115756" name="Flecha derecha 7">
          <a:hlinkClick xmlns:r="http://schemas.openxmlformats.org/officeDocument/2006/relationships" r:id="rId1"/>
          <a:extLst>
            <a:ext uri="{FF2B5EF4-FFF2-40B4-BE49-F238E27FC236}">
              <a16:creationId xmlns:a16="http://schemas.microsoft.com/office/drawing/2014/main" id="{4233A72D-4592-F7EA-6815-8C494A4458F3}"/>
            </a:ext>
          </a:extLst>
        </xdr:cNvPr>
        <xdr:cNvSpPr>
          <a:spLocks noChangeArrowheads="1"/>
        </xdr:cNvSpPr>
      </xdr:nvSpPr>
      <xdr:spPr bwMode="auto">
        <a:xfrm rot="10800000">
          <a:off x="23488650" y="485775"/>
          <a:ext cx="438150" cy="295275"/>
        </a:xfrm>
        <a:prstGeom prst="rightArrow">
          <a:avLst>
            <a:gd name="adj1" fmla="val 50000"/>
            <a:gd name="adj2" fmla="val 52993"/>
          </a:avLst>
        </a:prstGeom>
        <a:solidFill>
          <a:srgbClr val="0000CC"/>
        </a:solidFill>
        <a:ln w="9525" algn="ctr">
          <a:solidFill>
            <a:srgbClr val="000000"/>
          </a:solidFill>
          <a:round/>
          <a:headEnd/>
          <a:tailEnd/>
        </a:ln>
      </xdr:spPr>
    </xdr:sp>
    <xdr:clientData/>
  </xdr:twoCellAnchor>
  <xdr:twoCellAnchor>
    <xdr:from>
      <xdr:col>12</xdr:col>
      <xdr:colOff>381000</xdr:colOff>
      <xdr:row>3</xdr:row>
      <xdr:rowOff>28575</xdr:rowOff>
    </xdr:from>
    <xdr:to>
      <xdr:col>12</xdr:col>
      <xdr:colOff>800100</xdr:colOff>
      <xdr:row>4</xdr:row>
      <xdr:rowOff>95250</xdr:rowOff>
    </xdr:to>
    <xdr:sp macro="" textlink="">
      <xdr:nvSpPr>
        <xdr:cNvPr id="2115757" name="Flecha derecha 8">
          <a:hlinkClick xmlns:r="http://schemas.openxmlformats.org/officeDocument/2006/relationships" r:id="rId1"/>
          <a:extLst>
            <a:ext uri="{FF2B5EF4-FFF2-40B4-BE49-F238E27FC236}">
              <a16:creationId xmlns:a16="http://schemas.microsoft.com/office/drawing/2014/main" id="{AA4FB035-D000-67A9-0840-E85B45A8844C}"/>
            </a:ext>
          </a:extLst>
        </xdr:cNvPr>
        <xdr:cNvSpPr>
          <a:spLocks noChangeArrowheads="1"/>
        </xdr:cNvSpPr>
      </xdr:nvSpPr>
      <xdr:spPr bwMode="auto">
        <a:xfrm rot="10800000">
          <a:off x="15563850" y="514350"/>
          <a:ext cx="419100" cy="304800"/>
        </a:xfrm>
        <a:prstGeom prst="rightArrow">
          <a:avLst>
            <a:gd name="adj1" fmla="val 50000"/>
            <a:gd name="adj2" fmla="val 49105"/>
          </a:avLst>
        </a:prstGeom>
        <a:solidFill>
          <a:srgbClr val="0000CC"/>
        </a:solidFill>
        <a:ln w="9525" algn="ctr">
          <a:solidFill>
            <a:srgbClr val="000000"/>
          </a:solidFill>
          <a:round/>
          <a:headEnd/>
          <a:tailEnd/>
        </a:ln>
      </xdr:spPr>
    </xdr:sp>
    <xdr:clientData/>
  </xdr:twoCellAnchor>
  <xdr:twoCellAnchor>
    <xdr:from>
      <xdr:col>39</xdr:col>
      <xdr:colOff>0</xdr:colOff>
      <xdr:row>3</xdr:row>
      <xdr:rowOff>0</xdr:rowOff>
    </xdr:from>
    <xdr:to>
      <xdr:col>39</xdr:col>
      <xdr:colOff>438150</xdr:colOff>
      <xdr:row>4</xdr:row>
      <xdr:rowOff>57150</xdr:rowOff>
    </xdr:to>
    <xdr:sp macro="" textlink="">
      <xdr:nvSpPr>
        <xdr:cNvPr id="2115758" name="Flecha derecha 10">
          <a:hlinkClick xmlns:r="http://schemas.openxmlformats.org/officeDocument/2006/relationships" r:id="rId1"/>
          <a:extLst>
            <a:ext uri="{FF2B5EF4-FFF2-40B4-BE49-F238E27FC236}">
              <a16:creationId xmlns:a16="http://schemas.microsoft.com/office/drawing/2014/main" id="{626E6CAC-A76C-0B85-2E27-E018EB72B405}"/>
            </a:ext>
          </a:extLst>
        </xdr:cNvPr>
        <xdr:cNvSpPr>
          <a:spLocks noChangeArrowheads="1"/>
        </xdr:cNvSpPr>
      </xdr:nvSpPr>
      <xdr:spPr bwMode="auto">
        <a:xfrm rot="10800000">
          <a:off x="43595925" y="485775"/>
          <a:ext cx="438150" cy="295275"/>
        </a:xfrm>
        <a:prstGeom prst="rightArrow">
          <a:avLst>
            <a:gd name="adj1" fmla="val 50000"/>
            <a:gd name="adj2" fmla="val 52993"/>
          </a:avLst>
        </a:prstGeom>
        <a:solidFill>
          <a:srgbClr val="0000CC"/>
        </a:solidFill>
        <a:ln w="9525" algn="ctr">
          <a:solidFill>
            <a:srgbClr val="000000"/>
          </a:solidFill>
          <a:round/>
          <a:headEnd/>
          <a:tailEnd/>
        </a:ln>
      </xdr:spPr>
    </xdr:sp>
    <xdr:clientData/>
  </xdr:twoCellAnchor>
  <xdr:twoCellAnchor>
    <xdr:from>
      <xdr:col>1</xdr:col>
      <xdr:colOff>0</xdr:colOff>
      <xdr:row>2</xdr:row>
      <xdr:rowOff>0</xdr:rowOff>
    </xdr:from>
    <xdr:to>
      <xdr:col>1</xdr:col>
      <xdr:colOff>1340205</xdr:colOff>
      <xdr:row>5</xdr:row>
      <xdr:rowOff>146699</xdr:rowOff>
    </xdr:to>
    <xdr:sp macro="" textlink="">
      <xdr:nvSpPr>
        <xdr:cNvPr id="7" name="Flecha: a la derecha 1">
          <a:hlinkClick xmlns:r="http://schemas.openxmlformats.org/officeDocument/2006/relationships" r:id="rId2"/>
          <a:extLst>
            <a:ext uri="{FF2B5EF4-FFF2-40B4-BE49-F238E27FC236}">
              <a16:creationId xmlns:a16="http://schemas.microsoft.com/office/drawing/2014/main" id="{D955B4CE-2AE5-D069-1AF0-CD88E062634F}"/>
            </a:ext>
          </a:extLst>
        </xdr:cNvPr>
        <xdr:cNvSpPr/>
      </xdr:nvSpPr>
      <xdr:spPr bwMode="auto">
        <a:xfrm flipH="1">
          <a:off x="476250" y="323850"/>
          <a:ext cx="1347870"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3458</xdr:colOff>
      <xdr:row>4</xdr:row>
      <xdr:rowOff>156227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624B64B5-8B54-0BC9-519F-8627DC60EAE3}"/>
            </a:ext>
          </a:extLst>
        </xdr:cNvPr>
        <xdr:cNvSpPr/>
      </xdr:nvSpPr>
      <xdr:spPr bwMode="auto">
        <a:xfrm flipH="1">
          <a:off x="762000" y="161925"/>
          <a:ext cx="1271670" cy="6667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81913</xdr:colOff>
      <xdr:row>0</xdr:row>
      <xdr:rowOff>123350</xdr:rowOff>
    </xdr:from>
    <xdr:to>
      <xdr:col>0</xdr:col>
      <xdr:colOff>1442793</xdr:colOff>
      <xdr:row>4</xdr:row>
      <xdr:rowOff>150227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960B7831-084F-8323-B1FE-9070438B61A7}"/>
            </a:ext>
          </a:extLst>
        </xdr:cNvPr>
        <xdr:cNvSpPr/>
      </xdr:nvSpPr>
      <xdr:spPr bwMode="auto">
        <a:xfrm flipH="1">
          <a:off x="93343" y="129065"/>
          <a:ext cx="1349632"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59530</xdr:colOff>
      <xdr:row>1</xdr:row>
      <xdr:rowOff>0</xdr:rowOff>
    </xdr:from>
    <xdr:to>
      <xdr:col>0</xdr:col>
      <xdr:colOff>1413193</xdr:colOff>
      <xdr:row>4</xdr:row>
      <xdr:rowOff>162187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E0057712-D819-8C2B-DE7A-D85FB79950E7}"/>
            </a:ext>
          </a:extLst>
        </xdr:cNvPr>
        <xdr:cNvSpPr/>
      </xdr:nvSpPr>
      <xdr:spPr bwMode="auto">
        <a:xfrm flipH="1">
          <a:off x="59530" y="161925"/>
          <a:ext cx="1347870" cy="710752"/>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555270</xdr:colOff>
      <xdr:row>5</xdr:row>
      <xdr:rowOff>4245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F3C63BA-DCE8-F06B-4E41-0D95FB527120}"/>
            </a:ext>
          </a:extLst>
        </xdr:cNvPr>
        <xdr:cNvSpPr/>
      </xdr:nvSpPr>
      <xdr:spPr bwMode="auto">
        <a:xfrm flipH="1">
          <a:off x="1590675" y="161925"/>
          <a:ext cx="2405063"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Índice</a:t>
          </a:r>
          <a:r>
            <a:rPr lang="es-CL" sz="1200" b="1" baseline="0">
              <a:solidFill>
                <a:srgbClr val="FF0000"/>
              </a:solidFill>
            </a:rPr>
            <a:t> Tablas</a:t>
          </a:r>
        </a:p>
      </xdr:txBody>
    </xdr:sp>
    <xdr:clientData/>
  </xdr:twoCellAnchor>
  <xdr:twoCellAnchor>
    <xdr:from>
      <xdr:col>1</xdr:col>
      <xdr:colOff>0</xdr:colOff>
      <xdr:row>1</xdr:row>
      <xdr:rowOff>0</xdr:rowOff>
    </xdr:from>
    <xdr:to>
      <xdr:col>2</xdr:col>
      <xdr:colOff>543262</xdr:colOff>
      <xdr:row>5</xdr:row>
      <xdr:rowOff>7380</xdr:rowOff>
    </xdr:to>
    <xdr:sp macro="" textlink="">
      <xdr:nvSpPr>
        <xdr:cNvPr id="3" name="Flecha: a la derecha 1">
          <a:hlinkClick xmlns:r="http://schemas.openxmlformats.org/officeDocument/2006/relationships" r:id="rId2"/>
          <a:extLst>
            <a:ext uri="{FF2B5EF4-FFF2-40B4-BE49-F238E27FC236}">
              <a16:creationId xmlns:a16="http://schemas.microsoft.com/office/drawing/2014/main" id="{9AC7AEF1-59CF-5BAD-D4F0-623BC963DADE}"/>
            </a:ext>
          </a:extLst>
        </xdr:cNvPr>
        <xdr:cNvSpPr/>
      </xdr:nvSpPr>
      <xdr:spPr bwMode="auto">
        <a:xfrm flipH="1">
          <a:off x="1590675" y="161925"/>
          <a:ext cx="2398703" cy="710260"/>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Índice</a:t>
          </a:r>
          <a:r>
            <a:rPr lang="es-CL" sz="1200" b="1" baseline="0">
              <a:solidFill>
                <a:srgbClr val="FF0000"/>
              </a:solidFill>
            </a:rPr>
            <a:t> Tablas</a:t>
          </a:r>
        </a:p>
      </xdr:txBody>
    </xdr:sp>
    <xdr:clientData/>
  </xdr:twoCellAnchor>
  <xdr:twoCellAnchor>
    <xdr:from>
      <xdr:col>1</xdr:col>
      <xdr:colOff>0</xdr:colOff>
      <xdr:row>1</xdr:row>
      <xdr:rowOff>0</xdr:rowOff>
    </xdr:from>
    <xdr:to>
      <xdr:col>2</xdr:col>
      <xdr:colOff>555270</xdr:colOff>
      <xdr:row>5</xdr:row>
      <xdr:rowOff>4245</xdr:rowOff>
    </xdr:to>
    <xdr:sp macro="" textlink="">
      <xdr:nvSpPr>
        <xdr:cNvPr id="4" name="Flecha: a la derecha 1">
          <a:hlinkClick xmlns:r="http://schemas.openxmlformats.org/officeDocument/2006/relationships" r:id="rId1"/>
          <a:extLst>
            <a:ext uri="{FF2B5EF4-FFF2-40B4-BE49-F238E27FC236}">
              <a16:creationId xmlns:a16="http://schemas.microsoft.com/office/drawing/2014/main" id="{7658F526-5E5D-3679-184C-28A8E2E896C9}"/>
            </a:ext>
          </a:extLst>
        </xdr:cNvPr>
        <xdr:cNvSpPr/>
      </xdr:nvSpPr>
      <xdr:spPr bwMode="auto">
        <a:xfrm flipH="1">
          <a:off x="1590675" y="190500"/>
          <a:ext cx="2528888" cy="7715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Índice</a:t>
          </a:r>
          <a:r>
            <a:rPr lang="es-CL" sz="1200" b="1" baseline="0">
              <a:solidFill>
                <a:srgbClr val="FF0000"/>
              </a:solidFill>
            </a:rPr>
            <a:t> Tablas</a:t>
          </a:r>
        </a:p>
      </xdr:txBody>
    </xdr:sp>
    <xdr:clientData/>
  </xdr:twoCellAnchor>
  <xdr:twoCellAnchor>
    <xdr:from>
      <xdr:col>1</xdr:col>
      <xdr:colOff>0</xdr:colOff>
      <xdr:row>1</xdr:row>
      <xdr:rowOff>0</xdr:rowOff>
    </xdr:from>
    <xdr:to>
      <xdr:col>2</xdr:col>
      <xdr:colOff>543262</xdr:colOff>
      <xdr:row>5</xdr:row>
      <xdr:rowOff>7380</xdr:rowOff>
    </xdr:to>
    <xdr:sp macro="" textlink="">
      <xdr:nvSpPr>
        <xdr:cNvPr id="5" name="Flecha: a la derecha 1">
          <a:hlinkClick xmlns:r="http://schemas.openxmlformats.org/officeDocument/2006/relationships" r:id="rId2"/>
          <a:extLst>
            <a:ext uri="{FF2B5EF4-FFF2-40B4-BE49-F238E27FC236}">
              <a16:creationId xmlns:a16="http://schemas.microsoft.com/office/drawing/2014/main" id="{49543DFE-4CF8-0553-7F69-1979BDFBA980}"/>
            </a:ext>
          </a:extLst>
        </xdr:cNvPr>
        <xdr:cNvSpPr/>
      </xdr:nvSpPr>
      <xdr:spPr bwMode="auto">
        <a:xfrm flipH="1">
          <a:off x="1590675" y="190500"/>
          <a:ext cx="2522528" cy="786460"/>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2</xdr:col>
      <xdr:colOff>555270</xdr:colOff>
      <xdr:row>5</xdr:row>
      <xdr:rowOff>4245</xdr:rowOff>
    </xdr:to>
    <xdr:sp macro="" textlink="">
      <xdr:nvSpPr>
        <xdr:cNvPr id="6" name="Flecha: a la derecha 1">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bwMode="auto">
        <a:xfrm flipH="1">
          <a:off x="1419225" y="190500"/>
          <a:ext cx="2536470" cy="775770"/>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Índice</a:t>
          </a:r>
          <a:r>
            <a:rPr lang="es-CL" sz="1200" b="1" baseline="0">
              <a:solidFill>
                <a:srgbClr val="FF0000"/>
              </a:solidFill>
            </a:rPr>
            <a:t> Tablas</a:t>
          </a:r>
        </a:p>
      </xdr:txBody>
    </xdr:sp>
    <xdr:clientData/>
  </xdr:twoCellAnchor>
  <xdr:twoCellAnchor>
    <xdr:from>
      <xdr:col>1</xdr:col>
      <xdr:colOff>0</xdr:colOff>
      <xdr:row>1</xdr:row>
      <xdr:rowOff>0</xdr:rowOff>
    </xdr:from>
    <xdr:to>
      <xdr:col>2</xdr:col>
      <xdr:colOff>543262</xdr:colOff>
      <xdr:row>5</xdr:row>
      <xdr:rowOff>7380</xdr:rowOff>
    </xdr:to>
    <xdr:sp macro="" textlink="">
      <xdr:nvSpPr>
        <xdr:cNvPr id="7" name="Flecha: a la derecha 1">
          <a:hlinkClick xmlns:r="http://schemas.openxmlformats.org/officeDocument/2006/relationships" r:id="rId2"/>
          <a:extLst>
            <a:ext uri="{FF2B5EF4-FFF2-40B4-BE49-F238E27FC236}">
              <a16:creationId xmlns:a16="http://schemas.microsoft.com/office/drawing/2014/main" id="{00000000-0008-0000-0B00-000007000000}"/>
            </a:ext>
          </a:extLst>
        </xdr:cNvPr>
        <xdr:cNvSpPr/>
      </xdr:nvSpPr>
      <xdr:spPr bwMode="auto">
        <a:xfrm flipH="1">
          <a:off x="1419225" y="190500"/>
          <a:ext cx="2524462" cy="7789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Índice</a:t>
          </a:r>
          <a:r>
            <a:rPr lang="es-CL" sz="1200" b="1" baseline="0">
              <a:solidFill>
                <a:srgbClr val="FF0000"/>
              </a:solidFill>
            </a:rPr>
            <a:t> Tablas</a:t>
          </a:r>
        </a:p>
      </xdr:txBody>
    </xdr:sp>
    <xdr:clientData/>
  </xdr:twoCellAnchor>
  <xdr:twoCellAnchor>
    <xdr:from>
      <xdr:col>1</xdr:col>
      <xdr:colOff>0</xdr:colOff>
      <xdr:row>1</xdr:row>
      <xdr:rowOff>0</xdr:rowOff>
    </xdr:from>
    <xdr:to>
      <xdr:col>2</xdr:col>
      <xdr:colOff>555270</xdr:colOff>
      <xdr:row>5</xdr:row>
      <xdr:rowOff>4245</xdr:rowOff>
    </xdr:to>
    <xdr:sp macro="" textlink="">
      <xdr:nvSpPr>
        <xdr:cNvPr id="8" name="Flecha: a la derecha 1">
          <a:hlinkClick xmlns:r="http://schemas.openxmlformats.org/officeDocument/2006/relationships" r:id="rId1"/>
          <a:extLst>
            <a:ext uri="{FF2B5EF4-FFF2-40B4-BE49-F238E27FC236}">
              <a16:creationId xmlns:a16="http://schemas.microsoft.com/office/drawing/2014/main" id="{00000000-0008-0000-0B00-000008000000}"/>
            </a:ext>
          </a:extLst>
        </xdr:cNvPr>
        <xdr:cNvSpPr/>
      </xdr:nvSpPr>
      <xdr:spPr bwMode="auto">
        <a:xfrm flipH="1">
          <a:off x="1419225" y="190500"/>
          <a:ext cx="2536470" cy="775770"/>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Índice</a:t>
          </a:r>
          <a:r>
            <a:rPr lang="es-CL" sz="1200" b="1" baseline="0">
              <a:solidFill>
                <a:srgbClr val="FF0000"/>
              </a:solidFill>
            </a:rPr>
            <a:t> Tablas</a:t>
          </a:r>
        </a:p>
      </xdr:txBody>
    </xdr:sp>
    <xdr:clientData/>
  </xdr:twoCellAnchor>
  <xdr:twoCellAnchor>
    <xdr:from>
      <xdr:col>1</xdr:col>
      <xdr:colOff>0</xdr:colOff>
      <xdr:row>1</xdr:row>
      <xdr:rowOff>0</xdr:rowOff>
    </xdr:from>
    <xdr:to>
      <xdr:col>2</xdr:col>
      <xdr:colOff>543262</xdr:colOff>
      <xdr:row>5</xdr:row>
      <xdr:rowOff>7380</xdr:rowOff>
    </xdr:to>
    <xdr:sp macro="" textlink="">
      <xdr:nvSpPr>
        <xdr:cNvPr id="9" name="Flecha: a la derecha 1">
          <a:hlinkClick xmlns:r="http://schemas.openxmlformats.org/officeDocument/2006/relationships" r:id="rId2"/>
          <a:extLst>
            <a:ext uri="{FF2B5EF4-FFF2-40B4-BE49-F238E27FC236}">
              <a16:creationId xmlns:a16="http://schemas.microsoft.com/office/drawing/2014/main" id="{00000000-0008-0000-0B00-000009000000}"/>
            </a:ext>
          </a:extLst>
        </xdr:cNvPr>
        <xdr:cNvSpPr/>
      </xdr:nvSpPr>
      <xdr:spPr bwMode="auto">
        <a:xfrm flipH="1">
          <a:off x="1419225" y="190500"/>
          <a:ext cx="2524462" cy="7789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196187308/Desktop/Tablas%20Antiguas/5000%20BIENTALC%20Tarifa%20%202022%20A.%20RECREATI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2024\TARIFAS%202025\TARIFAS%202025%20A.%20EDUCACIONAL\3.%20PROPUESTA%20DIREBIEN%20TARIFAS%202025%20A.%20EDUCACIONAL\5000%20PROPUESTA%20DIREBIEN%20TARIFA%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80708076/AppData/Local/Microsoft/Windows/INetCache/Content.Outlook/GTZDQVAM/C%20Planilla%20Tarifas%20Recreacional%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3%20PUBLICO/300%20PUBLICO%20ASISTENCIAS/ASISTENCIA%20RECREATIVA/JOAQUIN%20RODRIGO/8000%20DELBIENWILL%20TARIFA%202022%20A.%20RECREATIV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
      <sheetName val="Índice Tablas "/>
      <sheetName val="A) Resumen Ingresos y Egresos"/>
      <sheetName val="B) Reajuste Tarifas y Ocupación"/>
      <sheetName val="C) Estimación Costos Directos"/>
      <sheetName val="D) Costos Indirectos "/>
      <sheetName val="E) Resumen Tarifado "/>
      <sheetName val="F) Remuneraciones"/>
      <sheetName val="G) Comparación Mercado"/>
      <sheetName val="I) Costo Desayuno"/>
      <sheetName val="H) Detalle Datos"/>
      <sheetName val="J) ESTRUCTURA ECONÓMICA MENS"/>
    </sheetNames>
    <sheetDataSet>
      <sheetData sheetId="0" refreshError="1"/>
      <sheetData sheetId="1" refreshError="1"/>
      <sheetData sheetId="2" refreshError="1">
        <row r="4">
          <cell r="E4" t="str">
            <v>BIENTALC</v>
          </cell>
          <cell r="F4">
            <v>0</v>
          </cell>
        </row>
      </sheetData>
      <sheetData sheetId="3" refreshError="1">
        <row r="5">
          <cell r="F5" t="str">
            <v>BIENTALC</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Índice Tablas"/>
      <sheetName val="A) Resumen Ingresos y Egresos"/>
      <sheetName val="B) Reajuste Tarifas y Ocupación"/>
      <sheetName val="C) Costos Directos"/>
      <sheetName val="D) Costos Indirectos"/>
      <sheetName val="E) Resumen Tarifado "/>
      <sheetName val="F) Remuneraciones"/>
      <sheetName val="G) Comparación Mercado"/>
      <sheetName val="H) Detalle Datos"/>
      <sheetName val="Proyección Mensual."/>
    </sheetNames>
    <sheetDataSet>
      <sheetData sheetId="0"/>
      <sheetData sheetId="1"/>
      <sheetData sheetId="2"/>
      <sheetData sheetId="3">
        <row r="5">
          <cell r="F5" t="str">
            <v>(DEPTO./DELEG.)</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Índice Tablas "/>
      <sheetName val="A) Resumen Ingresos y Egresos"/>
      <sheetName val="B) Reajuste Tarifas y Ocupación"/>
      <sheetName val="C) Estimación Costos Directos"/>
      <sheetName val="D) Costos Indirectos "/>
      <sheetName val="E) Resumen Tarifado "/>
      <sheetName val="F) Remuneraciones"/>
      <sheetName val="G) Comparación Mercado"/>
      <sheetName val="H) Detalle Datos"/>
      <sheetName val="Consumos Basicos"/>
      <sheetName val="TARIFAS 2020"/>
    </sheetNames>
    <sheetDataSet>
      <sheetData sheetId="0" refreshError="1"/>
      <sheetData sheetId="1" refreshError="1"/>
      <sheetData sheetId="2" refreshError="1"/>
      <sheetData sheetId="3" refreshError="1">
        <row r="5">
          <cell r="F5" t="str">
            <v>BIENTALC</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Índice Tablas "/>
      <sheetName val="A) Resumen Ingresos"/>
      <sheetName val="Resumen Ingresos y Egresos"/>
      <sheetName val="B) Reajuste Tarifas y Ocupación"/>
      <sheetName val="C) Estimación Costos Directos"/>
      <sheetName val="D) Costos Indirectos"/>
      <sheetName val="m"/>
      <sheetName val="E) Resumen Tarifado "/>
      <sheetName val="F) Remuneraciones"/>
      <sheetName val="G) Comparación Mercado"/>
      <sheetName val="H) Detalle Datos"/>
      <sheetName val="I) Costo Desayuno"/>
      <sheetName val="J) Estructura Económica Mensual"/>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7">
          <cell r="B37" t="str">
            <v>ENERO</v>
          </cell>
          <cell r="D37" t="str">
            <v>FEBRERO</v>
          </cell>
          <cell r="F37" t="str">
            <v>MARZO</v>
          </cell>
          <cell r="H37" t="str">
            <v>ABRIL</v>
          </cell>
          <cell r="J37" t="str">
            <v>MAYO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N135"/>
  <sheetViews>
    <sheetView topLeftCell="G53" zoomScale="104" zoomScaleNormal="68" workbookViewId="0">
      <selection activeCell="V83" sqref="V83"/>
    </sheetView>
  </sheetViews>
  <sheetFormatPr baseColWidth="10" defaultColWidth="11.453125" defaultRowHeight="14.5" x14ac:dyDescent="0.35"/>
  <cols>
    <col min="1" max="16384" width="11.453125" style="206"/>
  </cols>
  <sheetData>
    <row r="2" spans="13:14" x14ac:dyDescent="0.35">
      <c r="N2" s="206" t="s">
        <v>501</v>
      </c>
    </row>
    <row r="8" spans="13:14" x14ac:dyDescent="0.35">
      <c r="M8" s="877"/>
    </row>
    <row r="9" spans="13:14" x14ac:dyDescent="0.35">
      <c r="M9" s="877"/>
    </row>
    <row r="10" spans="13:14" x14ac:dyDescent="0.35">
      <c r="M10" s="877"/>
    </row>
    <row r="11" spans="13:14" x14ac:dyDescent="0.35">
      <c r="M11" s="877"/>
    </row>
    <row r="12" spans="13:14" x14ac:dyDescent="0.35">
      <c r="M12" s="877"/>
    </row>
    <row r="13" spans="13:14" x14ac:dyDescent="0.35">
      <c r="M13" s="877"/>
    </row>
    <row r="14" spans="13:14" x14ac:dyDescent="0.35">
      <c r="M14" s="877"/>
    </row>
    <row r="15" spans="13:14" x14ac:dyDescent="0.35">
      <c r="M15" s="877"/>
    </row>
    <row r="16" spans="13:14" x14ac:dyDescent="0.35">
      <c r="M16" s="877"/>
    </row>
    <row r="17" spans="13:13" x14ac:dyDescent="0.35">
      <c r="M17" s="877"/>
    </row>
    <row r="18" spans="13:13" x14ac:dyDescent="0.35">
      <c r="M18" s="877"/>
    </row>
    <row r="19" spans="13:13" x14ac:dyDescent="0.35">
      <c r="M19" s="877"/>
    </row>
    <row r="20" spans="13:13" x14ac:dyDescent="0.35">
      <c r="M20" s="877"/>
    </row>
    <row r="21" spans="13:13" x14ac:dyDescent="0.35">
      <c r="M21" s="877"/>
    </row>
    <row r="22" spans="13:13" x14ac:dyDescent="0.35">
      <c r="M22" s="877"/>
    </row>
    <row r="23" spans="13:13" x14ac:dyDescent="0.35">
      <c r="M23" s="877"/>
    </row>
    <row r="24" spans="13:13" x14ac:dyDescent="0.35">
      <c r="M24" s="877"/>
    </row>
    <row r="25" spans="13:13" x14ac:dyDescent="0.35">
      <c r="M25" s="877"/>
    </row>
    <row r="26" spans="13:13" x14ac:dyDescent="0.35">
      <c r="M26" s="877"/>
    </row>
    <row r="27" spans="13:13" x14ac:dyDescent="0.35">
      <c r="M27" s="877"/>
    </row>
    <row r="28" spans="13:13" x14ac:dyDescent="0.35">
      <c r="M28" s="877"/>
    </row>
    <row r="29" spans="13:13" x14ac:dyDescent="0.35">
      <c r="M29" s="877"/>
    </row>
    <row r="30" spans="13:13" x14ac:dyDescent="0.35">
      <c r="M30" s="877"/>
    </row>
    <row r="31" spans="13:13" x14ac:dyDescent="0.35">
      <c r="M31" s="877"/>
    </row>
    <row r="32" spans="13:13" x14ac:dyDescent="0.35">
      <c r="M32" s="877"/>
    </row>
    <row r="33" spans="13:13" x14ac:dyDescent="0.35">
      <c r="M33" s="877"/>
    </row>
    <row r="34" spans="13:13" x14ac:dyDescent="0.35">
      <c r="M34" s="877"/>
    </row>
    <row r="35" spans="13:13" x14ac:dyDescent="0.35">
      <c r="M35" s="877"/>
    </row>
    <row r="36" spans="13:13" x14ac:dyDescent="0.35">
      <c r="M36" s="877"/>
    </row>
    <row r="37" spans="13:13" x14ac:dyDescent="0.35">
      <c r="M37" s="877"/>
    </row>
    <row r="38" spans="13:13" x14ac:dyDescent="0.35">
      <c r="M38" s="877"/>
    </row>
    <row r="39" spans="13:13" x14ac:dyDescent="0.35">
      <c r="M39" s="877"/>
    </row>
    <row r="40" spans="13:13" x14ac:dyDescent="0.35">
      <c r="M40" s="877"/>
    </row>
    <row r="41" spans="13:13" x14ac:dyDescent="0.35">
      <c r="M41" s="877"/>
    </row>
    <row r="42" spans="13:13" x14ac:dyDescent="0.35">
      <c r="M42" s="877"/>
    </row>
    <row r="43" spans="13:13" x14ac:dyDescent="0.35">
      <c r="M43" s="877"/>
    </row>
    <row r="44" spans="13:13" x14ac:dyDescent="0.35">
      <c r="M44" s="877"/>
    </row>
    <row r="45" spans="13:13" x14ac:dyDescent="0.35">
      <c r="M45" s="877"/>
    </row>
    <row r="46" spans="13:13" x14ac:dyDescent="0.35">
      <c r="M46" s="877"/>
    </row>
    <row r="47" spans="13:13" x14ac:dyDescent="0.35">
      <c r="M47" s="877"/>
    </row>
    <row r="48" spans="13:13" s="914" customFormat="1" x14ac:dyDescent="0.35">
      <c r="M48" s="878"/>
    </row>
    <row r="49" spans="13:13" x14ac:dyDescent="0.35">
      <c r="M49" s="877"/>
    </row>
    <row r="50" spans="13:13" x14ac:dyDescent="0.35">
      <c r="M50" s="877"/>
    </row>
    <row r="51" spans="13:13" x14ac:dyDescent="0.35">
      <c r="M51" s="877"/>
    </row>
    <row r="52" spans="13:13" x14ac:dyDescent="0.35">
      <c r="M52" s="877"/>
    </row>
    <row r="53" spans="13:13" x14ac:dyDescent="0.35">
      <c r="M53" s="877"/>
    </row>
    <row r="54" spans="13:13" x14ac:dyDescent="0.35">
      <c r="M54" s="877"/>
    </row>
    <row r="55" spans="13:13" x14ac:dyDescent="0.35">
      <c r="M55" s="877"/>
    </row>
    <row r="56" spans="13:13" x14ac:dyDescent="0.35">
      <c r="M56" s="877"/>
    </row>
    <row r="57" spans="13:13" x14ac:dyDescent="0.35">
      <c r="M57" s="877"/>
    </row>
    <row r="58" spans="13:13" x14ac:dyDescent="0.35">
      <c r="M58" s="877"/>
    </row>
    <row r="59" spans="13:13" x14ac:dyDescent="0.35">
      <c r="M59" s="877"/>
    </row>
    <row r="60" spans="13:13" x14ac:dyDescent="0.35">
      <c r="M60" s="877"/>
    </row>
    <row r="61" spans="13:13" x14ac:dyDescent="0.35">
      <c r="M61" s="877"/>
    </row>
    <row r="62" spans="13:13" x14ac:dyDescent="0.35">
      <c r="M62" s="877"/>
    </row>
    <row r="63" spans="13:13" x14ac:dyDescent="0.35">
      <c r="M63" s="877"/>
    </row>
    <row r="64" spans="13:13" x14ac:dyDescent="0.35">
      <c r="M64" s="877"/>
    </row>
    <row r="65" spans="13:13" x14ac:dyDescent="0.35">
      <c r="M65" s="877"/>
    </row>
    <row r="66" spans="13:13" x14ac:dyDescent="0.35">
      <c r="M66" s="877"/>
    </row>
    <row r="67" spans="13:13" x14ac:dyDescent="0.35">
      <c r="M67" s="877"/>
    </row>
    <row r="68" spans="13:13" x14ac:dyDescent="0.35">
      <c r="M68" s="877"/>
    </row>
    <row r="69" spans="13:13" x14ac:dyDescent="0.35">
      <c r="M69" s="877"/>
    </row>
    <row r="70" spans="13:13" x14ac:dyDescent="0.35">
      <c r="M70" s="877"/>
    </row>
    <row r="71" spans="13:13" x14ac:dyDescent="0.35">
      <c r="M71" s="877"/>
    </row>
    <row r="72" spans="13:13" x14ac:dyDescent="0.35">
      <c r="M72" s="877"/>
    </row>
    <row r="73" spans="13:13" x14ac:dyDescent="0.35">
      <c r="M73" s="877"/>
    </row>
    <row r="74" spans="13:13" x14ac:dyDescent="0.35">
      <c r="M74" s="877"/>
    </row>
    <row r="75" spans="13:13" x14ac:dyDescent="0.35">
      <c r="M75" s="877"/>
    </row>
    <row r="76" spans="13:13" x14ac:dyDescent="0.35">
      <c r="M76" s="877"/>
    </row>
    <row r="77" spans="13:13" x14ac:dyDescent="0.35">
      <c r="M77" s="877"/>
    </row>
    <row r="78" spans="13:13" x14ac:dyDescent="0.35">
      <c r="M78" s="877"/>
    </row>
    <row r="79" spans="13:13" x14ac:dyDescent="0.35">
      <c r="M79" s="877"/>
    </row>
    <row r="80" spans="13:13" x14ac:dyDescent="0.35">
      <c r="M80" s="877"/>
    </row>
    <row r="81" spans="13:13" x14ac:dyDescent="0.35">
      <c r="M81" s="877"/>
    </row>
    <row r="82" spans="13:13" x14ac:dyDescent="0.35">
      <c r="M82" s="877"/>
    </row>
    <row r="83" spans="13:13" x14ac:dyDescent="0.35">
      <c r="M83" s="877"/>
    </row>
    <row r="84" spans="13:13" x14ac:dyDescent="0.35">
      <c r="M84" s="877"/>
    </row>
    <row r="85" spans="13:13" x14ac:dyDescent="0.35">
      <c r="M85" s="877"/>
    </row>
    <row r="86" spans="13:13" x14ac:dyDescent="0.35">
      <c r="M86" s="877"/>
    </row>
    <row r="87" spans="13:13" x14ac:dyDescent="0.35">
      <c r="M87" s="877"/>
    </row>
    <row r="88" spans="13:13" x14ac:dyDescent="0.35">
      <c r="M88" s="877"/>
    </row>
    <row r="89" spans="13:13" x14ac:dyDescent="0.35">
      <c r="M89" s="877"/>
    </row>
    <row r="90" spans="13:13" x14ac:dyDescent="0.35">
      <c r="M90" s="877"/>
    </row>
    <row r="91" spans="13:13" x14ac:dyDescent="0.35">
      <c r="M91" s="877"/>
    </row>
    <row r="92" spans="13:13" x14ac:dyDescent="0.35">
      <c r="M92" s="877"/>
    </row>
    <row r="93" spans="13:13" x14ac:dyDescent="0.35">
      <c r="M93" s="877"/>
    </row>
    <row r="94" spans="13:13" s="914" customFormat="1" x14ac:dyDescent="0.35">
      <c r="M94" s="878"/>
    </row>
    <row r="95" spans="13:13" x14ac:dyDescent="0.35">
      <c r="M95" s="877"/>
    </row>
    <row r="96" spans="13:13" x14ac:dyDescent="0.35">
      <c r="M96" s="877"/>
    </row>
    <row r="97" spans="13:13" x14ac:dyDescent="0.35">
      <c r="M97" s="877"/>
    </row>
    <row r="98" spans="13:13" x14ac:dyDescent="0.35">
      <c r="M98" s="877"/>
    </row>
    <row r="99" spans="13:13" x14ac:dyDescent="0.35">
      <c r="M99" s="877"/>
    </row>
    <row r="100" spans="13:13" x14ac:dyDescent="0.35">
      <c r="M100" s="877"/>
    </row>
    <row r="101" spans="13:13" x14ac:dyDescent="0.35">
      <c r="M101" s="877"/>
    </row>
    <row r="102" spans="13:13" x14ac:dyDescent="0.35">
      <c r="M102" s="877"/>
    </row>
    <row r="103" spans="13:13" x14ac:dyDescent="0.35">
      <c r="M103" s="877"/>
    </row>
    <row r="104" spans="13:13" x14ac:dyDescent="0.35">
      <c r="M104" s="877"/>
    </row>
    <row r="105" spans="13:13" x14ac:dyDescent="0.35">
      <c r="M105" s="877"/>
    </row>
    <row r="106" spans="13:13" x14ac:dyDescent="0.35">
      <c r="M106" s="877"/>
    </row>
    <row r="107" spans="13:13" x14ac:dyDescent="0.35">
      <c r="M107" s="877"/>
    </row>
    <row r="108" spans="13:13" x14ac:dyDescent="0.35">
      <c r="M108" s="877"/>
    </row>
    <row r="109" spans="13:13" x14ac:dyDescent="0.35">
      <c r="M109" s="877"/>
    </row>
    <row r="110" spans="13:13" x14ac:dyDescent="0.35">
      <c r="M110" s="877"/>
    </row>
    <row r="111" spans="13:13" x14ac:dyDescent="0.35">
      <c r="M111" s="877"/>
    </row>
    <row r="112" spans="13:13" x14ac:dyDescent="0.35">
      <c r="M112" s="877"/>
    </row>
    <row r="113" spans="13:13" x14ac:dyDescent="0.35">
      <c r="M113" s="877"/>
    </row>
    <row r="114" spans="13:13" x14ac:dyDescent="0.35">
      <c r="M114" s="877"/>
    </row>
    <row r="115" spans="13:13" x14ac:dyDescent="0.35">
      <c r="M115" s="877"/>
    </row>
    <row r="116" spans="13:13" x14ac:dyDescent="0.35">
      <c r="M116" s="877"/>
    </row>
    <row r="117" spans="13:13" x14ac:dyDescent="0.35">
      <c r="M117" s="877"/>
    </row>
    <row r="118" spans="13:13" x14ac:dyDescent="0.35">
      <c r="M118" s="877"/>
    </row>
    <row r="119" spans="13:13" x14ac:dyDescent="0.35">
      <c r="M119" s="877"/>
    </row>
    <row r="120" spans="13:13" x14ac:dyDescent="0.35">
      <c r="M120" s="877"/>
    </row>
    <row r="121" spans="13:13" x14ac:dyDescent="0.35">
      <c r="M121" s="877"/>
    </row>
    <row r="122" spans="13:13" x14ac:dyDescent="0.35">
      <c r="M122" s="877"/>
    </row>
    <row r="123" spans="13:13" x14ac:dyDescent="0.35">
      <c r="M123" s="877"/>
    </row>
    <row r="124" spans="13:13" x14ac:dyDescent="0.35">
      <c r="M124" s="877"/>
    </row>
    <row r="125" spans="13:13" x14ac:dyDescent="0.35">
      <c r="M125" s="877"/>
    </row>
    <row r="126" spans="13:13" x14ac:dyDescent="0.35">
      <c r="M126" s="877"/>
    </row>
    <row r="127" spans="13:13" x14ac:dyDescent="0.35">
      <c r="M127" s="877"/>
    </row>
    <row r="128" spans="13:13" x14ac:dyDescent="0.35">
      <c r="M128" s="877"/>
    </row>
    <row r="129" spans="13:13" x14ac:dyDescent="0.35">
      <c r="M129" s="877"/>
    </row>
    <row r="130" spans="13:13" x14ac:dyDescent="0.35">
      <c r="M130" s="877"/>
    </row>
    <row r="131" spans="13:13" x14ac:dyDescent="0.35">
      <c r="M131" s="877"/>
    </row>
    <row r="132" spans="13:13" x14ac:dyDescent="0.35">
      <c r="M132" s="877"/>
    </row>
    <row r="133" spans="13:13" x14ac:dyDescent="0.35">
      <c r="M133" s="877"/>
    </row>
    <row r="134" spans="13:13" x14ac:dyDescent="0.35">
      <c r="M134" s="877"/>
    </row>
    <row r="135" spans="13:13" x14ac:dyDescent="0.35">
      <c r="M135" s="877"/>
    </row>
  </sheetData>
  <pageMargins left="0.70866141732283472" right="0.70866141732283472" top="0.35433070866141736" bottom="0.55118110236220474"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sheetPr>
  <dimension ref="A1:R46"/>
  <sheetViews>
    <sheetView topLeftCell="A5" zoomScale="71" zoomScaleNormal="71" workbookViewId="0">
      <selection activeCell="K10" sqref="K10"/>
    </sheetView>
  </sheetViews>
  <sheetFormatPr baseColWidth="10" defaultRowHeight="14.5" x14ac:dyDescent="0.35"/>
  <cols>
    <col min="1" max="1" width="28" style="5" customWidth="1"/>
    <col min="2" max="2" width="53.453125" style="5" bestFit="1" customWidth="1"/>
    <col min="3" max="3" width="14.1796875" style="5" customWidth="1"/>
    <col min="4" max="4" width="14.1796875" style="5" bestFit="1" customWidth="1"/>
    <col min="5" max="18" width="14.1796875" style="5" customWidth="1"/>
  </cols>
  <sheetData>
    <row r="1" spans="1:18" x14ac:dyDescent="0.35">
      <c r="A1" s="2"/>
      <c r="B1" s="1"/>
      <c r="C1" s="2"/>
      <c r="D1" s="2"/>
      <c r="E1" s="2"/>
      <c r="F1" s="3"/>
      <c r="G1" s="2"/>
      <c r="H1" s="2"/>
      <c r="I1" s="2"/>
      <c r="J1" s="2"/>
      <c r="K1" s="2"/>
      <c r="L1" s="2"/>
      <c r="M1" s="2"/>
      <c r="N1" s="2"/>
      <c r="O1" s="2"/>
      <c r="P1" s="2"/>
      <c r="Q1" s="2"/>
      <c r="R1" s="2"/>
    </row>
    <row r="2" spans="1:18" x14ac:dyDescent="0.35">
      <c r="A2" s="2"/>
      <c r="B2" s="4"/>
      <c r="C2" s="2"/>
      <c r="D2" s="2"/>
      <c r="E2" s="2"/>
      <c r="F2" s="3" t="s">
        <v>195</v>
      </c>
      <c r="G2" s="2"/>
      <c r="H2" s="2"/>
      <c r="I2" s="2"/>
      <c r="J2" s="2"/>
      <c r="K2" s="2"/>
      <c r="L2" s="142"/>
      <c r="M2" s="2"/>
      <c r="N2" s="2"/>
      <c r="O2" s="2"/>
      <c r="P2" s="2"/>
      <c r="Q2" s="2"/>
      <c r="R2" s="2"/>
    </row>
    <row r="3" spans="1:18" x14ac:dyDescent="0.35">
      <c r="A3" s="2"/>
      <c r="C3" s="2"/>
      <c r="D3" s="2"/>
      <c r="E3" s="2"/>
      <c r="F3" s="2"/>
      <c r="G3" s="2"/>
      <c r="H3" s="2"/>
      <c r="I3" s="2"/>
      <c r="J3" s="2"/>
      <c r="K3" s="2"/>
      <c r="L3" s="2"/>
      <c r="M3" s="143"/>
      <c r="N3" s="2"/>
      <c r="O3" s="2"/>
      <c r="P3" s="2"/>
      <c r="Q3" s="2"/>
      <c r="R3" s="2"/>
    </row>
    <row r="4" spans="1:18" ht="15.5" x14ac:dyDescent="0.35">
      <c r="A4" s="2"/>
      <c r="C4" s="8"/>
      <c r="D4" s="2"/>
      <c r="E4" s="8" t="s">
        <v>1</v>
      </c>
      <c r="F4" s="1447" t="str">
        <f>+'[1]B) Reajuste Tarifas y Ocupación'!F5</f>
        <v>BIENTALC</v>
      </c>
      <c r="G4" s="1448"/>
      <c r="H4" s="8"/>
      <c r="I4" s="8"/>
      <c r="J4" s="8"/>
      <c r="K4" s="8"/>
      <c r="L4" s="8"/>
      <c r="M4" s="8"/>
      <c r="N4" s="8"/>
      <c r="O4" s="8"/>
      <c r="P4" s="8"/>
      <c r="Q4" s="8"/>
      <c r="R4" s="8"/>
    </row>
    <row r="5" spans="1:18" x14ac:dyDescent="0.35">
      <c r="A5" s="2"/>
      <c r="C5" s="8"/>
      <c r="D5" s="2"/>
      <c r="E5" s="8"/>
      <c r="F5" s="3"/>
      <c r="G5" s="3"/>
      <c r="H5" s="8"/>
      <c r="I5" s="8"/>
      <c r="J5" s="8"/>
      <c r="K5" s="8"/>
      <c r="L5" s="8"/>
      <c r="M5" s="8"/>
      <c r="N5" s="8"/>
      <c r="O5" s="8"/>
      <c r="P5" s="8"/>
      <c r="Q5" s="8"/>
      <c r="R5" s="8"/>
    </row>
    <row r="6" spans="1:18" x14ac:dyDescent="0.35">
      <c r="A6" s="1449" t="s">
        <v>196</v>
      </c>
      <c r="B6" s="1449"/>
      <c r="C6" s="8"/>
      <c r="D6" s="2"/>
      <c r="E6" s="8"/>
      <c r="F6" s="3"/>
      <c r="G6" s="3"/>
      <c r="H6" s="8"/>
      <c r="I6" s="8"/>
      <c r="J6" s="8"/>
      <c r="K6" s="8"/>
      <c r="L6" s="8"/>
      <c r="M6" s="8"/>
      <c r="N6" s="8"/>
      <c r="O6" s="8"/>
      <c r="P6" s="8"/>
      <c r="Q6" s="8"/>
      <c r="R6" s="8"/>
    </row>
    <row r="7" spans="1:18" ht="15" thickBot="1" x14ac:dyDescent="0.4">
      <c r="A7" s="2"/>
      <c r="B7" s="3"/>
      <c r="C7" s="3"/>
      <c r="D7" s="3"/>
      <c r="E7" s="3"/>
      <c r="F7" s="3"/>
      <c r="G7" s="3"/>
      <c r="H7" s="3"/>
      <c r="I7" s="3"/>
      <c r="J7" s="3"/>
      <c r="K7" s="3"/>
      <c r="L7" s="3"/>
      <c r="M7" s="3"/>
      <c r="N7" s="3"/>
      <c r="O7" s="3"/>
      <c r="P7" s="8"/>
      <c r="Q7" s="8"/>
      <c r="R7" s="3"/>
    </row>
    <row r="8" spans="1:18" ht="15.5" x14ac:dyDescent="0.35">
      <c r="A8" s="1450" t="s">
        <v>3</v>
      </c>
      <c r="B8" s="1452" t="s">
        <v>26</v>
      </c>
      <c r="C8" s="1454" t="s">
        <v>492</v>
      </c>
      <c r="D8" s="1455"/>
      <c r="E8" s="1455"/>
      <c r="F8" s="1456"/>
      <c r="G8" s="1457" t="s">
        <v>491</v>
      </c>
      <c r="H8" s="1458"/>
      <c r="I8" s="1458"/>
      <c r="J8" s="1459"/>
      <c r="K8" s="1457" t="s">
        <v>197</v>
      </c>
      <c r="L8" s="1458"/>
      <c r="M8" s="1458"/>
      <c r="N8" s="1459"/>
      <c r="O8" s="1457" t="s">
        <v>198</v>
      </c>
      <c r="P8" s="1458"/>
      <c r="Q8" s="1458"/>
      <c r="R8" s="1459"/>
    </row>
    <row r="9" spans="1:18" ht="15" thickBot="1" x14ac:dyDescent="0.4">
      <c r="A9" s="1451" t="e">
        <f>NA()</f>
        <v>#N/A</v>
      </c>
      <c r="B9" s="1453" t="e">
        <f>NA()</f>
        <v>#N/A</v>
      </c>
      <c r="C9" s="545" t="s">
        <v>30</v>
      </c>
      <c r="D9" s="546" t="s">
        <v>199</v>
      </c>
      <c r="E9" s="546" t="s">
        <v>200</v>
      </c>
      <c r="F9" s="547" t="s">
        <v>201</v>
      </c>
      <c r="G9" s="147" t="s">
        <v>30</v>
      </c>
      <c r="H9" s="148" t="s">
        <v>199</v>
      </c>
      <c r="I9" s="148" t="s">
        <v>200</v>
      </c>
      <c r="J9" s="149" t="s">
        <v>201</v>
      </c>
      <c r="K9" s="147" t="s">
        <v>30</v>
      </c>
      <c r="L9" s="148" t="s">
        <v>199</v>
      </c>
      <c r="M9" s="148" t="s">
        <v>200</v>
      </c>
      <c r="N9" s="149" t="s">
        <v>201</v>
      </c>
      <c r="O9" s="147" t="s">
        <v>30</v>
      </c>
      <c r="P9" s="148" t="s">
        <v>199</v>
      </c>
      <c r="Q9" s="148" t="s">
        <v>200</v>
      </c>
      <c r="R9" s="149" t="s">
        <v>201</v>
      </c>
    </row>
    <row r="10" spans="1:18" x14ac:dyDescent="0.35">
      <c r="A10" s="1461" t="str">
        <f>+'B) Reajuste Tarifas y Ocupación'!A12</f>
        <v>C. H. Carlos Condell</v>
      </c>
      <c r="B10" s="217" t="str">
        <f>+'B) Reajuste Tarifas y Ocupación'!B12</f>
        <v>Superior</v>
      </c>
      <c r="C10" s="548">
        <f>+'B) Reajuste Tarifas y Ocupación'!J12</f>
        <v>42600</v>
      </c>
      <c r="D10" s="549">
        <f>+'B) Reajuste Tarifas y Ocupación'!K12</f>
        <v>65500</v>
      </c>
      <c r="E10" s="549">
        <f>+'B) Reajuste Tarifas y Ocupación'!L12</f>
        <v>81700</v>
      </c>
      <c r="F10" s="550">
        <f>+'B) Reajuste Tarifas y Ocupación'!M12</f>
        <v>85300</v>
      </c>
      <c r="G10" s="153">
        <f>+'B) Reajuste Tarifas y Ocupación'!C12</f>
        <v>40700</v>
      </c>
      <c r="H10" s="154">
        <f>+'B) Reajuste Tarifas y Ocupación'!D12</f>
        <v>62600</v>
      </c>
      <c r="I10" s="154">
        <f>+'B) Reajuste Tarifas y Ocupación'!E12</f>
        <v>78100</v>
      </c>
      <c r="J10" s="155">
        <f>+'B) Reajuste Tarifas y Ocupación'!F12</f>
        <v>81600</v>
      </c>
      <c r="K10" s="359">
        <f>C10-G10</f>
        <v>1900</v>
      </c>
      <c r="L10" s="157">
        <f>D10-H10</f>
        <v>2900</v>
      </c>
      <c r="M10" s="157">
        <f>E10-I10</f>
        <v>3600</v>
      </c>
      <c r="N10" s="158">
        <f>F10-J10</f>
        <v>3700</v>
      </c>
      <c r="O10" s="159">
        <f>+P10</f>
        <v>4.4999999999999998E-2</v>
      </c>
      <c r="P10" s="160">
        <f>+'B) Reajuste Tarifas y Ocupación'!G12</f>
        <v>4.4999999999999998E-2</v>
      </c>
      <c r="Q10" s="160">
        <f>+'B) Reajuste Tarifas y Ocupación'!H12</f>
        <v>4.4999999999999998E-2</v>
      </c>
      <c r="R10" s="370">
        <f>+'B) Reajuste Tarifas y Ocupación'!I12</f>
        <v>4.4999999999999998E-2</v>
      </c>
    </row>
    <row r="11" spans="1:18" x14ac:dyDescent="0.35">
      <c r="A11" s="1460"/>
      <c r="B11" s="353" t="str">
        <f>+'B) Reajuste Tarifas y Ocupación'!B13</f>
        <v>Simple</v>
      </c>
      <c r="C11" s="551">
        <f>+'B) Reajuste Tarifas y Ocupación'!J13</f>
        <v>30600</v>
      </c>
      <c r="D11" s="552">
        <f>+'B) Reajuste Tarifas y Ocupación'!K13</f>
        <v>47000</v>
      </c>
      <c r="E11" s="552">
        <f>+'B) Reajuste Tarifas y Ocupación'!L13</f>
        <v>58500</v>
      </c>
      <c r="F11" s="553">
        <f>+'B) Reajuste Tarifas y Ocupación'!M13</f>
        <v>61200</v>
      </c>
      <c r="G11" s="162">
        <f>+'B) Reajuste Tarifas y Ocupación'!C13</f>
        <v>29200</v>
      </c>
      <c r="H11" s="364">
        <f>+'B) Reajuste Tarifas y Ocupación'!D13</f>
        <v>44900</v>
      </c>
      <c r="I11" s="364">
        <f>+'B) Reajuste Tarifas y Ocupación'!E13</f>
        <v>55900</v>
      </c>
      <c r="J11" s="366">
        <f>+'B) Reajuste Tarifas y Ocupación'!F13</f>
        <v>58500</v>
      </c>
      <c r="K11" s="360">
        <f t="shared" ref="K11:N46" si="0">C11-G11</f>
        <v>1400</v>
      </c>
      <c r="L11" s="164">
        <f t="shared" si="0"/>
        <v>2100</v>
      </c>
      <c r="M11" s="164">
        <f t="shared" si="0"/>
        <v>2600</v>
      </c>
      <c r="N11" s="165">
        <f t="shared" si="0"/>
        <v>2700</v>
      </c>
      <c r="O11" s="166">
        <f>+P11</f>
        <v>4.4999999999999998E-2</v>
      </c>
      <c r="P11" s="368">
        <f>+'B) Reajuste Tarifas y Ocupación'!G13</f>
        <v>4.4999999999999998E-2</v>
      </c>
      <c r="Q11" s="368">
        <f>+'B) Reajuste Tarifas y Ocupación'!H13</f>
        <v>4.4999999999999998E-2</v>
      </c>
      <c r="R11" s="371">
        <f>+'B) Reajuste Tarifas y Ocupación'!I13</f>
        <v>4.4999999999999998E-2</v>
      </c>
    </row>
    <row r="12" spans="1:18" x14ac:dyDescent="0.35">
      <c r="A12" s="1460"/>
      <c r="B12" s="353" t="str">
        <f>+'B) Reajuste Tarifas y Ocupación'!B14</f>
        <v>Doble</v>
      </c>
      <c r="C12" s="551">
        <f>+'B) Reajuste Tarifas y Ocupación'!J14</f>
        <v>33400</v>
      </c>
      <c r="D12" s="552">
        <f>+'B) Reajuste Tarifas y Ocupación'!K14</f>
        <v>51300</v>
      </c>
      <c r="E12" s="552">
        <f>+'B) Reajuste Tarifas y Ocupación'!L14</f>
        <v>63800</v>
      </c>
      <c r="F12" s="553">
        <f>+'B) Reajuste Tarifas y Ocupación'!M14</f>
        <v>66700</v>
      </c>
      <c r="G12" s="162">
        <f>+'B) Reajuste Tarifas y Ocupación'!C14</f>
        <v>31900</v>
      </c>
      <c r="H12" s="364">
        <f>+'B) Reajuste Tarifas y Ocupación'!D14</f>
        <v>49000</v>
      </c>
      <c r="I12" s="364">
        <f>+'B) Reajuste Tarifas y Ocupación'!E14</f>
        <v>61000</v>
      </c>
      <c r="J12" s="366">
        <f>+'B) Reajuste Tarifas y Ocupación'!F14</f>
        <v>63800</v>
      </c>
      <c r="K12" s="360">
        <f t="shared" si="0"/>
        <v>1500</v>
      </c>
      <c r="L12" s="164">
        <f t="shared" si="0"/>
        <v>2300</v>
      </c>
      <c r="M12" s="164">
        <f t="shared" si="0"/>
        <v>2800</v>
      </c>
      <c r="N12" s="165">
        <f t="shared" si="0"/>
        <v>2900</v>
      </c>
      <c r="O12" s="166">
        <f>+P12</f>
        <v>4.4999999999999998E-2</v>
      </c>
      <c r="P12" s="368">
        <f>+'B) Reajuste Tarifas y Ocupación'!G14</f>
        <v>4.4999999999999998E-2</v>
      </c>
      <c r="Q12" s="368">
        <f>+'B) Reajuste Tarifas y Ocupación'!H14</f>
        <v>4.4999999999999998E-2</v>
      </c>
      <c r="R12" s="371">
        <f>+'B) Reajuste Tarifas y Ocupación'!I14</f>
        <v>4.4999999999999998E-2</v>
      </c>
    </row>
    <row r="13" spans="1:18" x14ac:dyDescent="0.35">
      <c r="A13" s="1460"/>
      <c r="B13" s="353" t="str">
        <f>+'B) Reajuste Tarifas y Ocupación'!B15</f>
        <v>Matrimonial</v>
      </c>
      <c r="C13" s="551">
        <f>+'B) Reajuste Tarifas y Ocupación'!J15</f>
        <v>33400</v>
      </c>
      <c r="D13" s="552">
        <f>+'B) Reajuste Tarifas y Ocupación'!K15</f>
        <v>51300</v>
      </c>
      <c r="E13" s="552">
        <f>+'B) Reajuste Tarifas y Ocupación'!L15</f>
        <v>63800</v>
      </c>
      <c r="F13" s="553">
        <f>+'B) Reajuste Tarifas y Ocupación'!M15</f>
        <v>66700</v>
      </c>
      <c r="G13" s="162">
        <f>+'B) Reajuste Tarifas y Ocupación'!C15</f>
        <v>31900</v>
      </c>
      <c r="H13" s="364">
        <f>+'B) Reajuste Tarifas y Ocupación'!D15</f>
        <v>49000</v>
      </c>
      <c r="I13" s="364">
        <f>+'B) Reajuste Tarifas y Ocupación'!E15</f>
        <v>61000</v>
      </c>
      <c r="J13" s="366">
        <f>+'B) Reajuste Tarifas y Ocupación'!F15</f>
        <v>63800</v>
      </c>
      <c r="K13" s="360">
        <f t="shared" si="0"/>
        <v>1500</v>
      </c>
      <c r="L13" s="164">
        <f t="shared" si="0"/>
        <v>2300</v>
      </c>
      <c r="M13" s="164">
        <f t="shared" si="0"/>
        <v>2800</v>
      </c>
      <c r="N13" s="165">
        <f t="shared" si="0"/>
        <v>2900</v>
      </c>
      <c r="O13" s="166">
        <f>+P13</f>
        <v>4.4999999999999998E-2</v>
      </c>
      <c r="P13" s="368">
        <f>+'B) Reajuste Tarifas y Ocupación'!G15</f>
        <v>4.4999999999999998E-2</v>
      </c>
      <c r="Q13" s="368">
        <f>+'B) Reajuste Tarifas y Ocupación'!H15</f>
        <v>4.4999999999999998E-2</v>
      </c>
      <c r="R13" s="371">
        <f>+'B) Reajuste Tarifas y Ocupación'!I15</f>
        <v>4.4999999999999998E-2</v>
      </c>
    </row>
    <row r="14" spans="1:18" x14ac:dyDescent="0.35">
      <c r="A14" s="1460"/>
      <c r="B14" s="226" t="str">
        <f>+'B) Reajuste Tarifas y Ocupación'!B16</f>
        <v xml:space="preserve">Uso en transito/Early check in/Late Check out </v>
      </c>
      <c r="C14" s="551"/>
      <c r="D14" s="552"/>
      <c r="E14" s="552"/>
      <c r="F14" s="553"/>
      <c r="G14" s="170"/>
      <c r="H14" s="365"/>
      <c r="I14" s="365"/>
      <c r="J14" s="367"/>
      <c r="K14" s="361"/>
      <c r="L14" s="172"/>
      <c r="M14" s="172"/>
      <c r="N14" s="173"/>
      <c r="O14" s="174"/>
      <c r="P14" s="369"/>
      <c r="Q14" s="369"/>
      <c r="R14" s="372"/>
    </row>
    <row r="15" spans="1:18" x14ac:dyDescent="0.35">
      <c r="A15" s="1460"/>
      <c r="B15" s="354" t="str">
        <f>+'B) Reajuste Tarifas y Ocupación'!B17</f>
        <v>Superior</v>
      </c>
      <c r="C15" s="551"/>
      <c r="D15" s="552">
        <f>+'B) Reajuste Tarifas y Ocupación'!K17</f>
        <v>19700</v>
      </c>
      <c r="E15" s="552">
        <f>+'B) Reajuste Tarifas y Ocupación'!L17</f>
        <v>24600</v>
      </c>
      <c r="F15" s="553">
        <f>+'B) Reajuste Tarifas y Ocupación'!M17</f>
        <v>25600</v>
      </c>
      <c r="G15" s="170"/>
      <c r="H15" s="364">
        <f>+'B) Reajuste Tarifas y Ocupación'!D17</f>
        <v>18800</v>
      </c>
      <c r="I15" s="364">
        <f>+'B) Reajuste Tarifas y Ocupación'!E17</f>
        <v>23500</v>
      </c>
      <c r="J15" s="366">
        <f>+'B) Reajuste Tarifas y Ocupación'!F17</f>
        <v>24500</v>
      </c>
      <c r="K15" s="361"/>
      <c r="L15" s="164">
        <f t="shared" si="0"/>
        <v>900</v>
      </c>
      <c r="M15" s="164">
        <f t="shared" si="0"/>
        <v>1100</v>
      </c>
      <c r="N15" s="165">
        <f t="shared" si="0"/>
        <v>1100</v>
      </c>
      <c r="O15" s="174"/>
      <c r="P15" s="369"/>
      <c r="Q15" s="369"/>
      <c r="R15" s="372"/>
    </row>
    <row r="16" spans="1:18" x14ac:dyDescent="0.35">
      <c r="A16" s="1460"/>
      <c r="B16" s="354" t="str">
        <f>+'B) Reajuste Tarifas y Ocupación'!B18</f>
        <v>Simple</v>
      </c>
      <c r="C16" s="551"/>
      <c r="D16" s="552">
        <f>+'B) Reajuste Tarifas y Ocupación'!K18</f>
        <v>14100</v>
      </c>
      <c r="E16" s="552">
        <f>+'B) Reajuste Tarifas y Ocupación'!L18</f>
        <v>17600</v>
      </c>
      <c r="F16" s="553">
        <f>+'B) Reajuste Tarifas y Ocupación'!M18</f>
        <v>18400</v>
      </c>
      <c r="G16" s="170"/>
      <c r="H16" s="364">
        <f>+'B) Reajuste Tarifas y Ocupación'!D18</f>
        <v>13500</v>
      </c>
      <c r="I16" s="364">
        <f>+'B) Reajuste Tarifas y Ocupación'!E18</f>
        <v>16800</v>
      </c>
      <c r="J16" s="366">
        <f>+'B) Reajuste Tarifas y Ocupación'!F18</f>
        <v>17600</v>
      </c>
      <c r="K16" s="361"/>
      <c r="L16" s="164">
        <f t="shared" si="0"/>
        <v>600</v>
      </c>
      <c r="M16" s="164">
        <f t="shared" si="0"/>
        <v>800</v>
      </c>
      <c r="N16" s="165">
        <f t="shared" si="0"/>
        <v>800</v>
      </c>
      <c r="O16" s="174"/>
      <c r="P16" s="369"/>
      <c r="Q16" s="369"/>
      <c r="R16" s="372"/>
    </row>
    <row r="17" spans="1:18" x14ac:dyDescent="0.35">
      <c r="A17" s="1460"/>
      <c r="B17" s="354" t="str">
        <f>+'B) Reajuste Tarifas y Ocupación'!B19</f>
        <v>Doble</v>
      </c>
      <c r="C17" s="551"/>
      <c r="D17" s="552">
        <f>+'B) Reajuste Tarifas y Ocupación'!K19</f>
        <v>15400</v>
      </c>
      <c r="E17" s="552">
        <f>+'B) Reajuste Tarifas y Ocupación'!L19</f>
        <v>19200</v>
      </c>
      <c r="F17" s="553">
        <f>+'B) Reajuste Tarifas y Ocupación'!M19</f>
        <v>20100</v>
      </c>
      <c r="G17" s="170"/>
      <c r="H17" s="364">
        <f>+'B) Reajuste Tarifas y Ocupación'!D19</f>
        <v>14700</v>
      </c>
      <c r="I17" s="364">
        <f>+'B) Reajuste Tarifas y Ocupación'!E19</f>
        <v>18300</v>
      </c>
      <c r="J17" s="366">
        <f>+'B) Reajuste Tarifas y Ocupación'!F19</f>
        <v>19200</v>
      </c>
      <c r="K17" s="361"/>
      <c r="L17" s="164">
        <f t="shared" si="0"/>
        <v>700</v>
      </c>
      <c r="M17" s="164">
        <f t="shared" si="0"/>
        <v>900</v>
      </c>
      <c r="N17" s="165">
        <f t="shared" si="0"/>
        <v>900</v>
      </c>
      <c r="O17" s="174"/>
      <c r="P17" s="369"/>
      <c r="Q17" s="369"/>
      <c r="R17" s="372"/>
    </row>
    <row r="18" spans="1:18" ht="15" thickBot="1" x14ac:dyDescent="0.4">
      <c r="A18" s="1460"/>
      <c r="B18" s="349" t="str">
        <f>+'B) Reajuste Tarifas y Ocupación'!B20</f>
        <v>Matrimonial</v>
      </c>
      <c r="C18" s="561"/>
      <c r="D18" s="562">
        <f>+'B) Reajuste Tarifas y Ocupación'!K20</f>
        <v>15400</v>
      </c>
      <c r="E18" s="562">
        <f>+'B) Reajuste Tarifas y Ocupación'!L20</f>
        <v>19200</v>
      </c>
      <c r="F18" s="869">
        <f>+'B) Reajuste Tarifas y Ocupación'!M20</f>
        <v>20100</v>
      </c>
      <c r="G18" s="191"/>
      <c r="H18" s="192">
        <f>+'B) Reajuste Tarifas y Ocupación'!D20</f>
        <v>14700</v>
      </c>
      <c r="I18" s="192">
        <f>+'B) Reajuste Tarifas y Ocupación'!E20</f>
        <v>18300</v>
      </c>
      <c r="J18" s="193">
        <f>+'B) Reajuste Tarifas y Ocupación'!F20</f>
        <v>19200</v>
      </c>
      <c r="K18" s="870"/>
      <c r="L18" s="195">
        <f t="shared" si="0"/>
        <v>700</v>
      </c>
      <c r="M18" s="195">
        <f t="shared" si="0"/>
        <v>900</v>
      </c>
      <c r="N18" s="196">
        <f t="shared" si="0"/>
        <v>900</v>
      </c>
      <c r="O18" s="399"/>
      <c r="P18" s="400"/>
      <c r="Q18" s="400"/>
      <c r="R18" s="401"/>
    </row>
    <row r="19" spans="1:18" ht="15" customHeight="1" x14ac:dyDescent="0.35">
      <c r="A19" s="1465" t="str">
        <f>+'B) Reajuste Tarifas y Ocupación'!A21</f>
        <v>Centro Termal Liquiñe</v>
      </c>
      <c r="B19" s="346" t="str">
        <f>+'B) Reajuste Tarifas y Ocupación'!B21</f>
        <v>Pensión completa adulto</v>
      </c>
      <c r="C19" s="872">
        <f>+'B) Reajuste Tarifas y Ocupación'!J21</f>
        <v>46700</v>
      </c>
      <c r="D19" s="549">
        <f>+'B) Reajuste Tarifas y Ocupación'!K21</f>
        <v>71700</v>
      </c>
      <c r="E19" s="549">
        <f>+'B) Reajuste Tarifas y Ocupación'!L21</f>
        <v>93900</v>
      </c>
      <c r="F19" s="550">
        <f>+'B) Reajuste Tarifas y Ocupación'!M21</f>
        <v>98200</v>
      </c>
      <c r="G19" s="153">
        <f>+'B) Reajuste Tarifas y Ocupación'!C21</f>
        <v>44600</v>
      </c>
      <c r="H19" s="154">
        <f>+'B) Reajuste Tarifas y Ocupación'!D21</f>
        <v>68600</v>
      </c>
      <c r="I19" s="154">
        <f>+'B) Reajuste Tarifas y Ocupación'!E21</f>
        <v>89800</v>
      </c>
      <c r="J19" s="155">
        <f>+'B) Reajuste Tarifas y Ocupación'!F21</f>
        <v>93900</v>
      </c>
      <c r="K19" s="359">
        <f t="shared" si="0"/>
        <v>2100</v>
      </c>
      <c r="L19" s="157">
        <f t="shared" si="0"/>
        <v>3100</v>
      </c>
      <c r="M19" s="157">
        <f t="shared" si="0"/>
        <v>4100</v>
      </c>
      <c r="N19" s="158">
        <f t="shared" si="0"/>
        <v>4300</v>
      </c>
      <c r="O19" s="159">
        <f>+P19</f>
        <v>4.4999999999999998E-2</v>
      </c>
      <c r="P19" s="160">
        <f>+'B) Reajuste Tarifas y Ocupación'!G21</f>
        <v>4.4999999999999998E-2</v>
      </c>
      <c r="Q19" s="160">
        <f>+'B) Reajuste Tarifas y Ocupación'!H21</f>
        <v>4.4999999999999998E-2</v>
      </c>
      <c r="R19" s="370">
        <f>+'B) Reajuste Tarifas y Ocupación'!I21</f>
        <v>4.4999999999999998E-2</v>
      </c>
    </row>
    <row r="20" spans="1:18" ht="15" customHeight="1" x14ac:dyDescent="0.35">
      <c r="A20" s="1466"/>
      <c r="B20" s="347" t="str">
        <f>+'B) Reajuste Tarifas y Ocupación'!B22</f>
        <v>Pensión completa niño</v>
      </c>
      <c r="C20" s="873">
        <f>+'B) Reajuste Tarifas y Ocupación'!J22</f>
        <v>21400</v>
      </c>
      <c r="D20" s="552">
        <f>+'B) Reajuste Tarifas y Ocupación'!K22</f>
        <v>32900</v>
      </c>
      <c r="E20" s="552">
        <f>+'B) Reajuste Tarifas y Ocupación'!L22</f>
        <v>41000</v>
      </c>
      <c r="F20" s="553">
        <f>+'B) Reajuste Tarifas y Ocupación'!M22</f>
        <v>42900</v>
      </c>
      <c r="G20" s="162">
        <f>+'B) Reajuste Tarifas y Ocupación'!C22</f>
        <v>20500</v>
      </c>
      <c r="H20" s="364">
        <f>+'B) Reajuste Tarifas y Ocupación'!D22</f>
        <v>31400</v>
      </c>
      <c r="I20" s="364">
        <f>+'B) Reajuste Tarifas y Ocupación'!E22</f>
        <v>39200</v>
      </c>
      <c r="J20" s="366">
        <f>+'B) Reajuste Tarifas y Ocupación'!F22</f>
        <v>41000</v>
      </c>
      <c r="K20" s="360">
        <f t="shared" si="0"/>
        <v>900</v>
      </c>
      <c r="L20" s="164">
        <f t="shared" si="0"/>
        <v>1500</v>
      </c>
      <c r="M20" s="164">
        <f t="shared" si="0"/>
        <v>1800</v>
      </c>
      <c r="N20" s="165">
        <f t="shared" si="0"/>
        <v>1900</v>
      </c>
      <c r="O20" s="166">
        <f>+P20</f>
        <v>4.4999999999999998E-2</v>
      </c>
      <c r="P20" s="368">
        <f>+'B) Reajuste Tarifas y Ocupación'!G22</f>
        <v>4.4999999999999998E-2</v>
      </c>
      <c r="Q20" s="368">
        <f>+'B) Reajuste Tarifas y Ocupación'!H22</f>
        <v>4.4999999999999998E-2</v>
      </c>
      <c r="R20" s="371">
        <f>+'B) Reajuste Tarifas y Ocupación'!I22</f>
        <v>4.4999999999999998E-2</v>
      </c>
    </row>
    <row r="21" spans="1:18" ht="15" customHeight="1" x14ac:dyDescent="0.35">
      <c r="A21" s="1466"/>
      <c r="B21" s="347" t="str">
        <f>+'B) Reajuste Tarifas y Ocupación'!B23</f>
        <v>Alojamiento sin pensión</v>
      </c>
      <c r="C21" s="873">
        <f>+'B) Reajuste Tarifas y Ocupación'!J23</f>
        <v>28200</v>
      </c>
      <c r="D21" s="552">
        <f>+'B) Reajuste Tarifas y Ocupación'!K23</f>
        <v>43300</v>
      </c>
      <c r="E21" s="552">
        <f>+'B) Reajuste Tarifas y Ocupación'!L23</f>
        <v>54000</v>
      </c>
      <c r="F21" s="553">
        <f>+'B) Reajuste Tarifas y Ocupación'!M23</f>
        <v>56500</v>
      </c>
      <c r="G21" s="162">
        <f>+'B) Reajuste Tarifas y Ocupación'!C23</f>
        <v>27000</v>
      </c>
      <c r="H21" s="364">
        <f>+'B) Reajuste Tarifas y Ocupación'!D23</f>
        <v>41400</v>
      </c>
      <c r="I21" s="364">
        <f>+'B) Reajuste Tarifas y Ocupación'!E23</f>
        <v>51600</v>
      </c>
      <c r="J21" s="366">
        <f>+'B) Reajuste Tarifas y Ocupación'!F23</f>
        <v>54000</v>
      </c>
      <c r="K21" s="360">
        <f t="shared" si="0"/>
        <v>1200</v>
      </c>
      <c r="L21" s="164">
        <f t="shared" si="0"/>
        <v>1900</v>
      </c>
      <c r="M21" s="164">
        <f t="shared" si="0"/>
        <v>2400</v>
      </c>
      <c r="N21" s="165">
        <f t="shared" si="0"/>
        <v>2500</v>
      </c>
      <c r="O21" s="166">
        <f>+P21</f>
        <v>4.4999999999999998E-2</v>
      </c>
      <c r="P21" s="368">
        <f>+'B) Reajuste Tarifas y Ocupación'!G23</f>
        <v>4.4999999999999998E-2</v>
      </c>
      <c r="Q21" s="368">
        <f>+'B) Reajuste Tarifas y Ocupación'!H23</f>
        <v>4.4999999999999998E-2</v>
      </c>
      <c r="R21" s="371">
        <f>+'B) Reajuste Tarifas y Ocupación'!I23</f>
        <v>4.4999999999999998E-2</v>
      </c>
    </row>
    <row r="22" spans="1:18" ht="15" customHeight="1" x14ac:dyDescent="0.35">
      <c r="A22" s="1466"/>
      <c r="B22" s="347" t="str">
        <f>+'B) Reajuste Tarifas y Ocupación'!B24</f>
        <v>Pasante (almuerzo)</v>
      </c>
      <c r="C22" s="873"/>
      <c r="D22" s="552">
        <f>+'B) Reajuste Tarifas y Ocupación'!K24</f>
        <v>15800</v>
      </c>
      <c r="E22" s="552">
        <f>+'B) Reajuste Tarifas y Ocupación'!L24</f>
        <v>19700</v>
      </c>
      <c r="F22" s="553">
        <f>+'B) Reajuste Tarifas y Ocupación'!M24</f>
        <v>20500</v>
      </c>
      <c r="G22" s="170"/>
      <c r="H22" s="364">
        <f>+'B) Reajuste Tarifas y Ocupación'!D24</f>
        <v>15100</v>
      </c>
      <c r="I22" s="364">
        <f>+'B) Reajuste Tarifas y Ocupación'!E24</f>
        <v>18800</v>
      </c>
      <c r="J22" s="366">
        <f>+'B) Reajuste Tarifas y Ocupación'!F24</f>
        <v>19600</v>
      </c>
      <c r="K22" s="361"/>
      <c r="L22" s="164">
        <f t="shared" si="0"/>
        <v>700</v>
      </c>
      <c r="M22" s="164">
        <f t="shared" si="0"/>
        <v>900</v>
      </c>
      <c r="N22" s="165">
        <f t="shared" si="0"/>
        <v>900</v>
      </c>
      <c r="O22" s="174"/>
      <c r="P22" s="368">
        <f>+'B) Reajuste Tarifas y Ocupación'!G24</f>
        <v>4.4999999999999998E-2</v>
      </c>
      <c r="Q22" s="368">
        <f>+'B) Reajuste Tarifas y Ocupación'!H24</f>
        <v>4.4999999999999998E-2</v>
      </c>
      <c r="R22" s="371">
        <f>+'B) Reajuste Tarifas y Ocupación'!I24</f>
        <v>4.4999999999999998E-2</v>
      </c>
    </row>
    <row r="23" spans="1:18" ht="15" customHeight="1" x14ac:dyDescent="0.35">
      <c r="A23" s="1466"/>
      <c r="B23" s="347" t="str">
        <f>+'B) Reajuste Tarifas y Ocupación'!B25</f>
        <v>Piscina aduto</v>
      </c>
      <c r="C23" s="873"/>
      <c r="D23" s="552">
        <f>+'B) Reajuste Tarifas y Ocupación'!K25</f>
        <v>5700</v>
      </c>
      <c r="E23" s="552">
        <f>+'B) Reajuste Tarifas y Ocupación'!L25</f>
        <v>7100</v>
      </c>
      <c r="F23" s="553">
        <f>+'B) Reajuste Tarifas y Ocupación'!M25</f>
        <v>7400</v>
      </c>
      <c r="G23" s="170"/>
      <c r="H23" s="364">
        <f>+'B) Reajuste Tarifas y Ocupación'!D25</f>
        <v>5400</v>
      </c>
      <c r="I23" s="364">
        <f>+'B) Reajuste Tarifas y Ocupación'!E25</f>
        <v>6700</v>
      </c>
      <c r="J23" s="366">
        <f>+'B) Reajuste Tarifas y Ocupación'!F25</f>
        <v>7000</v>
      </c>
      <c r="K23" s="361"/>
      <c r="L23" s="164">
        <f t="shared" si="0"/>
        <v>300</v>
      </c>
      <c r="M23" s="164">
        <f t="shared" si="0"/>
        <v>400</v>
      </c>
      <c r="N23" s="165">
        <f t="shared" si="0"/>
        <v>400</v>
      </c>
      <c r="O23" s="174"/>
      <c r="P23" s="368">
        <f>+'B) Reajuste Tarifas y Ocupación'!G25</f>
        <v>4.4999999999999998E-2</v>
      </c>
      <c r="Q23" s="368">
        <f>+'B) Reajuste Tarifas y Ocupación'!H25</f>
        <v>4.4999999999999998E-2</v>
      </c>
      <c r="R23" s="371">
        <f>+'B) Reajuste Tarifas y Ocupación'!I25</f>
        <v>4.4999999999999998E-2</v>
      </c>
    </row>
    <row r="24" spans="1:18" ht="15.75" customHeight="1" x14ac:dyDescent="0.35">
      <c r="A24" s="1466"/>
      <c r="B24" s="347" t="str">
        <f>+'B) Reajuste Tarifas y Ocupación'!B26</f>
        <v>Piscina niños</v>
      </c>
      <c r="C24" s="873"/>
      <c r="D24" s="552">
        <f>+'B) Reajuste Tarifas y Ocupación'!K26</f>
        <v>4100</v>
      </c>
      <c r="E24" s="552">
        <f>+'B) Reajuste Tarifas y Ocupación'!L26</f>
        <v>5200</v>
      </c>
      <c r="F24" s="553">
        <f>+'B) Reajuste Tarifas y Ocupación'!M26</f>
        <v>5400</v>
      </c>
      <c r="G24" s="170"/>
      <c r="H24" s="364">
        <f>+'B) Reajuste Tarifas y Ocupación'!D26</f>
        <v>3900</v>
      </c>
      <c r="I24" s="364">
        <f>+'B) Reajuste Tarifas y Ocupación'!E26</f>
        <v>4900</v>
      </c>
      <c r="J24" s="366">
        <f>+'B) Reajuste Tarifas y Ocupación'!F26</f>
        <v>5100</v>
      </c>
      <c r="K24" s="361"/>
      <c r="L24" s="164">
        <f t="shared" si="0"/>
        <v>200</v>
      </c>
      <c r="M24" s="164">
        <f t="shared" si="0"/>
        <v>300</v>
      </c>
      <c r="N24" s="165">
        <f t="shared" si="0"/>
        <v>300</v>
      </c>
      <c r="O24" s="174"/>
      <c r="P24" s="368">
        <f>+'B) Reajuste Tarifas y Ocupación'!G26</f>
        <v>4.4999999999999998E-2</v>
      </c>
      <c r="Q24" s="368">
        <f>+'B) Reajuste Tarifas y Ocupación'!H26</f>
        <v>4.4999999999999998E-2</v>
      </c>
      <c r="R24" s="371">
        <f>+'B) Reajuste Tarifas y Ocupación'!I26</f>
        <v>4.4999999999999998E-2</v>
      </c>
    </row>
    <row r="25" spans="1:18" ht="16.5" customHeight="1" thickBot="1" x14ac:dyDescent="0.4">
      <c r="A25" s="1467"/>
      <c r="B25" s="352" t="str">
        <f>+'B) Reajuste Tarifas y Ocupación'!B27</f>
        <v>Cabaña VIP (día)</v>
      </c>
      <c r="C25" s="555">
        <f>+'B) Reajuste Tarifas y Ocupación'!J27</f>
        <v>88800</v>
      </c>
      <c r="D25" s="555">
        <f>+'B) Reajuste Tarifas y Ocupación'!K27</f>
        <v>136600</v>
      </c>
      <c r="E25" s="555">
        <f>+'B) Reajuste Tarifas y Ocupación'!L27</f>
        <v>178800</v>
      </c>
      <c r="F25" s="556">
        <f>+'B) Reajuste Tarifas y Ocupación'!M27</f>
        <v>187000</v>
      </c>
      <c r="G25" s="932">
        <f>'B) Reajuste Tarifas y Ocupación'!C27</f>
        <v>85000</v>
      </c>
      <c r="H25" s="178">
        <f>+'B) Reajuste Tarifas y Ocupación'!D27</f>
        <v>130700</v>
      </c>
      <c r="I25" s="178">
        <f>+'B) Reajuste Tarifas y Ocupación'!E27</f>
        <v>171100</v>
      </c>
      <c r="J25" s="179">
        <f>+'B) Reajuste Tarifas y Ocupación'!F27</f>
        <v>178900</v>
      </c>
      <c r="K25" s="181">
        <f>C25-G25</f>
        <v>3800</v>
      </c>
      <c r="L25" s="181">
        <f>D25-H25</f>
        <v>5900</v>
      </c>
      <c r="M25" s="181">
        <f>E25-I25</f>
        <v>7700</v>
      </c>
      <c r="N25" s="182">
        <f>F25-J25</f>
        <v>8100</v>
      </c>
      <c r="O25" s="202">
        <f>+P25</f>
        <v>4.4999999999999998E-2</v>
      </c>
      <c r="P25" s="402">
        <f>+'B) Reajuste Tarifas y Ocupación'!G27</f>
        <v>4.4999999999999998E-2</v>
      </c>
      <c r="Q25" s="402">
        <f>+'B) Reajuste Tarifas y Ocupación'!H27</f>
        <v>4.4999999999999998E-2</v>
      </c>
      <c r="R25" s="403">
        <f>+'B) Reajuste Tarifas y Ocupación'!I27</f>
        <v>4.4999999999999998E-2</v>
      </c>
    </row>
    <row r="26" spans="1:18" x14ac:dyDescent="0.35">
      <c r="A26" s="1460" t="str">
        <f>+'B) Reajuste Tarifas y Ocupación'!A28</f>
        <v>Cabañas C.N.C. Tumbes</v>
      </c>
      <c r="B26" s="348" t="str">
        <f>+'B) Reajuste Tarifas y Ocupación'!B28</f>
        <v>Cabañas - día/cabaña</v>
      </c>
      <c r="C26" s="557">
        <f>+'B) Reajuste Tarifas y Ocupación'!J28</f>
        <v>54700</v>
      </c>
      <c r="D26" s="558">
        <f>+'B) Reajuste Tarifas y Ocupación'!K28</f>
        <v>84100</v>
      </c>
      <c r="E26" s="558">
        <f>+'B) Reajuste Tarifas y Ocupación'!L28</f>
        <v>110100</v>
      </c>
      <c r="F26" s="559">
        <f>+'B) Reajuste Tarifas y Ocupación'!M28</f>
        <v>115100</v>
      </c>
      <c r="G26" s="187">
        <f>+'B) Reajuste Tarifas y Ocupación'!C28</f>
        <v>52300</v>
      </c>
      <c r="H26" s="362">
        <f>+'B) Reajuste Tarifas y Ocupación'!D28</f>
        <v>80400</v>
      </c>
      <c r="I26" s="362">
        <f>+'B) Reajuste Tarifas y Ocupación'!E28</f>
        <v>105300</v>
      </c>
      <c r="J26" s="363">
        <f>+'B) Reajuste Tarifas y Ocupación'!F28</f>
        <v>110100</v>
      </c>
      <c r="K26" s="188">
        <f t="shared" si="0"/>
        <v>2400</v>
      </c>
      <c r="L26" s="189">
        <f t="shared" si="0"/>
        <v>3700</v>
      </c>
      <c r="M26" s="189">
        <f t="shared" si="0"/>
        <v>4800</v>
      </c>
      <c r="N26" s="190">
        <f t="shared" si="0"/>
        <v>5000</v>
      </c>
      <c r="O26" s="871">
        <f>+P26</f>
        <v>4.4999999999999998E-2</v>
      </c>
      <c r="P26" s="373">
        <f>+'B) Reajuste Tarifas y Ocupación'!G28</f>
        <v>4.4999999999999998E-2</v>
      </c>
      <c r="Q26" s="373">
        <f>+'B) Reajuste Tarifas y Ocupación'!H28</f>
        <v>4.4999999999999998E-2</v>
      </c>
      <c r="R26" s="374">
        <f>+'B) Reajuste Tarifas y Ocupación'!I28</f>
        <v>4.4999999999999998E-2</v>
      </c>
    </row>
    <row r="27" spans="1:18" x14ac:dyDescent="0.35">
      <c r="A27" s="1460"/>
      <c r="B27" s="226" t="str">
        <f>+'B) Reajuste Tarifas y Ocupación'!B29</f>
        <v xml:space="preserve">Uso en transito/Early check in/Late Check out </v>
      </c>
      <c r="C27" s="551"/>
      <c r="D27" s="552"/>
      <c r="E27" s="552"/>
      <c r="F27" s="560"/>
      <c r="G27" s="170"/>
      <c r="H27" s="365"/>
      <c r="I27" s="365"/>
      <c r="J27" s="367"/>
      <c r="K27" s="171"/>
      <c r="L27" s="172"/>
      <c r="M27" s="172"/>
      <c r="N27" s="173"/>
      <c r="O27" s="174"/>
      <c r="P27" s="369"/>
      <c r="Q27" s="369"/>
      <c r="R27" s="372"/>
    </row>
    <row r="28" spans="1:18" ht="15" thickBot="1" x14ac:dyDescent="0.4">
      <c r="A28" s="1462"/>
      <c r="B28" s="232" t="str">
        <f>+'B) Reajuste Tarifas y Ocupación'!B30</f>
        <v>Cabañas - día/cabaña</v>
      </c>
      <c r="C28" s="554"/>
      <c r="D28" s="555">
        <f>+'B) Reajuste Tarifas y Ocupación'!K30</f>
        <v>25300</v>
      </c>
      <c r="E28" s="555">
        <f>+'B) Reajuste Tarifas y Ocupación'!L30</f>
        <v>33100</v>
      </c>
      <c r="F28" s="565">
        <f>+'B) Reajuste Tarifas y Ocupación'!M30</f>
        <v>34600</v>
      </c>
      <c r="G28" s="177"/>
      <c r="H28" s="178">
        <f>+'B) Reajuste Tarifas y Ocupación'!D30</f>
        <v>24500</v>
      </c>
      <c r="I28" s="178">
        <f>+'B) Reajuste Tarifas y Ocupación'!E30</f>
        <v>31600</v>
      </c>
      <c r="J28" s="179">
        <f>+'B) Reajuste Tarifas y Ocupación'!F30</f>
        <v>33100</v>
      </c>
      <c r="K28" s="180"/>
      <c r="L28" s="181">
        <f t="shared" si="0"/>
        <v>800</v>
      </c>
      <c r="M28" s="181">
        <f t="shared" si="0"/>
        <v>1500</v>
      </c>
      <c r="N28" s="182">
        <f t="shared" si="0"/>
        <v>1500</v>
      </c>
      <c r="O28" s="183"/>
      <c r="P28" s="184"/>
      <c r="Q28" s="184"/>
      <c r="R28" s="185"/>
    </row>
    <row r="29" spans="1:18" x14ac:dyDescent="0.35">
      <c r="A29" s="1460" t="str">
        <f>+'B) Reajuste Tarifas y Ocupación'!A31</f>
        <v>Piscina C.N.C. Tumbes</v>
      </c>
      <c r="B29" s="348" t="str">
        <f>+'B) Reajuste Tarifas y Ocupación'!B31</f>
        <v>Piscina adultos</v>
      </c>
      <c r="C29" s="548"/>
      <c r="D29" s="549">
        <f>+'B) Reajuste Tarifas y Ocupación'!K31</f>
        <v>5500</v>
      </c>
      <c r="E29" s="549">
        <f>+'B) Reajuste Tarifas y Ocupación'!L31</f>
        <v>6800</v>
      </c>
      <c r="F29" s="564">
        <f>+'B) Reajuste Tarifas y Ocupación'!M31</f>
        <v>7200</v>
      </c>
      <c r="G29" s="203"/>
      <c r="H29" s="154">
        <f>+'B) Reajuste Tarifas y Ocupación'!D31</f>
        <v>5200</v>
      </c>
      <c r="I29" s="154">
        <f>+'B) Reajuste Tarifas y Ocupación'!E31</f>
        <v>6500</v>
      </c>
      <c r="J29" s="155">
        <f>+'B) Reajuste Tarifas y Ocupación'!F31</f>
        <v>6800</v>
      </c>
      <c r="K29" s="204"/>
      <c r="L29" s="157">
        <f t="shared" si="0"/>
        <v>300</v>
      </c>
      <c r="M29" s="157">
        <f t="shared" si="0"/>
        <v>300</v>
      </c>
      <c r="N29" s="190">
        <f t="shared" si="0"/>
        <v>400</v>
      </c>
      <c r="O29" s="205"/>
      <c r="P29" s="160">
        <f>+'B) Reajuste Tarifas y Ocupación'!G31</f>
        <v>4.4999999999999998E-2</v>
      </c>
      <c r="Q29" s="160">
        <f>+'B) Reajuste Tarifas y Ocupación'!H31</f>
        <v>4.4999999999999998E-2</v>
      </c>
      <c r="R29" s="370">
        <f>+'B) Reajuste Tarifas y Ocupación'!I31</f>
        <v>4.4999999999999998E-2</v>
      </c>
    </row>
    <row r="30" spans="1:18" ht="15" thickBot="1" x14ac:dyDescent="0.4">
      <c r="A30" s="1460"/>
      <c r="B30" s="351" t="str">
        <f>+'B) Reajuste Tarifas y Ocupación'!B32</f>
        <v>Piscina niños</v>
      </c>
      <c r="C30" s="566"/>
      <c r="D30" s="567">
        <f>+'B) Reajuste Tarifas y Ocupación'!K32</f>
        <v>3300</v>
      </c>
      <c r="E30" s="567">
        <f>+'B) Reajuste Tarifas y Ocupación'!L32</f>
        <v>4000</v>
      </c>
      <c r="F30" s="568">
        <f>+'B) Reajuste Tarifas y Ocupación'!M32</f>
        <v>4200</v>
      </c>
      <c r="G30" s="379"/>
      <c r="H30" s="380">
        <f>+'B) Reajuste Tarifas y Ocupación'!D32</f>
        <v>3100</v>
      </c>
      <c r="I30" s="380">
        <f>+'B) Reajuste Tarifas y Ocupación'!E32</f>
        <v>3800</v>
      </c>
      <c r="J30" s="381">
        <f>+'B) Reajuste Tarifas y Ocupación'!F32</f>
        <v>4000</v>
      </c>
      <c r="K30" s="382"/>
      <c r="L30" s="383">
        <f t="shared" si="0"/>
        <v>200</v>
      </c>
      <c r="M30" s="383">
        <f t="shared" si="0"/>
        <v>200</v>
      </c>
      <c r="N30" s="196">
        <f t="shared" si="0"/>
        <v>200</v>
      </c>
      <c r="O30" s="183"/>
      <c r="P30" s="375">
        <f>+'B) Reajuste Tarifas y Ocupación'!G32</f>
        <v>4.4999999999999998E-2</v>
      </c>
      <c r="Q30" s="375">
        <f>+'B) Reajuste Tarifas y Ocupación'!H32</f>
        <v>4.4999999999999998E-2</v>
      </c>
      <c r="R30" s="376">
        <f>+'B) Reajuste Tarifas y Ocupación'!I32</f>
        <v>4.4999999999999998E-2</v>
      </c>
    </row>
    <row r="31" spans="1:18" x14ac:dyDescent="0.35">
      <c r="A31" s="1461" t="str">
        <f>+'B) Reajuste Tarifas y Ocupación'!A33</f>
        <v>Canchas C.N.C. Tumbes</v>
      </c>
      <c r="B31" s="346" t="str">
        <f>+'B) Reajuste Tarifas y Ocupación'!B33</f>
        <v>Cancha tenis (Single)</v>
      </c>
      <c r="C31" s="548">
        <f>+'B) Reajuste Tarifas y Ocupación'!J33</f>
        <v>3000</v>
      </c>
      <c r="D31" s="552">
        <f>+'B) Reajuste Tarifas y Ocupación'!K33</f>
        <v>4600</v>
      </c>
      <c r="E31" s="552">
        <f>+'B) Reajuste Tarifas y Ocupación'!L33</f>
        <v>5700</v>
      </c>
      <c r="F31" s="560">
        <f>+'B) Reajuste Tarifas y Ocupación'!M33</f>
        <v>6000</v>
      </c>
      <c r="G31" s="153">
        <f>+'B) Reajuste Tarifas y Ocupación'!C33</f>
        <v>2900</v>
      </c>
      <c r="H31" s="364">
        <f>+'B) Reajuste Tarifas y Ocupación'!D33</f>
        <v>4400</v>
      </c>
      <c r="I31" s="364">
        <f>+'B) Reajuste Tarifas y Ocupación'!E33</f>
        <v>5400</v>
      </c>
      <c r="J31" s="366">
        <f>+'B) Reajuste Tarifas y Ocupación'!F33</f>
        <v>5700</v>
      </c>
      <c r="K31" s="156">
        <f t="shared" si="0"/>
        <v>100</v>
      </c>
      <c r="L31" s="157">
        <f t="shared" si="0"/>
        <v>200</v>
      </c>
      <c r="M31" s="157">
        <f t="shared" si="0"/>
        <v>300</v>
      </c>
      <c r="N31" s="158">
        <f t="shared" si="0"/>
        <v>300</v>
      </c>
      <c r="O31" s="159">
        <f>+P31</f>
        <v>4.4999999999999998E-2</v>
      </c>
      <c r="P31" s="160">
        <f>+'B) Reajuste Tarifas y Ocupación'!G33</f>
        <v>4.4999999999999998E-2</v>
      </c>
      <c r="Q31" s="160">
        <f>+'B) Reajuste Tarifas y Ocupación'!H33</f>
        <v>4.4999999999999998E-2</v>
      </c>
      <c r="R31" s="370">
        <f>+'B) Reajuste Tarifas y Ocupación'!I33</f>
        <v>4.4999999999999998E-2</v>
      </c>
    </row>
    <row r="32" spans="1:18" ht="15" thickBot="1" x14ac:dyDescent="0.4">
      <c r="A32" s="1462"/>
      <c r="B32" s="350" t="str">
        <f>+'B) Reajuste Tarifas y Ocupación'!B34</f>
        <v>Cancha tenis (Doble)</v>
      </c>
      <c r="C32" s="557">
        <f>+'B) Reajuste Tarifas y Ocupación'!J34</f>
        <v>4100</v>
      </c>
      <c r="D32" s="567">
        <f>+'B) Reajuste Tarifas y Ocupación'!K34</f>
        <v>6200</v>
      </c>
      <c r="E32" s="567">
        <f>+'B) Reajuste Tarifas y Ocupación'!L34</f>
        <v>7800</v>
      </c>
      <c r="F32" s="568">
        <f>+'B) Reajuste Tarifas y Ocupación'!M34</f>
        <v>8100</v>
      </c>
      <c r="G32" s="187">
        <f>+'B) Reajuste Tarifas y Ocupación'!C34</f>
        <v>3900</v>
      </c>
      <c r="H32" s="380">
        <f>+'B) Reajuste Tarifas y Ocupación'!D34</f>
        <v>5900</v>
      </c>
      <c r="I32" s="380">
        <f>+'B) Reajuste Tarifas y Ocupación'!E34</f>
        <v>7400</v>
      </c>
      <c r="J32" s="381">
        <f>+'B) Reajuste Tarifas y Ocupación'!F34</f>
        <v>7700</v>
      </c>
      <c r="K32" s="384">
        <f t="shared" si="0"/>
        <v>200</v>
      </c>
      <c r="L32" s="385">
        <f t="shared" si="0"/>
        <v>300</v>
      </c>
      <c r="M32" s="385">
        <f t="shared" si="0"/>
        <v>400</v>
      </c>
      <c r="N32" s="386">
        <f t="shared" si="0"/>
        <v>400</v>
      </c>
      <c r="O32" s="387">
        <f>+P32</f>
        <v>4.4999999999999998E-2</v>
      </c>
      <c r="P32" s="375">
        <f>+'B) Reajuste Tarifas y Ocupación'!G34</f>
        <v>4.4999999999999998E-2</v>
      </c>
      <c r="Q32" s="375">
        <f>+'B) Reajuste Tarifas y Ocupación'!H34</f>
        <v>4.4999999999999998E-2</v>
      </c>
      <c r="R32" s="376">
        <f>+'B) Reajuste Tarifas y Ocupación'!I34</f>
        <v>4.4999999999999998E-2</v>
      </c>
    </row>
    <row r="33" spans="1:18" x14ac:dyDescent="0.35">
      <c r="A33" s="1460" t="str">
        <f>+'B) Reajuste Tarifas y Ocupación'!A35</f>
        <v>Cabañas C.R. Faro Tumbes</v>
      </c>
      <c r="B33" s="348" t="str">
        <f>+'B) Reajuste Tarifas y Ocupación'!B35</f>
        <v>Cabañas - día/cabaña</v>
      </c>
      <c r="C33" s="548">
        <f>+'B) Reajuste Tarifas y Ocupación'!J35</f>
        <v>36300</v>
      </c>
      <c r="D33" s="549">
        <f>+'B) Reajuste Tarifas y Ocupación'!K35</f>
        <v>55700</v>
      </c>
      <c r="E33" s="549">
        <f>+'B) Reajuste Tarifas y Ocupación'!L35</f>
        <v>69400</v>
      </c>
      <c r="F33" s="564">
        <f>+'B) Reajuste Tarifas y Ocupación'!M35</f>
        <v>72600</v>
      </c>
      <c r="G33" s="153">
        <f>+'B) Reajuste Tarifas y Ocupación'!C35</f>
        <v>34700</v>
      </c>
      <c r="H33" s="154">
        <f>+'B) Reajuste Tarifas y Ocupación'!D35</f>
        <v>53300</v>
      </c>
      <c r="I33" s="154">
        <f>+'B) Reajuste Tarifas y Ocupación'!E35</f>
        <v>66400</v>
      </c>
      <c r="J33" s="155">
        <f>+'B) Reajuste Tarifas y Ocupación'!F35</f>
        <v>69400</v>
      </c>
      <c r="K33" s="156">
        <f t="shared" si="0"/>
        <v>1600</v>
      </c>
      <c r="L33" s="157">
        <f t="shared" si="0"/>
        <v>2400</v>
      </c>
      <c r="M33" s="157">
        <f t="shared" si="0"/>
        <v>3000</v>
      </c>
      <c r="N33" s="394">
        <f t="shared" si="0"/>
        <v>3200</v>
      </c>
      <c r="O33" s="159">
        <f>+P33</f>
        <v>4.4999999999999998E-2</v>
      </c>
      <c r="P33" s="160">
        <f>+'B) Reajuste Tarifas y Ocupación'!G35</f>
        <v>4.4999999999999998E-2</v>
      </c>
      <c r="Q33" s="160">
        <f>+'B) Reajuste Tarifas y Ocupación'!H35</f>
        <v>4.4999999999999998E-2</v>
      </c>
      <c r="R33" s="370">
        <f>+'B) Reajuste Tarifas y Ocupación'!I35</f>
        <v>4.4999999999999998E-2</v>
      </c>
    </row>
    <row r="34" spans="1:18" x14ac:dyDescent="0.35">
      <c r="A34" s="1460"/>
      <c r="B34" s="226" t="str">
        <f>+'B) Reajuste Tarifas y Ocupación'!B36</f>
        <v xml:space="preserve">Uso en transito/Early check in/Late Check out </v>
      </c>
      <c r="C34" s="551"/>
      <c r="D34" s="558"/>
      <c r="E34" s="558"/>
      <c r="F34" s="559"/>
      <c r="G34" s="198"/>
      <c r="H34" s="390"/>
      <c r="I34" s="390"/>
      <c r="J34" s="391"/>
      <c r="K34" s="199"/>
      <c r="L34" s="392"/>
      <c r="M34" s="392"/>
      <c r="N34" s="393"/>
      <c r="O34" s="174"/>
      <c r="P34" s="369"/>
      <c r="Q34" s="369"/>
      <c r="R34" s="372"/>
    </row>
    <row r="35" spans="1:18" ht="15" thickBot="1" x14ac:dyDescent="0.4">
      <c r="A35" s="1460"/>
      <c r="B35" s="349" t="str">
        <f>+'B) Reajuste Tarifas y Ocupación'!B37</f>
        <v>Cabañas - día/cabaña</v>
      </c>
      <c r="C35" s="554"/>
      <c r="D35" s="555">
        <f>+'B) Reajuste Tarifas y Ocupación'!K37</f>
        <v>16800</v>
      </c>
      <c r="E35" s="555">
        <f>+'B) Reajuste Tarifas y Ocupación'!L37</f>
        <v>20900</v>
      </c>
      <c r="F35" s="565">
        <f>+'B) Reajuste Tarifas y Ocupación'!M37</f>
        <v>21800</v>
      </c>
      <c r="G35" s="191"/>
      <c r="H35" s="192">
        <f>+'B) Reajuste Tarifas y Ocupación'!D37</f>
        <v>15300</v>
      </c>
      <c r="I35" s="192">
        <f>+'B) Reajuste Tarifas y Ocupación'!E37</f>
        <v>18700</v>
      </c>
      <c r="J35" s="193">
        <f>+'B) Reajuste Tarifas y Ocupación'!F37</f>
        <v>23700</v>
      </c>
      <c r="K35" s="194"/>
      <c r="L35" s="195">
        <f t="shared" si="0"/>
        <v>1500</v>
      </c>
      <c r="M35" s="195">
        <f t="shared" si="0"/>
        <v>2200</v>
      </c>
      <c r="N35" s="196">
        <f t="shared" si="0"/>
        <v>-1900</v>
      </c>
      <c r="O35" s="399"/>
      <c r="P35" s="400"/>
      <c r="Q35" s="400"/>
      <c r="R35" s="401"/>
    </row>
    <row r="36" spans="1:18" x14ac:dyDescent="0.35">
      <c r="A36" s="1461" t="str">
        <f>+'B) Reajuste Tarifas y Ocupación'!A38</f>
        <v>Piscina C.R. Faro Tumbes</v>
      </c>
      <c r="B36" s="346" t="str">
        <f>+'B) Reajuste Tarifas y Ocupación'!B38</f>
        <v>Piscina adultos</v>
      </c>
      <c r="C36" s="548"/>
      <c r="D36" s="569">
        <f>+'B) Reajuste Tarifas y Ocupación'!K38</f>
        <v>6600</v>
      </c>
      <c r="E36" s="569">
        <f>+'B) Reajuste Tarifas y Ocupación'!L38</f>
        <v>8300</v>
      </c>
      <c r="F36" s="570">
        <f>+'B) Reajuste Tarifas y Ocupación'!M38</f>
        <v>8700</v>
      </c>
      <c r="G36" s="203"/>
      <c r="H36" s="397">
        <f>+'B) Reajuste Tarifas y Ocupación'!D38</f>
        <v>6300</v>
      </c>
      <c r="I36" s="397">
        <f>+'B) Reajuste Tarifas y Ocupación'!E38</f>
        <v>7900</v>
      </c>
      <c r="J36" s="398">
        <f>+'B) Reajuste Tarifas y Ocupación'!F38</f>
        <v>8300</v>
      </c>
      <c r="K36" s="204"/>
      <c r="L36" s="157">
        <f t="shared" si="0"/>
        <v>300</v>
      </c>
      <c r="M36" s="157">
        <f t="shared" si="0"/>
        <v>400</v>
      </c>
      <c r="N36" s="158">
        <f t="shared" si="0"/>
        <v>400</v>
      </c>
      <c r="O36" s="205"/>
      <c r="P36" s="160">
        <f>+'B) Reajuste Tarifas y Ocupación'!G38</f>
        <v>4.4999999999999998E-2</v>
      </c>
      <c r="Q36" s="160">
        <f>+'B) Reajuste Tarifas y Ocupación'!H38</f>
        <v>4.4999999999999998E-2</v>
      </c>
      <c r="R36" s="370">
        <f>+'B) Reajuste Tarifas y Ocupación'!I38</f>
        <v>4.4999999999999998E-2</v>
      </c>
    </row>
    <row r="37" spans="1:18" ht="15" thickBot="1" x14ac:dyDescent="0.4">
      <c r="A37" s="1462"/>
      <c r="B37" s="351" t="str">
        <f>+'B) Reajuste Tarifas y Ocupación'!B39</f>
        <v>Piscina niños</v>
      </c>
      <c r="C37" s="554"/>
      <c r="D37" s="555">
        <f>+'B) Reajuste Tarifas y Ocupación'!K39</f>
        <v>3900</v>
      </c>
      <c r="E37" s="555">
        <f>+'B) Reajuste Tarifas y Ocupación'!L39</f>
        <v>4900</v>
      </c>
      <c r="F37" s="565">
        <f>+'B) Reajuste Tarifas y Ocupación'!M39</f>
        <v>5100</v>
      </c>
      <c r="G37" s="177"/>
      <c r="H37" s="178">
        <f>+'B) Reajuste Tarifas y Ocupación'!D39</f>
        <v>3700</v>
      </c>
      <c r="I37" s="178">
        <f>+'B) Reajuste Tarifas y Ocupación'!E39</f>
        <v>4600</v>
      </c>
      <c r="J37" s="179">
        <f>+'B) Reajuste Tarifas y Ocupación'!F39</f>
        <v>4800</v>
      </c>
      <c r="K37" s="180"/>
      <c r="L37" s="181">
        <f t="shared" si="0"/>
        <v>200</v>
      </c>
      <c r="M37" s="181">
        <f t="shared" si="0"/>
        <v>300</v>
      </c>
      <c r="N37" s="182">
        <f t="shared" si="0"/>
        <v>300</v>
      </c>
      <c r="O37" s="399"/>
      <c r="P37" s="404">
        <f>+'B) Reajuste Tarifas y Ocupación'!G39</f>
        <v>4.4999999999999998E-2</v>
      </c>
      <c r="Q37" s="404">
        <f>+'B) Reajuste Tarifas y Ocupación'!H39</f>
        <v>4.4999999999999998E-2</v>
      </c>
      <c r="R37" s="405">
        <f>+'B) Reajuste Tarifas y Ocupación'!I39</f>
        <v>4.4999999999999998E-2</v>
      </c>
    </row>
    <row r="38" spans="1:18" x14ac:dyDescent="0.35">
      <c r="A38" s="1463" t="str">
        <f>+'B) Reajuste Tarifas y Ocupación'!A40</f>
        <v>Quinchos y Canchas 
C.R. Faro Tumbes</v>
      </c>
      <c r="B38" s="346" t="str">
        <f>+'B) Reajuste Tarifas y Ocupación'!B40</f>
        <v>Quincho 1 [1 a 20 pp.]</v>
      </c>
      <c r="C38" s="548">
        <f>+'B) Reajuste Tarifas y Ocupación'!J40</f>
        <v>46000</v>
      </c>
      <c r="D38" s="569">
        <f>+'B) Reajuste Tarifas y Ocupación'!K40</f>
        <v>70700</v>
      </c>
      <c r="E38" s="569">
        <f>+'B) Reajuste Tarifas y Ocupación'!L40</f>
        <v>92500</v>
      </c>
      <c r="F38" s="570">
        <f>+'B) Reajuste Tarifas y Ocupación'!M40</f>
        <v>96800</v>
      </c>
      <c r="G38" s="153">
        <f>+'B) Reajuste Tarifas y Ocupación'!C40</f>
        <v>44000</v>
      </c>
      <c r="H38" s="397">
        <f>+'B) Reajuste Tarifas y Ocupación'!D40</f>
        <v>67600</v>
      </c>
      <c r="I38" s="397">
        <f>+'B) Reajuste Tarifas y Ocupación'!E40</f>
        <v>88500</v>
      </c>
      <c r="J38" s="398">
        <f>+'B) Reajuste Tarifas y Ocupación'!F40</f>
        <v>92600</v>
      </c>
      <c r="K38" s="188">
        <f t="shared" si="0"/>
        <v>2000</v>
      </c>
      <c r="L38" s="189">
        <f t="shared" si="0"/>
        <v>3100</v>
      </c>
      <c r="M38" s="189">
        <f t="shared" si="0"/>
        <v>4000</v>
      </c>
      <c r="N38" s="190">
        <f t="shared" si="0"/>
        <v>4200</v>
      </c>
      <c r="O38" s="159">
        <f>+P38</f>
        <v>4.4999999999999998E-2</v>
      </c>
      <c r="P38" s="160">
        <f>+'B) Reajuste Tarifas y Ocupación'!G40</f>
        <v>4.4999999999999998E-2</v>
      </c>
      <c r="Q38" s="160">
        <f>+'B) Reajuste Tarifas y Ocupación'!H40</f>
        <v>4.4999999999999998E-2</v>
      </c>
      <c r="R38" s="370">
        <f>+'B) Reajuste Tarifas y Ocupación'!I40</f>
        <v>4.4999999999999998E-2</v>
      </c>
    </row>
    <row r="39" spans="1:18" x14ac:dyDescent="0.35">
      <c r="A39" s="1463"/>
      <c r="B39" s="347" t="str">
        <f>+'B) Reajuste Tarifas y Ocupación'!B41</f>
        <v>Quincho 1 [persona adicional)</v>
      </c>
      <c r="C39" s="557">
        <f>+'B) Reajuste Tarifas y Ocupación'!J41</f>
        <v>1500</v>
      </c>
      <c r="D39" s="562">
        <f>+'B) Reajuste Tarifas y Ocupación'!K41</f>
        <v>2200</v>
      </c>
      <c r="E39" s="562">
        <f>+'B) Reajuste Tarifas y Ocupación'!L41</f>
        <v>2900</v>
      </c>
      <c r="F39" s="563">
        <f>+'B) Reajuste Tarifas y Ocupación'!M41</f>
        <v>3000</v>
      </c>
      <c r="G39" s="187">
        <f>+'B) Reajuste Tarifas y Ocupación'!C41</f>
        <v>1400</v>
      </c>
      <c r="H39" s="192">
        <f>+'B) Reajuste Tarifas y Ocupación'!D41</f>
        <v>2100</v>
      </c>
      <c r="I39" s="192">
        <f>+'B) Reajuste Tarifas y Ocupación'!E41</f>
        <v>2700</v>
      </c>
      <c r="J39" s="193">
        <f>+'B) Reajuste Tarifas y Ocupación'!F41</f>
        <v>2800</v>
      </c>
      <c r="K39" s="163">
        <f t="shared" si="0"/>
        <v>100</v>
      </c>
      <c r="L39" s="164">
        <f t="shared" si="0"/>
        <v>100</v>
      </c>
      <c r="M39" s="164">
        <f t="shared" si="0"/>
        <v>200</v>
      </c>
      <c r="N39" s="165">
        <f t="shared" si="0"/>
        <v>200</v>
      </c>
      <c r="O39" s="166">
        <f>+P39</f>
        <v>4.4999999999999998E-2</v>
      </c>
      <c r="P39" s="368">
        <f>+'B) Reajuste Tarifas y Ocupación'!G41</f>
        <v>4.4999999999999998E-2</v>
      </c>
      <c r="Q39" s="368">
        <f>+'B) Reajuste Tarifas y Ocupación'!H41</f>
        <v>4.4999999999999998E-2</v>
      </c>
      <c r="R39" s="371">
        <f>+'B) Reajuste Tarifas y Ocupación'!I41</f>
        <v>4.4999999999999998E-2</v>
      </c>
    </row>
    <row r="40" spans="1:18" x14ac:dyDescent="0.35">
      <c r="A40" s="1463"/>
      <c r="B40" s="347" t="str">
        <f>+'B) Reajuste Tarifas y Ocupación'!B42</f>
        <v>Quincho 2 (41-80 personas)</v>
      </c>
      <c r="C40" s="551"/>
      <c r="D40" s="562">
        <f>+'B) Reajuste Tarifas y Ocupación'!K42</f>
        <v>157400</v>
      </c>
      <c r="E40" s="562">
        <f>+'B) Reajuste Tarifas y Ocupación'!L42</f>
        <v>206100</v>
      </c>
      <c r="F40" s="563">
        <f>+'B) Reajuste Tarifas y Ocupación'!M42</f>
        <v>215400</v>
      </c>
      <c r="G40" s="170"/>
      <c r="H40" s="192">
        <f>+'B) Reajuste Tarifas y Ocupación'!D42</f>
        <v>150600</v>
      </c>
      <c r="I40" s="192">
        <f>+'B) Reajuste Tarifas y Ocupación'!E42</f>
        <v>197200</v>
      </c>
      <c r="J40" s="193">
        <f>+'B) Reajuste Tarifas y Ocupación'!F42</f>
        <v>206100</v>
      </c>
      <c r="K40" s="171"/>
      <c r="L40" s="164">
        <f t="shared" si="0"/>
        <v>6800</v>
      </c>
      <c r="M40" s="164">
        <f t="shared" si="0"/>
        <v>8900</v>
      </c>
      <c r="N40" s="165">
        <f t="shared" si="0"/>
        <v>9300</v>
      </c>
      <c r="O40" s="174"/>
      <c r="P40" s="368">
        <f>+'B) Reajuste Tarifas y Ocupación'!G42</f>
        <v>4.4999999999999998E-2</v>
      </c>
      <c r="Q40" s="368">
        <f>+'B) Reajuste Tarifas y Ocupación'!H42</f>
        <v>4.4999999999999998E-2</v>
      </c>
      <c r="R40" s="371">
        <f>+'B) Reajuste Tarifas y Ocupación'!I42</f>
        <v>4.4999999999999998E-2</v>
      </c>
    </row>
    <row r="41" spans="1:18" x14ac:dyDescent="0.35">
      <c r="A41" s="1463"/>
      <c r="B41" s="347" t="str">
        <f>+'B) Reajuste Tarifas y Ocupación'!B43</f>
        <v>Quincho 2 (persona adicional)</v>
      </c>
      <c r="C41" s="551"/>
      <c r="D41" s="562">
        <f>+'B) Reajuste Tarifas y Ocupación'!K43</f>
        <v>2200</v>
      </c>
      <c r="E41" s="562">
        <f>+'B) Reajuste Tarifas y Ocupación'!L43</f>
        <v>2900</v>
      </c>
      <c r="F41" s="563">
        <f>+'B) Reajuste Tarifas y Ocupación'!M43</f>
        <v>3000</v>
      </c>
      <c r="G41" s="170"/>
      <c r="H41" s="192">
        <f>+'B) Reajuste Tarifas y Ocupación'!D43</f>
        <v>2100</v>
      </c>
      <c r="I41" s="192">
        <f>+'B) Reajuste Tarifas y Ocupación'!E43</f>
        <v>2700</v>
      </c>
      <c r="J41" s="193">
        <f>+'B) Reajuste Tarifas y Ocupación'!F43</f>
        <v>2800</v>
      </c>
      <c r="K41" s="171"/>
      <c r="L41" s="164">
        <f t="shared" si="0"/>
        <v>100</v>
      </c>
      <c r="M41" s="164">
        <f t="shared" si="0"/>
        <v>200</v>
      </c>
      <c r="N41" s="165">
        <f t="shared" si="0"/>
        <v>200</v>
      </c>
      <c r="O41" s="174"/>
      <c r="P41" s="368">
        <f>+'B) Reajuste Tarifas y Ocupación'!G43</f>
        <v>4.4999999999999998E-2</v>
      </c>
      <c r="Q41" s="368">
        <f>+'B) Reajuste Tarifas y Ocupación'!H43</f>
        <v>4.4999999999999998E-2</v>
      </c>
      <c r="R41" s="371">
        <f>+'B) Reajuste Tarifas y Ocupación'!I43</f>
        <v>4.4999999999999998E-2</v>
      </c>
    </row>
    <row r="42" spans="1:18" x14ac:dyDescent="0.35">
      <c r="A42" s="1463"/>
      <c r="B42" s="347" t="str">
        <f>+'B) Reajuste Tarifas y Ocupación'!B44</f>
        <v>Picnic 1- 10 personas</v>
      </c>
      <c r="C42" s="551">
        <f>+'B) Reajuste Tarifas y Ocupación'!J44</f>
        <v>10500</v>
      </c>
      <c r="D42" s="562">
        <f>+'B) Reajuste Tarifas y Ocupación'!K44</f>
        <v>16100</v>
      </c>
      <c r="E42" s="562">
        <f>+'B) Reajuste Tarifas y Ocupación'!L44</f>
        <v>21200</v>
      </c>
      <c r="F42" s="563">
        <f>+'B) Reajuste Tarifas y Ocupación'!M44</f>
        <v>22100</v>
      </c>
      <c r="G42" s="162">
        <f>+'B) Reajuste Tarifas y Ocupación'!C44</f>
        <v>10100</v>
      </c>
      <c r="H42" s="192">
        <f>+'B) Reajuste Tarifas y Ocupación'!D44</f>
        <v>15400</v>
      </c>
      <c r="I42" s="192">
        <f>+'B) Reajuste Tarifas y Ocupación'!E44</f>
        <v>20200</v>
      </c>
      <c r="J42" s="193">
        <f>+'B) Reajuste Tarifas y Ocupación'!F44</f>
        <v>21100</v>
      </c>
      <c r="K42" s="163">
        <f t="shared" si="0"/>
        <v>400</v>
      </c>
      <c r="L42" s="164">
        <f t="shared" si="0"/>
        <v>700</v>
      </c>
      <c r="M42" s="164">
        <f t="shared" si="0"/>
        <v>1000</v>
      </c>
      <c r="N42" s="165">
        <f t="shared" si="0"/>
        <v>1000</v>
      </c>
      <c r="O42" s="166">
        <f>+P42</f>
        <v>4.4999999999999998E-2</v>
      </c>
      <c r="P42" s="368">
        <f>+'B) Reajuste Tarifas y Ocupación'!G44</f>
        <v>4.4999999999999998E-2</v>
      </c>
      <c r="Q42" s="368">
        <f>+'B) Reajuste Tarifas y Ocupación'!H44</f>
        <v>4.4999999999999998E-2</v>
      </c>
      <c r="R42" s="371">
        <f>+'B) Reajuste Tarifas y Ocupación'!I44</f>
        <v>4.4999999999999998E-2</v>
      </c>
    </row>
    <row r="43" spans="1:18" x14ac:dyDescent="0.35">
      <c r="A43" s="1463"/>
      <c r="B43" s="347" t="str">
        <f>+'B) Reajuste Tarifas y Ocupación'!B45</f>
        <v>Picnic (persona adicional)</v>
      </c>
      <c r="C43" s="551">
        <f>+'B) Reajuste Tarifas y Ocupación'!J45</f>
        <v>1000</v>
      </c>
      <c r="D43" s="562">
        <f>+'B) Reajuste Tarifas y Ocupación'!K45</f>
        <v>1400</v>
      </c>
      <c r="E43" s="562">
        <f>+'B) Reajuste Tarifas y Ocupación'!L45</f>
        <v>1700</v>
      </c>
      <c r="F43" s="563">
        <f>+'B) Reajuste Tarifas y Ocupación'!M45</f>
        <v>1800</v>
      </c>
      <c r="G43" s="162">
        <f>+'B) Reajuste Tarifas y Ocupación'!C45</f>
        <v>900</v>
      </c>
      <c r="H43" s="192">
        <f>+'B) Reajuste Tarifas y Ocupación'!D45</f>
        <v>1300</v>
      </c>
      <c r="I43" s="192">
        <f>+'B) Reajuste Tarifas y Ocupación'!E45</f>
        <v>1600</v>
      </c>
      <c r="J43" s="193">
        <f>+'B) Reajuste Tarifas y Ocupación'!F45</f>
        <v>1700</v>
      </c>
      <c r="K43" s="163">
        <f t="shared" si="0"/>
        <v>100</v>
      </c>
      <c r="L43" s="164">
        <f t="shared" si="0"/>
        <v>100</v>
      </c>
      <c r="M43" s="164">
        <f t="shared" si="0"/>
        <v>100</v>
      </c>
      <c r="N43" s="165">
        <f t="shared" si="0"/>
        <v>100</v>
      </c>
      <c r="O43" s="166">
        <f>+P43</f>
        <v>4.4999999999999998E-2</v>
      </c>
      <c r="P43" s="368">
        <f>+'B) Reajuste Tarifas y Ocupación'!G45</f>
        <v>4.4999999999999998E-2</v>
      </c>
      <c r="Q43" s="368">
        <f>+'B) Reajuste Tarifas y Ocupación'!H45</f>
        <v>4.4999999999999998E-2</v>
      </c>
      <c r="R43" s="371">
        <f>+'B) Reajuste Tarifas y Ocupación'!I45</f>
        <v>4.4999999999999998E-2</v>
      </c>
    </row>
    <row r="44" spans="1:18" x14ac:dyDescent="0.35">
      <c r="A44" s="1463"/>
      <c r="B44" s="347" t="str">
        <f>+'B) Reajuste Tarifas y Ocupación'!B46</f>
        <v>Cancha pasto sintético</v>
      </c>
      <c r="C44" s="551">
        <f>+'B) Reajuste Tarifas y Ocupación'!J46</f>
        <v>16200</v>
      </c>
      <c r="D44" s="562">
        <f>+'B) Reajuste Tarifas y Ocupación'!K46</f>
        <v>24800</v>
      </c>
      <c r="E44" s="562">
        <f>+'B) Reajuste Tarifas y Ocupación'!L46</f>
        <v>32500</v>
      </c>
      <c r="F44" s="563">
        <f>+'B) Reajuste Tarifas y Ocupación'!M46</f>
        <v>34000</v>
      </c>
      <c r="G44" s="162">
        <f>+'B) Reajuste Tarifas y Ocupación'!C46</f>
        <v>15500</v>
      </c>
      <c r="H44" s="192">
        <f>+'B) Reajuste Tarifas y Ocupación'!D46</f>
        <v>23700</v>
      </c>
      <c r="I44" s="192">
        <f>+'B) Reajuste Tarifas y Ocupación'!E46</f>
        <v>31100</v>
      </c>
      <c r="J44" s="193">
        <f>+'B) Reajuste Tarifas y Ocupación'!F46</f>
        <v>32500</v>
      </c>
      <c r="K44" s="163">
        <f t="shared" si="0"/>
        <v>700</v>
      </c>
      <c r="L44" s="164">
        <f t="shared" si="0"/>
        <v>1100</v>
      </c>
      <c r="M44" s="164">
        <f t="shared" si="0"/>
        <v>1400</v>
      </c>
      <c r="N44" s="165">
        <f t="shared" si="0"/>
        <v>1500</v>
      </c>
      <c r="O44" s="166">
        <f>+P44</f>
        <v>4.4999999999999998E-2</v>
      </c>
      <c r="P44" s="368">
        <f>+'B) Reajuste Tarifas y Ocupación'!G46</f>
        <v>4.4999999999999998E-2</v>
      </c>
      <c r="Q44" s="368">
        <f>+'B) Reajuste Tarifas y Ocupación'!H46</f>
        <v>4.4999999999999998E-2</v>
      </c>
      <c r="R44" s="371">
        <f>+'B) Reajuste Tarifas y Ocupación'!I46</f>
        <v>4.4999999999999998E-2</v>
      </c>
    </row>
    <row r="45" spans="1:18" x14ac:dyDescent="0.35">
      <c r="A45" s="1463"/>
      <c r="B45" s="347" t="str">
        <f>+'B) Reajuste Tarifas y Ocupación'!B47</f>
        <v>Cancha tenis (Single)</v>
      </c>
      <c r="C45" s="551">
        <f>+'B) Reajuste Tarifas y Ocupación'!J47</f>
        <v>2700</v>
      </c>
      <c r="D45" s="562">
        <f>+'B) Reajuste Tarifas y Ocupación'!K47</f>
        <v>4100</v>
      </c>
      <c r="E45" s="562">
        <f>+'B) Reajuste Tarifas y Ocupación'!L47</f>
        <v>5200</v>
      </c>
      <c r="F45" s="563">
        <f>+'B) Reajuste Tarifas y Ocupación'!M47</f>
        <v>5400</v>
      </c>
      <c r="G45" s="162">
        <f>+'B) Reajuste Tarifas y Ocupación'!C47</f>
        <v>2600</v>
      </c>
      <c r="H45" s="192">
        <f>+'B) Reajuste Tarifas y Ocupación'!D47</f>
        <v>3900</v>
      </c>
      <c r="I45" s="192">
        <f>+'B) Reajuste Tarifas y Ocupación'!E47</f>
        <v>4900</v>
      </c>
      <c r="J45" s="193">
        <f>+'B) Reajuste Tarifas y Ocupación'!F47</f>
        <v>5100</v>
      </c>
      <c r="K45" s="163">
        <f t="shared" si="0"/>
        <v>100</v>
      </c>
      <c r="L45" s="164">
        <f t="shared" si="0"/>
        <v>200</v>
      </c>
      <c r="M45" s="164">
        <f t="shared" si="0"/>
        <v>300</v>
      </c>
      <c r="N45" s="165">
        <f t="shared" si="0"/>
        <v>300</v>
      </c>
      <c r="O45" s="166">
        <f>+P45</f>
        <v>4.4999999999999998E-2</v>
      </c>
      <c r="P45" s="368">
        <f>+'B) Reajuste Tarifas y Ocupación'!G47</f>
        <v>4.4999999999999998E-2</v>
      </c>
      <c r="Q45" s="368">
        <f>+'B) Reajuste Tarifas y Ocupación'!H47</f>
        <v>4.4999999999999998E-2</v>
      </c>
      <c r="R45" s="371">
        <f>+'B) Reajuste Tarifas y Ocupación'!I47</f>
        <v>4.4999999999999998E-2</v>
      </c>
    </row>
    <row r="46" spans="1:18" ht="15" thickBot="1" x14ac:dyDescent="0.4">
      <c r="A46" s="1464"/>
      <c r="B46" s="352" t="str">
        <f>+'B) Reajuste Tarifas y Ocupación'!B48</f>
        <v>Cancha tenis (Doble)</v>
      </c>
      <c r="C46" s="554">
        <f>+'B) Reajuste Tarifas y Ocupación'!J48</f>
        <v>3800</v>
      </c>
      <c r="D46" s="555">
        <f>+'B) Reajuste Tarifas y Ocupación'!K48</f>
        <v>5700</v>
      </c>
      <c r="E46" s="555">
        <f>+'B) Reajuste Tarifas y Ocupación'!L48</f>
        <v>7100</v>
      </c>
      <c r="F46" s="565">
        <f>+'B) Reajuste Tarifas y Ocupación'!M48</f>
        <v>7400</v>
      </c>
      <c r="G46" s="406">
        <f>+'B) Reajuste Tarifas y Ocupación'!C48</f>
        <v>3600</v>
      </c>
      <c r="H46" s="178">
        <f>+'B) Reajuste Tarifas y Ocupación'!D48</f>
        <v>5400</v>
      </c>
      <c r="I46" s="178">
        <f>+'B) Reajuste Tarifas y Ocupación'!E48</f>
        <v>6700</v>
      </c>
      <c r="J46" s="179">
        <f>+'B) Reajuste Tarifas y Ocupación'!F48</f>
        <v>7000</v>
      </c>
      <c r="K46" s="201">
        <f t="shared" si="0"/>
        <v>200</v>
      </c>
      <c r="L46" s="181">
        <f t="shared" si="0"/>
        <v>300</v>
      </c>
      <c r="M46" s="181">
        <f t="shared" si="0"/>
        <v>400</v>
      </c>
      <c r="N46" s="182">
        <f t="shared" si="0"/>
        <v>400</v>
      </c>
      <c r="O46" s="202">
        <f>+P46</f>
        <v>4.4999999999999998E-2</v>
      </c>
      <c r="P46" s="402">
        <f>+'B) Reajuste Tarifas y Ocupación'!G48</f>
        <v>4.4999999999999998E-2</v>
      </c>
      <c r="Q46" s="402">
        <f>+'B) Reajuste Tarifas y Ocupación'!H48</f>
        <v>4.4999999999999998E-2</v>
      </c>
      <c r="R46" s="403">
        <f>+'B) Reajuste Tarifas y Ocupación'!I48</f>
        <v>4.4999999999999998E-2</v>
      </c>
    </row>
  </sheetData>
  <sheetProtection algorithmName="SHA-512" hashValue="RanYPkgnLJwkxIib8IqNbW9G3+vKc0GNyUw2M0eGCwBunshhc9L1ImMNzV9siyURLMBV3WcaMQ/z+SprJQe/HA==" saltValue="4dkXDckOWA1CfcUL556lPA==" spinCount="100000" sheet="1" objects="1" scenarios="1"/>
  <mergeCells count="16">
    <mergeCell ref="A33:A35"/>
    <mergeCell ref="A36:A37"/>
    <mergeCell ref="A38:A46"/>
    <mergeCell ref="K8:N8"/>
    <mergeCell ref="O8:R8"/>
    <mergeCell ref="A10:A18"/>
    <mergeCell ref="A26:A28"/>
    <mergeCell ref="A29:A30"/>
    <mergeCell ref="A31:A32"/>
    <mergeCell ref="A19:A25"/>
    <mergeCell ref="F4:G4"/>
    <mergeCell ref="A6:B6"/>
    <mergeCell ref="A8:A9"/>
    <mergeCell ref="B8:B9"/>
    <mergeCell ref="C8:F8"/>
    <mergeCell ref="G8:J8"/>
  </mergeCells>
  <hyperlinks>
    <hyperlink ref="A6:B6" location="'Índice Tablas '!A1" display="TABLA 12: RESUMEN DE TARIFADO"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499984740745262"/>
  </sheetPr>
  <dimension ref="A1:M52"/>
  <sheetViews>
    <sheetView topLeftCell="C14" workbookViewId="0">
      <selection activeCell="J32" sqref="J32"/>
    </sheetView>
  </sheetViews>
  <sheetFormatPr baseColWidth="10" defaultRowHeight="14.5" x14ac:dyDescent="0.35"/>
  <cols>
    <col min="1" max="1" width="24.81640625" style="5" customWidth="1"/>
    <col min="2" max="2" width="53.453125" style="5" bestFit="1" customWidth="1"/>
    <col min="3" max="8" width="14.7265625" style="5" customWidth="1"/>
    <col min="9" max="9" width="33.54296875" style="5" bestFit="1" customWidth="1"/>
    <col min="10" max="10" width="14.7265625" style="5" customWidth="1"/>
    <col min="11" max="11" width="36.26953125" style="5" bestFit="1" customWidth="1"/>
    <col min="12" max="12" width="14.7265625" style="5" customWidth="1"/>
    <col min="13" max="13" width="30.1796875" style="5" bestFit="1" customWidth="1"/>
  </cols>
  <sheetData>
    <row r="1" spans="1:13" x14ac:dyDescent="0.35">
      <c r="B1" s="3"/>
      <c r="C1" s="3"/>
      <c r="D1" s="3"/>
      <c r="E1" s="3"/>
      <c r="F1" s="3"/>
      <c r="G1" s="3"/>
      <c r="H1" s="3"/>
      <c r="I1" s="3"/>
      <c r="J1" s="3"/>
      <c r="L1" s="3"/>
    </row>
    <row r="2" spans="1:13" x14ac:dyDescent="0.35">
      <c r="B2" s="3"/>
      <c r="C2" s="3"/>
      <c r="D2" s="3" t="s">
        <v>208</v>
      </c>
      <c r="E2" s="3"/>
      <c r="F2" s="3"/>
      <c r="G2" s="3"/>
      <c r="H2" s="3"/>
      <c r="I2" s="3"/>
      <c r="J2" s="3"/>
      <c r="L2" s="3"/>
    </row>
    <row r="3" spans="1:13" x14ac:dyDescent="0.35">
      <c r="C3" s="2"/>
      <c r="D3" s="2"/>
      <c r="E3" s="2"/>
      <c r="F3" s="2"/>
      <c r="G3" s="2"/>
      <c r="H3" s="2"/>
      <c r="J3" s="2"/>
      <c r="L3" s="2"/>
    </row>
    <row r="4" spans="1:13" ht="15.5" x14ac:dyDescent="0.35">
      <c r="C4" s="212" t="s">
        <v>1</v>
      </c>
      <c r="D4" s="1179" t="str">
        <f>+'[1]B) Reajuste Tarifas y Ocupación'!F5</f>
        <v>BIENTALC</v>
      </c>
      <c r="E4" s="1180"/>
      <c r="F4" s="3"/>
      <c r="G4" s="3"/>
      <c r="H4" s="3"/>
      <c r="J4" s="3"/>
      <c r="L4" s="3"/>
    </row>
    <row r="5" spans="1:13" x14ac:dyDescent="0.35">
      <c r="A5" s="8"/>
      <c r="B5" s="8"/>
      <c r="C5" s="3"/>
      <c r="D5" s="3"/>
      <c r="E5" s="3"/>
      <c r="F5" s="3"/>
      <c r="G5" s="3"/>
      <c r="H5" s="3"/>
      <c r="I5" s="3"/>
      <c r="J5" s="3"/>
      <c r="L5" s="3"/>
    </row>
    <row r="6" spans="1:13" x14ac:dyDescent="0.35">
      <c r="A6" s="8"/>
      <c r="B6" s="8"/>
      <c r="C6" s="3"/>
      <c r="D6" s="3"/>
      <c r="E6" s="3"/>
      <c r="F6" s="3"/>
      <c r="G6" s="3"/>
      <c r="H6" s="3"/>
      <c r="I6" s="3"/>
      <c r="J6" s="3"/>
      <c r="L6" s="3"/>
    </row>
    <row r="7" spans="1:13" x14ac:dyDescent="0.35">
      <c r="A7" s="1468" t="s">
        <v>209</v>
      </c>
      <c r="B7" s="1469"/>
      <c r="C7" s="1469"/>
      <c r="D7" s="1469"/>
      <c r="E7" s="1469"/>
      <c r="F7" s="1469"/>
      <c r="G7" s="1469"/>
      <c r="H7" s="1469"/>
      <c r="I7" s="1469"/>
      <c r="J7" s="1469"/>
      <c r="K7" s="1469"/>
      <c r="L7" s="1470"/>
    </row>
    <row r="8" spans="1:13" x14ac:dyDescent="0.35">
      <c r="A8" s="1471"/>
      <c r="B8" s="1472"/>
      <c r="C8" s="1472"/>
      <c r="D8" s="1472"/>
      <c r="E8" s="1472"/>
      <c r="F8" s="1472"/>
      <c r="G8" s="1472"/>
      <c r="H8" s="1472"/>
      <c r="I8" s="1472"/>
      <c r="J8" s="1472"/>
      <c r="K8" s="1472"/>
      <c r="L8" s="1473"/>
    </row>
    <row r="9" spans="1:13" x14ac:dyDescent="0.35">
      <c r="A9" s="1471"/>
      <c r="B9" s="1472"/>
      <c r="C9" s="1472"/>
      <c r="D9" s="1472"/>
      <c r="E9" s="1472"/>
      <c r="F9" s="1472"/>
      <c r="G9" s="1472"/>
      <c r="H9" s="1472"/>
      <c r="I9" s="1472"/>
      <c r="J9" s="1472"/>
      <c r="K9" s="1472"/>
      <c r="L9" s="1473"/>
    </row>
    <row r="10" spans="1:13" x14ac:dyDescent="0.35">
      <c r="A10" s="1474"/>
      <c r="B10" s="1475"/>
      <c r="C10" s="1475"/>
      <c r="D10" s="1475"/>
      <c r="E10" s="1475"/>
      <c r="F10" s="1475"/>
      <c r="G10" s="1475"/>
      <c r="H10" s="1475"/>
      <c r="I10" s="1475"/>
      <c r="J10" s="1475"/>
      <c r="K10" s="1475"/>
      <c r="L10" s="1476"/>
    </row>
    <row r="11" spans="1:13" x14ac:dyDescent="0.35">
      <c r="A11" s="213"/>
      <c r="B11" s="213"/>
      <c r="C11" s="213"/>
      <c r="D11" s="213"/>
      <c r="E11" s="213"/>
      <c r="F11" s="213"/>
      <c r="G11" s="213"/>
      <c r="H11" s="213"/>
      <c r="I11" s="213"/>
      <c r="J11" s="213"/>
      <c r="K11" s="213"/>
      <c r="L11" s="213"/>
    </row>
    <row r="12" spans="1:13" x14ac:dyDescent="0.35">
      <c r="A12" s="213"/>
      <c r="B12" s="213"/>
      <c r="C12" s="213"/>
      <c r="D12" s="213"/>
      <c r="E12" s="213"/>
      <c r="H12" s="213"/>
      <c r="I12" s="213"/>
      <c r="J12" s="213"/>
      <c r="K12" s="213"/>
      <c r="L12" s="213"/>
    </row>
    <row r="13" spans="1:13" x14ac:dyDescent="0.35">
      <c r="A13" s="1449" t="s">
        <v>210</v>
      </c>
      <c r="B13" s="1449"/>
      <c r="C13" s="1449"/>
      <c r="D13" s="1449"/>
      <c r="E13" s="213"/>
      <c r="F13" s="213"/>
      <c r="G13" s="214"/>
      <c r="H13" s="213"/>
      <c r="I13" s="213"/>
      <c r="J13" s="213"/>
      <c r="K13" s="213"/>
      <c r="L13" s="213"/>
    </row>
    <row r="14" spans="1:13" ht="15" thickBot="1" x14ac:dyDescent="0.4">
      <c r="A14" s="8"/>
      <c r="B14" s="8"/>
      <c r="C14" s="3"/>
      <c r="D14" s="3"/>
      <c r="E14" s="3"/>
      <c r="F14" s="3"/>
      <c r="G14" s="3"/>
      <c r="H14" s="3"/>
      <c r="I14" s="3"/>
      <c r="J14" s="3"/>
      <c r="L14" s="3"/>
    </row>
    <row r="15" spans="1:13" ht="15.5" x14ac:dyDescent="0.35">
      <c r="A15" s="1222" t="s">
        <v>3</v>
      </c>
      <c r="B15" s="1477" t="s">
        <v>26</v>
      </c>
      <c r="C15" s="1479" t="s">
        <v>493</v>
      </c>
      <c r="D15" s="1480"/>
      <c r="E15" s="1481"/>
      <c r="F15" s="1482" t="s">
        <v>211</v>
      </c>
      <c r="G15" s="1483"/>
      <c r="H15" s="1484"/>
      <c r="I15" s="1485" t="s">
        <v>212</v>
      </c>
      <c r="J15" s="1441"/>
      <c r="K15" s="1441" t="s">
        <v>213</v>
      </c>
      <c r="L15" s="1441"/>
      <c r="M15" s="1486" t="s">
        <v>214</v>
      </c>
    </row>
    <row r="16" spans="1:13" ht="15" thickBot="1" x14ac:dyDescent="0.4">
      <c r="A16" s="1224"/>
      <c r="B16" s="1478"/>
      <c r="C16" s="144" t="s">
        <v>199</v>
      </c>
      <c r="D16" s="145" t="s">
        <v>200</v>
      </c>
      <c r="E16" s="146" t="s">
        <v>201</v>
      </c>
      <c r="F16" s="215" t="s">
        <v>199</v>
      </c>
      <c r="G16" s="117" t="s">
        <v>200</v>
      </c>
      <c r="H16" s="118" t="s">
        <v>201</v>
      </c>
      <c r="I16" s="216" t="s">
        <v>215</v>
      </c>
      <c r="J16" s="117" t="s">
        <v>216</v>
      </c>
      <c r="K16" s="216" t="s">
        <v>215</v>
      </c>
      <c r="L16" s="117" t="s">
        <v>216</v>
      </c>
      <c r="M16" s="1487"/>
    </row>
    <row r="17" spans="1:13" ht="15.75" customHeight="1" x14ac:dyDescent="0.35">
      <c r="A17" s="1308" t="str">
        <f>+'B) Reajuste Tarifas y Ocupación'!A12</f>
        <v>C. H. Carlos Condell</v>
      </c>
      <c r="B17" s="407" t="str">
        <f>+'B) Reajuste Tarifas y Ocupación'!B12</f>
        <v>Superior</v>
      </c>
      <c r="C17" s="150">
        <f>+'B) Reajuste Tarifas y Ocupación'!K12</f>
        <v>65500</v>
      </c>
      <c r="D17" s="151">
        <f>+'B) Reajuste Tarifas y Ocupación'!L12</f>
        <v>81700</v>
      </c>
      <c r="E17" s="152">
        <f>+'B) Reajuste Tarifas y Ocupación'!M12</f>
        <v>85300</v>
      </c>
      <c r="F17" s="409">
        <f>IFERROR(C17/$M17,0)</f>
        <v>0.54911198950399676</v>
      </c>
      <c r="G17" s="219">
        <f>IFERROR(D17/$M17,0)</f>
        <v>0.68492289377826776</v>
      </c>
      <c r="H17" s="220">
        <f>IFERROR(E17/$M17,0)</f>
        <v>0.71510309472810574</v>
      </c>
      <c r="I17" s="211" t="s">
        <v>452</v>
      </c>
      <c r="J17" s="239">
        <v>137367</v>
      </c>
      <c r="K17" s="119" t="s">
        <v>453</v>
      </c>
      <c r="L17" s="240">
        <v>101200</v>
      </c>
      <c r="M17" s="221">
        <f>AVERAGE(J17,L17)</f>
        <v>119283.5</v>
      </c>
    </row>
    <row r="18" spans="1:13" ht="15.75" customHeight="1" x14ac:dyDescent="0.35">
      <c r="A18" s="1304"/>
      <c r="B18" s="408" t="str">
        <f>+'B) Reajuste Tarifas y Ocupación'!B13</f>
        <v>Simple</v>
      </c>
      <c r="C18" s="161">
        <f>+'B) Reajuste Tarifas y Ocupación'!K13</f>
        <v>47000</v>
      </c>
      <c r="D18" s="357">
        <f>+'B) Reajuste Tarifas y Ocupación'!L13</f>
        <v>58500</v>
      </c>
      <c r="E18" s="358">
        <f>+'B) Reajuste Tarifas y Ocupación'!M13</f>
        <v>61200</v>
      </c>
      <c r="F18" s="410">
        <f t="shared" ref="F18:H52" si="0">IFERROR(C18/$M18,0)</f>
        <v>0.67555427791153111</v>
      </c>
      <c r="G18" s="223">
        <f t="shared" si="0"/>
        <v>0.84084947357073558</v>
      </c>
      <c r="H18" s="224">
        <f t="shared" si="0"/>
        <v>0.87965791081246181</v>
      </c>
      <c r="I18" s="587" t="s">
        <v>452</v>
      </c>
      <c r="J18" s="83">
        <v>69245</v>
      </c>
      <c r="K18" s="124" t="s">
        <v>453</v>
      </c>
      <c r="L18" s="231">
        <v>69900</v>
      </c>
      <c r="M18" s="225">
        <f t="shared" ref="M18:M41" si="1">AVERAGE(J18,L18)</f>
        <v>69572.5</v>
      </c>
    </row>
    <row r="19" spans="1:13" ht="15.75" customHeight="1" x14ac:dyDescent="0.35">
      <c r="A19" s="1304"/>
      <c r="B19" s="408" t="str">
        <f>+'B) Reajuste Tarifas y Ocupación'!B14</f>
        <v>Doble</v>
      </c>
      <c r="C19" s="161">
        <f>+'B) Reajuste Tarifas y Ocupación'!K14</f>
        <v>51300</v>
      </c>
      <c r="D19" s="357">
        <f>+'B) Reajuste Tarifas y Ocupación'!L14</f>
        <v>63800</v>
      </c>
      <c r="E19" s="358">
        <f>+'B) Reajuste Tarifas y Ocupación'!M14</f>
        <v>66700</v>
      </c>
      <c r="F19" s="410">
        <f t="shared" si="0"/>
        <v>0.61827714001627043</v>
      </c>
      <c r="G19" s="223">
        <f t="shared" si="0"/>
        <v>0.76892946458163847</v>
      </c>
      <c r="H19" s="224">
        <f t="shared" si="0"/>
        <v>0.80388080388080385</v>
      </c>
      <c r="I19" s="587" t="s">
        <v>452</v>
      </c>
      <c r="J19" s="83">
        <v>96045</v>
      </c>
      <c r="K19" s="140" t="s">
        <v>453</v>
      </c>
      <c r="L19" s="231">
        <v>69900</v>
      </c>
      <c r="M19" s="225">
        <f t="shared" si="1"/>
        <v>82972.5</v>
      </c>
    </row>
    <row r="20" spans="1:13" ht="15" customHeight="1" x14ac:dyDescent="0.35">
      <c r="A20" s="1304"/>
      <c r="B20" s="348" t="str">
        <f>+'B) Reajuste Tarifas y Ocupación'!B15</f>
        <v>Matrimonial</v>
      </c>
      <c r="C20" s="161">
        <f>+'B) Reajuste Tarifas y Ocupación'!K15</f>
        <v>51300</v>
      </c>
      <c r="D20" s="357">
        <f>+'B) Reajuste Tarifas y Ocupación'!L15</f>
        <v>63800</v>
      </c>
      <c r="E20" s="358">
        <f>+'B) Reajuste Tarifas y Ocupación'!M15</f>
        <v>66700</v>
      </c>
      <c r="F20" s="410">
        <f t="shared" si="0"/>
        <v>0.61827714001627043</v>
      </c>
      <c r="G20" s="223">
        <f t="shared" si="0"/>
        <v>0.76892946458163847</v>
      </c>
      <c r="H20" s="224">
        <f t="shared" si="0"/>
        <v>0.80388080388080385</v>
      </c>
      <c r="I20" s="584" t="s">
        <v>452</v>
      </c>
      <c r="J20" s="83">
        <v>96045</v>
      </c>
      <c r="K20" s="140" t="s">
        <v>453</v>
      </c>
      <c r="L20" s="231">
        <v>69900</v>
      </c>
      <c r="M20" s="225">
        <f t="shared" si="1"/>
        <v>82972.5</v>
      </c>
    </row>
    <row r="21" spans="1:13" ht="15" customHeight="1" x14ac:dyDescent="0.35">
      <c r="A21" s="1304"/>
      <c r="B21" s="226" t="str">
        <f>+'B) Reajuste Tarifas y Ocupación'!B16</f>
        <v xml:space="preserve">Uso en transito/Early check in/Late Check out </v>
      </c>
      <c r="C21" s="167"/>
      <c r="D21" s="168"/>
      <c r="E21" s="169"/>
      <c r="F21" s="411"/>
      <c r="G21" s="228"/>
      <c r="H21" s="229"/>
      <c r="I21" s="585"/>
      <c r="J21" s="501"/>
      <c r="K21" s="502"/>
      <c r="L21" s="586"/>
      <c r="M21" s="230"/>
    </row>
    <row r="22" spans="1:13" ht="15" customHeight="1" x14ac:dyDescent="0.35">
      <c r="A22" s="1304"/>
      <c r="B22" s="354" t="str">
        <f>+'B) Reajuste Tarifas y Ocupación'!B17</f>
        <v>Superior</v>
      </c>
      <c r="C22" s="161">
        <f>+'B) Reajuste Tarifas y Ocupación'!K17</f>
        <v>19700</v>
      </c>
      <c r="D22" s="357">
        <f>+'B) Reajuste Tarifas y Ocupación'!L17</f>
        <v>24600</v>
      </c>
      <c r="E22" s="358">
        <f>+'B) Reajuste Tarifas y Ocupación'!M17</f>
        <v>25600</v>
      </c>
      <c r="F22" s="410">
        <f t="shared" si="0"/>
        <v>0</v>
      </c>
      <c r="G22" s="223">
        <f t="shared" si="0"/>
        <v>0</v>
      </c>
      <c r="H22" s="224">
        <f t="shared" si="0"/>
        <v>0</v>
      </c>
      <c r="I22" s="587"/>
      <c r="J22" s="83"/>
      <c r="K22" s="124"/>
      <c r="L22" s="231"/>
      <c r="M22" s="225">
        <v>0</v>
      </c>
    </row>
    <row r="23" spans="1:13" ht="15" customHeight="1" x14ac:dyDescent="0.35">
      <c r="A23" s="1304"/>
      <c r="B23" s="354" t="str">
        <f>+'B) Reajuste Tarifas y Ocupación'!B18</f>
        <v>Simple</v>
      </c>
      <c r="C23" s="161">
        <f>+'B) Reajuste Tarifas y Ocupación'!K18</f>
        <v>14100</v>
      </c>
      <c r="D23" s="357">
        <f>+'B) Reajuste Tarifas y Ocupación'!L18</f>
        <v>17600</v>
      </c>
      <c r="E23" s="358">
        <f>+'B) Reajuste Tarifas y Ocupación'!M18</f>
        <v>18400</v>
      </c>
      <c r="F23" s="410">
        <f t="shared" si="0"/>
        <v>0</v>
      </c>
      <c r="G23" s="223">
        <f t="shared" si="0"/>
        <v>0</v>
      </c>
      <c r="H23" s="224">
        <f t="shared" si="0"/>
        <v>0</v>
      </c>
      <c r="I23" s="587"/>
      <c r="J23" s="83"/>
      <c r="K23" s="124"/>
      <c r="L23" s="231"/>
      <c r="M23" s="225">
        <v>0</v>
      </c>
    </row>
    <row r="24" spans="1:13" ht="15" customHeight="1" thickBot="1" x14ac:dyDescent="0.4">
      <c r="A24" s="1304"/>
      <c r="B24" s="354" t="str">
        <f>+'B) Reajuste Tarifas y Ocupación'!B19</f>
        <v>Doble</v>
      </c>
      <c r="C24" s="161">
        <f>+'B) Reajuste Tarifas y Ocupación'!K19</f>
        <v>15400</v>
      </c>
      <c r="D24" s="357">
        <f>+'B) Reajuste Tarifas y Ocupación'!L19</f>
        <v>19200</v>
      </c>
      <c r="E24" s="358">
        <f>+'B) Reajuste Tarifas y Ocupación'!M19</f>
        <v>20100</v>
      </c>
      <c r="F24" s="410">
        <f t="shared" si="0"/>
        <v>0</v>
      </c>
      <c r="G24" s="223">
        <f t="shared" si="0"/>
        <v>0</v>
      </c>
      <c r="H24" s="224">
        <f t="shared" si="0"/>
        <v>0</v>
      </c>
      <c r="I24" s="587"/>
      <c r="J24" s="83"/>
      <c r="K24" s="124"/>
      <c r="L24" s="231"/>
      <c r="M24" s="1130">
        <v>0</v>
      </c>
    </row>
    <row r="25" spans="1:13" ht="15.75" customHeight="1" thickBot="1" x14ac:dyDescent="0.4">
      <c r="A25" s="1305"/>
      <c r="B25" s="354" t="str">
        <f>+'B) Reajuste Tarifas y Ocupación'!B20</f>
        <v>Matrimonial</v>
      </c>
      <c r="C25" s="200">
        <f>+'B) Reajuste Tarifas y Ocupación'!K20</f>
        <v>15400</v>
      </c>
      <c r="D25" s="175">
        <f>+'B) Reajuste Tarifas y Ocupación'!L20</f>
        <v>19200</v>
      </c>
      <c r="E25" s="176">
        <f>+'B) Reajuste Tarifas y Ocupación'!M20</f>
        <v>20100</v>
      </c>
      <c r="F25" s="412">
        <f t="shared" si="0"/>
        <v>0</v>
      </c>
      <c r="G25" s="234">
        <f t="shared" si="0"/>
        <v>0</v>
      </c>
      <c r="H25" s="235">
        <f t="shared" si="0"/>
        <v>0</v>
      </c>
      <c r="I25" s="588"/>
      <c r="J25" s="236"/>
      <c r="K25" s="129"/>
      <c r="L25" s="591"/>
      <c r="M25" s="1131">
        <v>0</v>
      </c>
    </row>
    <row r="26" spans="1:13" ht="15" customHeight="1" x14ac:dyDescent="0.35">
      <c r="A26" s="1308" t="str">
        <f>+'B) Reajuste Tarifas y Ocupación'!A21</f>
        <v>Centro Termal Liquiñe</v>
      </c>
      <c r="B26" s="346" t="str">
        <f>+'B) Reajuste Tarifas y Ocupación'!B21</f>
        <v>Pensión completa adulto</v>
      </c>
      <c r="C26" s="150">
        <f>+'B) Reajuste Tarifas y Ocupación'!K21</f>
        <v>71700</v>
      </c>
      <c r="D26" s="151">
        <f>+'B) Reajuste Tarifas y Ocupación'!L21</f>
        <v>93900</v>
      </c>
      <c r="E26" s="152">
        <f>+'B) Reajuste Tarifas y Ocupación'!M21</f>
        <v>98200</v>
      </c>
      <c r="F26" s="218">
        <f t="shared" si="0"/>
        <v>0.54318181818181821</v>
      </c>
      <c r="G26" s="219">
        <f t="shared" si="0"/>
        <v>0.71136363636363631</v>
      </c>
      <c r="H26" s="220">
        <f t="shared" si="0"/>
        <v>0.7439393939393939</v>
      </c>
      <c r="I26" s="238" t="s">
        <v>454</v>
      </c>
      <c r="J26" s="239">
        <v>132000</v>
      </c>
      <c r="K26" s="119" t="s">
        <v>455</v>
      </c>
      <c r="L26" s="589">
        <v>132000</v>
      </c>
      <c r="M26" s="592">
        <f>AVERAGE(J26,L26)</f>
        <v>132000</v>
      </c>
    </row>
    <row r="27" spans="1:13" ht="15" customHeight="1" x14ac:dyDescent="0.35">
      <c r="A27" s="1304"/>
      <c r="B27" s="347" t="str">
        <f>+'B) Reajuste Tarifas y Ocupación'!B22</f>
        <v>Pensión completa niño</v>
      </c>
      <c r="C27" s="161">
        <f>+'B) Reajuste Tarifas y Ocupación'!K22</f>
        <v>32900</v>
      </c>
      <c r="D27" s="357">
        <f>+'B) Reajuste Tarifas y Ocupación'!L22</f>
        <v>41000</v>
      </c>
      <c r="E27" s="358">
        <f>+'B) Reajuste Tarifas y Ocupación'!M22</f>
        <v>42900</v>
      </c>
      <c r="F27" s="222">
        <f t="shared" si="0"/>
        <v>0.53934426229508192</v>
      </c>
      <c r="G27" s="223">
        <f t="shared" si="0"/>
        <v>0.67213114754098358</v>
      </c>
      <c r="H27" s="224">
        <f t="shared" si="0"/>
        <v>0.70327868852459019</v>
      </c>
      <c r="I27" s="238" t="s">
        <v>457</v>
      </c>
      <c r="J27" s="83">
        <v>61000</v>
      </c>
      <c r="K27" s="124" t="s">
        <v>456</v>
      </c>
      <c r="L27" s="590">
        <v>61000</v>
      </c>
      <c r="M27" s="593">
        <f t="shared" ref="M27:M32" si="2">AVERAGE(J27,L27)</f>
        <v>61000</v>
      </c>
    </row>
    <row r="28" spans="1:13" ht="15" customHeight="1" x14ac:dyDescent="0.35">
      <c r="A28" s="1304"/>
      <c r="B28" s="347" t="str">
        <f>+'B) Reajuste Tarifas y Ocupación'!B23</f>
        <v>Alojamiento sin pensión</v>
      </c>
      <c r="C28" s="161">
        <f>+'B) Reajuste Tarifas y Ocupación'!K23</f>
        <v>43300</v>
      </c>
      <c r="D28" s="357">
        <f>+'B) Reajuste Tarifas y Ocupación'!L23</f>
        <v>54000</v>
      </c>
      <c r="E28" s="358">
        <f>+'B) Reajuste Tarifas y Ocupación'!M23</f>
        <v>56500</v>
      </c>
      <c r="F28" s="222">
        <f t="shared" si="0"/>
        <v>1.0309523809523808</v>
      </c>
      <c r="G28" s="223">
        <f t="shared" si="0"/>
        <v>1.2857142857142858</v>
      </c>
      <c r="H28" s="224">
        <f t="shared" si="0"/>
        <v>1.3452380952380953</v>
      </c>
      <c r="I28" s="124" t="s">
        <v>454</v>
      </c>
      <c r="J28" s="83">
        <v>42000</v>
      </c>
      <c r="K28" s="140" t="s">
        <v>455</v>
      </c>
      <c r="L28" s="590">
        <v>42000</v>
      </c>
      <c r="M28" s="593">
        <f t="shared" si="2"/>
        <v>42000</v>
      </c>
    </row>
    <row r="29" spans="1:13" ht="15" customHeight="1" x14ac:dyDescent="0.35">
      <c r="A29" s="1304"/>
      <c r="B29" s="347" t="str">
        <f>+'B) Reajuste Tarifas y Ocupación'!B24</f>
        <v>Pasante (almuerzo)</v>
      </c>
      <c r="C29" s="161">
        <f>+'B) Reajuste Tarifas y Ocupación'!K24</f>
        <v>15800</v>
      </c>
      <c r="D29" s="357">
        <f>+'B) Reajuste Tarifas y Ocupación'!L24</f>
        <v>19700</v>
      </c>
      <c r="E29" s="358">
        <f>+'B) Reajuste Tarifas y Ocupación'!M24</f>
        <v>20500</v>
      </c>
      <c r="F29" s="222">
        <f t="shared" si="0"/>
        <v>0</v>
      </c>
      <c r="G29" s="223">
        <f t="shared" si="0"/>
        <v>0</v>
      </c>
      <c r="H29" s="224">
        <f t="shared" si="0"/>
        <v>0</v>
      </c>
      <c r="I29" s="499"/>
      <c r="J29" s="83"/>
      <c r="K29" s="124"/>
      <c r="L29" s="590"/>
      <c r="M29" s="593">
        <v>0</v>
      </c>
    </row>
    <row r="30" spans="1:13" ht="15" customHeight="1" x14ac:dyDescent="0.35">
      <c r="A30" s="1304"/>
      <c r="B30" s="347" t="str">
        <f>+'B) Reajuste Tarifas y Ocupación'!B25</f>
        <v>Piscina aduto</v>
      </c>
      <c r="C30" s="161">
        <f>+'B) Reajuste Tarifas y Ocupación'!K25</f>
        <v>5700</v>
      </c>
      <c r="D30" s="357">
        <f>+'B) Reajuste Tarifas y Ocupación'!L25</f>
        <v>7100</v>
      </c>
      <c r="E30" s="358">
        <f>+'B) Reajuste Tarifas y Ocupación'!M25</f>
        <v>7400</v>
      </c>
      <c r="F30" s="222">
        <f t="shared" si="0"/>
        <v>0</v>
      </c>
      <c r="G30" s="223">
        <f t="shared" si="0"/>
        <v>0</v>
      </c>
      <c r="H30" s="224">
        <f t="shared" si="0"/>
        <v>0</v>
      </c>
      <c r="I30" s="499"/>
      <c r="J30" s="83"/>
      <c r="K30" s="124"/>
      <c r="L30" s="590"/>
      <c r="M30" s="593">
        <v>0</v>
      </c>
    </row>
    <row r="31" spans="1:13" ht="15.75" customHeight="1" thickBot="1" x14ac:dyDescent="0.4">
      <c r="A31" s="1305"/>
      <c r="B31" s="348" t="str">
        <f>+'B) Reajuste Tarifas y Ocupación'!B26</f>
        <v>Piscina niños</v>
      </c>
      <c r="C31" s="200">
        <f>+'B) Reajuste Tarifas y Ocupación'!K26</f>
        <v>4100</v>
      </c>
      <c r="D31" s="175">
        <f>+'B) Reajuste Tarifas y Ocupación'!L26</f>
        <v>5200</v>
      </c>
      <c r="E31" s="176">
        <f>+'B) Reajuste Tarifas y Ocupación'!M26</f>
        <v>5400</v>
      </c>
      <c r="F31" s="233">
        <f t="shared" si="0"/>
        <v>0</v>
      </c>
      <c r="G31" s="234">
        <f t="shared" si="0"/>
        <v>0</v>
      </c>
      <c r="H31" s="235">
        <f t="shared" si="0"/>
        <v>0</v>
      </c>
      <c r="I31" s="503"/>
      <c r="J31" s="504"/>
      <c r="K31" s="136"/>
      <c r="L31" s="933"/>
      <c r="M31" s="594">
        <v>0</v>
      </c>
    </row>
    <row r="32" spans="1:13" ht="15" customHeight="1" x14ac:dyDescent="0.35">
      <c r="A32" s="1308" t="str">
        <f>+'B) Reajuste Tarifas y Ocupación'!A28</f>
        <v>Cabañas C.N.C. Tumbes</v>
      </c>
      <c r="B32" s="217" t="str">
        <f>+'B) Reajuste Tarifas y Ocupación'!B28</f>
        <v>Cabañas - día/cabaña</v>
      </c>
      <c r="C32" s="186">
        <f>+'B) Reajuste Tarifas y Ocupación'!K28</f>
        <v>84100</v>
      </c>
      <c r="D32" s="355">
        <f>+'B) Reajuste Tarifas y Ocupación'!L28</f>
        <v>110100</v>
      </c>
      <c r="E32" s="356">
        <f>+'B) Reajuste Tarifas y Ocupación'!M28</f>
        <v>115100</v>
      </c>
      <c r="F32" s="218">
        <f t="shared" si="0"/>
        <v>0.98305084745762716</v>
      </c>
      <c r="G32" s="219">
        <f t="shared" si="0"/>
        <v>1.2869666861484512</v>
      </c>
      <c r="H32" s="220">
        <f t="shared" si="0"/>
        <v>1.3454120397428404</v>
      </c>
      <c r="I32" s="312" t="s">
        <v>458</v>
      </c>
      <c r="J32" s="239">
        <v>78500</v>
      </c>
      <c r="K32" s="119" t="s">
        <v>459</v>
      </c>
      <c r="L32" s="589">
        <v>92600</v>
      </c>
      <c r="M32" s="592">
        <f t="shared" si="2"/>
        <v>85550</v>
      </c>
    </row>
    <row r="33" spans="1:13" ht="15" customHeight="1" x14ac:dyDescent="0.35">
      <c r="A33" s="1304"/>
      <c r="B33" s="226" t="str">
        <f>+'B) Reajuste Tarifas y Ocupación'!B29</f>
        <v xml:space="preserve">Uso en transito/Early check in/Late Check out </v>
      </c>
      <c r="C33" s="167"/>
      <c r="D33" s="168"/>
      <c r="E33" s="169"/>
      <c r="F33" s="227"/>
      <c r="G33" s="228"/>
      <c r="H33" s="229"/>
      <c r="I33" s="500"/>
      <c r="J33" s="501"/>
      <c r="K33" s="502"/>
      <c r="L33" s="934"/>
      <c r="M33" s="935"/>
    </row>
    <row r="34" spans="1:13" ht="15.75" customHeight="1" thickBot="1" x14ac:dyDescent="0.4">
      <c r="A34" s="1305"/>
      <c r="B34" s="232" t="str">
        <f>+'B) Reajuste Tarifas y Ocupación'!B30</f>
        <v>Cabañas - día/cabaña</v>
      </c>
      <c r="C34" s="200">
        <f>+'B) Reajuste Tarifas y Ocupación'!K30</f>
        <v>25300</v>
      </c>
      <c r="D34" s="175">
        <f>+'B) Reajuste Tarifas y Ocupación'!L30</f>
        <v>33100</v>
      </c>
      <c r="E34" s="176">
        <f>+'B) Reajuste Tarifas y Ocupación'!M30</f>
        <v>34600</v>
      </c>
      <c r="F34" s="233">
        <f t="shared" si="0"/>
        <v>0</v>
      </c>
      <c r="G34" s="234">
        <f t="shared" si="0"/>
        <v>0</v>
      </c>
      <c r="H34" s="235">
        <f t="shared" si="0"/>
        <v>0</v>
      </c>
      <c r="I34" s="128"/>
      <c r="J34" s="236"/>
      <c r="K34" s="129"/>
      <c r="L34" s="591"/>
      <c r="M34" s="594">
        <v>0</v>
      </c>
    </row>
    <row r="35" spans="1:13" ht="15.75" customHeight="1" x14ac:dyDescent="0.35">
      <c r="A35" s="1308" t="str">
        <f>+'B) Reajuste Tarifas y Ocupación'!A31</f>
        <v>Piscina C.N.C. Tumbes</v>
      </c>
      <c r="B35" s="346" t="str">
        <f>+'B) Reajuste Tarifas y Ocupación'!B31</f>
        <v>Piscina adultos</v>
      </c>
      <c r="C35" s="150">
        <f>+'B) Reajuste Tarifas y Ocupación'!K31</f>
        <v>5500</v>
      </c>
      <c r="D35" s="151">
        <f>+'B) Reajuste Tarifas y Ocupación'!L31</f>
        <v>6800</v>
      </c>
      <c r="E35" s="152">
        <f>+'B) Reajuste Tarifas y Ocupación'!M31</f>
        <v>7200</v>
      </c>
      <c r="F35" s="218">
        <f t="shared" si="0"/>
        <v>0.50949513663733215</v>
      </c>
      <c r="G35" s="219">
        <f t="shared" si="0"/>
        <v>0.62992125984251968</v>
      </c>
      <c r="H35" s="220">
        <f t="shared" si="0"/>
        <v>0.66697545159796201</v>
      </c>
      <c r="I35" s="312" t="s">
        <v>460</v>
      </c>
      <c r="J35" s="239">
        <v>10200</v>
      </c>
      <c r="K35" s="119" t="s">
        <v>462</v>
      </c>
      <c r="L35" s="240">
        <v>11390</v>
      </c>
      <c r="M35" s="152">
        <f t="shared" si="1"/>
        <v>10795</v>
      </c>
    </row>
    <row r="36" spans="1:13" ht="15.75" customHeight="1" thickBot="1" x14ac:dyDescent="0.4">
      <c r="A36" s="1305"/>
      <c r="B36" s="348" t="str">
        <f>+'B) Reajuste Tarifas y Ocupación'!B32</f>
        <v>Piscina niños</v>
      </c>
      <c r="C36" s="413">
        <f>+'B) Reajuste Tarifas y Ocupación'!K32</f>
        <v>3300</v>
      </c>
      <c r="D36" s="377">
        <f>+'B) Reajuste Tarifas y Ocupación'!L32</f>
        <v>4000</v>
      </c>
      <c r="E36" s="378">
        <f>+'B) Reajuste Tarifas y Ocupación'!M32</f>
        <v>4200</v>
      </c>
      <c r="F36" s="233">
        <f t="shared" si="0"/>
        <v>0.48529411764705882</v>
      </c>
      <c r="G36" s="234">
        <f t="shared" si="0"/>
        <v>0.58823529411764708</v>
      </c>
      <c r="H36" s="235">
        <f t="shared" si="0"/>
        <v>0.61764705882352944</v>
      </c>
      <c r="I36" s="499" t="s">
        <v>461</v>
      </c>
      <c r="J36" s="83">
        <v>6000</v>
      </c>
      <c r="K36" s="124" t="s">
        <v>463</v>
      </c>
      <c r="L36" s="231">
        <v>7600</v>
      </c>
      <c r="M36" s="176">
        <f t="shared" si="1"/>
        <v>6800</v>
      </c>
    </row>
    <row r="37" spans="1:13" ht="15.75" customHeight="1" x14ac:dyDescent="0.35">
      <c r="A37" s="1308" t="str">
        <f>+'B) Reajuste Tarifas y Ocupación'!A33</f>
        <v>Canchas C.N.C. Tumbes</v>
      </c>
      <c r="B37" s="407" t="str">
        <f>+'B) Reajuste Tarifas y Ocupación'!B33</f>
        <v>Cancha tenis (Single)</v>
      </c>
      <c r="C37" s="150">
        <f>+'B) Reajuste Tarifas y Ocupación'!K33</f>
        <v>4600</v>
      </c>
      <c r="D37" s="151">
        <f>+'B) Reajuste Tarifas y Ocupación'!L33</f>
        <v>5700</v>
      </c>
      <c r="E37" s="152">
        <f>+'B) Reajuste Tarifas y Ocupación'!M33</f>
        <v>6000</v>
      </c>
      <c r="F37" s="218">
        <f t="shared" si="0"/>
        <v>0</v>
      </c>
      <c r="G37" s="219">
        <f t="shared" si="0"/>
        <v>0</v>
      </c>
      <c r="H37" s="220">
        <f t="shared" si="0"/>
        <v>0</v>
      </c>
      <c r="I37" s="312"/>
      <c r="J37" s="239"/>
      <c r="K37" s="119"/>
      <c r="L37" s="589"/>
      <c r="M37" s="152">
        <v>0</v>
      </c>
    </row>
    <row r="38" spans="1:13" ht="15.75" customHeight="1" thickBot="1" x14ac:dyDescent="0.4">
      <c r="A38" s="1305"/>
      <c r="B38" s="348" t="str">
        <f>+'B) Reajuste Tarifas y Ocupación'!B34</f>
        <v>Cancha tenis (Doble)</v>
      </c>
      <c r="C38" s="413">
        <f>+'B) Reajuste Tarifas y Ocupación'!K34</f>
        <v>6200</v>
      </c>
      <c r="D38" s="377">
        <f>+'B) Reajuste Tarifas y Ocupación'!L34</f>
        <v>7800</v>
      </c>
      <c r="E38" s="378">
        <f>+'B) Reajuste Tarifas y Ocupación'!M34</f>
        <v>8100</v>
      </c>
      <c r="F38" s="233">
        <f t="shared" si="0"/>
        <v>0</v>
      </c>
      <c r="G38" s="234">
        <f t="shared" si="0"/>
        <v>0</v>
      </c>
      <c r="H38" s="235">
        <f t="shared" si="0"/>
        <v>0</v>
      </c>
      <c r="I38" s="128"/>
      <c r="J38" s="236"/>
      <c r="K38" s="129"/>
      <c r="L38" s="591"/>
      <c r="M38" s="176">
        <v>0</v>
      </c>
    </row>
    <row r="39" spans="1:13" ht="15.75" customHeight="1" x14ac:dyDescent="0.35">
      <c r="A39" s="1308" t="str">
        <f>+'B) Reajuste Tarifas y Ocupación'!A35</f>
        <v>Cabañas C.R. Faro Tumbes</v>
      </c>
      <c r="B39" s="217" t="str">
        <f>+'B) Reajuste Tarifas y Ocupación'!B35</f>
        <v>Cabañas - día/cabaña</v>
      </c>
      <c r="C39" s="150">
        <f>+'B) Reajuste Tarifas y Ocupación'!K35</f>
        <v>55700</v>
      </c>
      <c r="D39" s="151">
        <f>+'B) Reajuste Tarifas y Ocupación'!L35</f>
        <v>69400</v>
      </c>
      <c r="E39" s="152">
        <f>+'B) Reajuste Tarifas y Ocupación'!M35</f>
        <v>72600</v>
      </c>
      <c r="F39" s="218">
        <f t="shared" si="0"/>
        <v>0.75561283320898054</v>
      </c>
      <c r="G39" s="219">
        <f t="shared" si="0"/>
        <v>0.94146374550634204</v>
      </c>
      <c r="H39" s="220">
        <f t="shared" si="0"/>
        <v>0.98487417757579865</v>
      </c>
      <c r="I39" s="139" t="s">
        <v>464</v>
      </c>
      <c r="J39" s="78">
        <v>81230</v>
      </c>
      <c r="K39" s="140" t="s">
        <v>465</v>
      </c>
      <c r="L39" s="1129">
        <v>66200</v>
      </c>
      <c r="M39" s="221">
        <f t="shared" si="1"/>
        <v>73715</v>
      </c>
    </row>
    <row r="40" spans="1:13" ht="15" customHeight="1" x14ac:dyDescent="0.35">
      <c r="A40" s="1304"/>
      <c r="B40" s="226" t="str">
        <f>+'B) Reajuste Tarifas y Ocupación'!B36</f>
        <v xml:space="preserve">Uso en transito/Early check in/Late Check out </v>
      </c>
      <c r="C40" s="197"/>
      <c r="D40" s="388"/>
      <c r="E40" s="389"/>
      <c r="F40" s="227"/>
      <c r="G40" s="228"/>
      <c r="H40" s="229"/>
      <c r="I40" s="500"/>
      <c r="J40" s="501"/>
      <c r="K40" s="502"/>
      <c r="L40" s="501"/>
      <c r="M40" s="230"/>
    </row>
    <row r="41" spans="1:13" ht="15.75" customHeight="1" thickBot="1" x14ac:dyDescent="0.4">
      <c r="A41" s="1305"/>
      <c r="B41" s="232" t="str">
        <f>+'B) Reajuste Tarifas y Ocupación'!B37</f>
        <v>Cabañas - día/cabaña</v>
      </c>
      <c r="C41" s="200">
        <f>+'B) Reajuste Tarifas y Ocupación'!K37</f>
        <v>16800</v>
      </c>
      <c r="D41" s="175">
        <f>+'B) Reajuste Tarifas y Ocupación'!L37</f>
        <v>20900</v>
      </c>
      <c r="E41" s="176">
        <f>+'B) Reajuste Tarifas y Ocupación'!M37</f>
        <v>21800</v>
      </c>
      <c r="F41" s="233">
        <f t="shared" si="0"/>
        <v>0</v>
      </c>
      <c r="G41" s="234">
        <f t="shared" si="0"/>
        <v>0</v>
      </c>
      <c r="H41" s="235">
        <f t="shared" si="0"/>
        <v>0</v>
      </c>
      <c r="I41" s="128"/>
      <c r="J41" s="236">
        <v>0</v>
      </c>
      <c r="K41" s="129"/>
      <c r="L41" s="236">
        <v>0</v>
      </c>
      <c r="M41" s="237">
        <f t="shared" si="1"/>
        <v>0</v>
      </c>
    </row>
    <row r="42" spans="1:13" ht="15.75" customHeight="1" x14ac:dyDescent="0.35">
      <c r="A42" s="1308" t="str">
        <f>+'B) Reajuste Tarifas y Ocupación'!A38</f>
        <v>Piscina C.R. Faro Tumbes</v>
      </c>
      <c r="B42" s="346" t="str">
        <f>+'B) Reajuste Tarifas y Ocupación'!B38</f>
        <v>Piscina adultos</v>
      </c>
      <c r="C42" s="150">
        <f>+'B) Reajuste Tarifas y Ocupación'!K38</f>
        <v>6600</v>
      </c>
      <c r="D42" s="151">
        <f>+'B) Reajuste Tarifas y Ocupación'!L38</f>
        <v>8300</v>
      </c>
      <c r="E42" s="152">
        <f>+'B) Reajuste Tarifas y Ocupación'!M38</f>
        <v>8700</v>
      </c>
      <c r="F42" s="218">
        <f t="shared" si="0"/>
        <v>0.61139416396479851</v>
      </c>
      <c r="G42" s="219">
        <f t="shared" si="0"/>
        <v>0.76887447892542848</v>
      </c>
      <c r="H42" s="220">
        <f t="shared" si="0"/>
        <v>0.80592867068087082</v>
      </c>
      <c r="I42" s="312" t="s">
        <v>460</v>
      </c>
      <c r="J42" s="239">
        <v>10200</v>
      </c>
      <c r="K42" s="119" t="s">
        <v>462</v>
      </c>
      <c r="L42" s="240">
        <v>11390</v>
      </c>
      <c r="M42" s="152">
        <f>AVERAGE(J42,L42)</f>
        <v>10795</v>
      </c>
    </row>
    <row r="43" spans="1:13" ht="15.75" customHeight="1" thickBot="1" x14ac:dyDescent="0.4">
      <c r="A43" s="1305"/>
      <c r="B43" s="348" t="str">
        <f>+'B) Reajuste Tarifas y Ocupación'!B39</f>
        <v>Piscina niños</v>
      </c>
      <c r="C43" s="415">
        <f>+'B) Reajuste Tarifas y Ocupación'!K39</f>
        <v>3900</v>
      </c>
      <c r="D43" s="395">
        <f>+'B) Reajuste Tarifas y Ocupación'!L39</f>
        <v>4900</v>
      </c>
      <c r="E43" s="396">
        <f>+'B) Reajuste Tarifas y Ocupación'!M39</f>
        <v>5100</v>
      </c>
      <c r="F43" s="233">
        <f t="shared" si="0"/>
        <v>0.57352941176470584</v>
      </c>
      <c r="G43" s="234">
        <f t="shared" si="0"/>
        <v>0.72058823529411764</v>
      </c>
      <c r="H43" s="235">
        <f t="shared" si="0"/>
        <v>0.75</v>
      </c>
      <c r="I43" s="499" t="s">
        <v>461</v>
      </c>
      <c r="J43" s="83">
        <v>6000</v>
      </c>
      <c r="K43" s="124" t="s">
        <v>463</v>
      </c>
      <c r="L43" s="231">
        <v>7600</v>
      </c>
      <c r="M43" s="176">
        <f>AVERAGE(J43,L43)</f>
        <v>6800</v>
      </c>
    </row>
    <row r="44" spans="1:13" ht="15.75" customHeight="1" x14ac:dyDescent="0.35">
      <c r="A44" s="1308" t="str">
        <f>+'B) Reajuste Tarifas y Ocupación'!A40</f>
        <v>Quinchos y Canchas 
C.R. Faro Tumbes</v>
      </c>
      <c r="B44" s="407" t="str">
        <f>+'B) Reajuste Tarifas y Ocupación'!B40</f>
        <v>Quincho 1 [1 a 20 pp.]</v>
      </c>
      <c r="C44" s="150">
        <f>+'B) Reajuste Tarifas y Ocupación'!K40</f>
        <v>70700</v>
      </c>
      <c r="D44" s="151">
        <f>+'B) Reajuste Tarifas y Ocupación'!L40</f>
        <v>92500</v>
      </c>
      <c r="E44" s="152">
        <f>+'B) Reajuste Tarifas y Ocupación'!M40</f>
        <v>96800</v>
      </c>
      <c r="F44" s="409">
        <f t="shared" si="0"/>
        <v>0.99647639182522907</v>
      </c>
      <c r="G44" s="219">
        <f t="shared" si="0"/>
        <v>1.3037350246652573</v>
      </c>
      <c r="H44" s="220">
        <f t="shared" si="0"/>
        <v>1.3643410852713178</v>
      </c>
      <c r="I44" s="312" t="s">
        <v>469</v>
      </c>
      <c r="J44" s="239">
        <v>73500</v>
      </c>
      <c r="K44" s="119" t="s">
        <v>466</v>
      </c>
      <c r="L44" s="589">
        <v>68400</v>
      </c>
      <c r="M44" s="592">
        <f t="shared" ref="M44:M50" si="3">AVERAGE(J44,L44)</f>
        <v>70950</v>
      </c>
    </row>
    <row r="45" spans="1:13" ht="15.75" customHeight="1" x14ac:dyDescent="0.35">
      <c r="A45" s="1304"/>
      <c r="B45" s="408" t="str">
        <f>+'B) Reajuste Tarifas y Ocupación'!B41</f>
        <v>Quincho 1 [persona adicional)</v>
      </c>
      <c r="C45" s="161">
        <f>+'B) Reajuste Tarifas y Ocupación'!K41</f>
        <v>2200</v>
      </c>
      <c r="D45" s="357">
        <f>+'B) Reajuste Tarifas y Ocupación'!L41</f>
        <v>2900</v>
      </c>
      <c r="E45" s="358">
        <f>+'B) Reajuste Tarifas y Ocupación'!M41</f>
        <v>3000</v>
      </c>
      <c r="F45" s="410">
        <f t="shared" si="0"/>
        <v>0</v>
      </c>
      <c r="G45" s="223">
        <f t="shared" si="0"/>
        <v>0</v>
      </c>
      <c r="H45" s="224">
        <f t="shared" si="0"/>
        <v>0</v>
      </c>
      <c r="I45" s="587"/>
      <c r="J45" s="83">
        <v>0</v>
      </c>
      <c r="K45" s="124"/>
      <c r="L45" s="590">
        <v>0</v>
      </c>
      <c r="M45" s="593">
        <f t="shared" si="3"/>
        <v>0</v>
      </c>
    </row>
    <row r="46" spans="1:13" ht="15.75" customHeight="1" x14ac:dyDescent="0.35">
      <c r="A46" s="1304"/>
      <c r="B46" s="408" t="str">
        <f>+'B) Reajuste Tarifas y Ocupación'!B42</f>
        <v>Quincho 2 (41-80 personas)</v>
      </c>
      <c r="C46" s="161">
        <f>+'B) Reajuste Tarifas y Ocupación'!K42</f>
        <v>157400</v>
      </c>
      <c r="D46" s="357">
        <f>+'B) Reajuste Tarifas y Ocupación'!L42</f>
        <v>206100</v>
      </c>
      <c r="E46" s="358">
        <f>+'B) Reajuste Tarifas y Ocupación'!M42</f>
        <v>215400</v>
      </c>
      <c r="F46" s="410">
        <f t="shared" si="0"/>
        <v>1.5554128168387766</v>
      </c>
      <c r="G46" s="223">
        <f t="shared" si="0"/>
        <v>2.0366618904096052</v>
      </c>
      <c r="H46" s="224">
        <f t="shared" si="0"/>
        <v>2.1285636642126589</v>
      </c>
      <c r="I46" s="139" t="s">
        <v>469</v>
      </c>
      <c r="J46" s="78">
        <v>120000</v>
      </c>
      <c r="K46" s="140" t="s">
        <v>466</v>
      </c>
      <c r="L46" s="590">
        <v>82390</v>
      </c>
      <c r="M46" s="593">
        <f t="shared" si="3"/>
        <v>101195</v>
      </c>
    </row>
    <row r="47" spans="1:13" ht="15.75" customHeight="1" x14ac:dyDescent="0.35">
      <c r="A47" s="1304"/>
      <c r="B47" s="408" t="str">
        <f>+'B) Reajuste Tarifas y Ocupación'!B43</f>
        <v>Quincho 2 (persona adicional)</v>
      </c>
      <c r="C47" s="161">
        <f>+'B) Reajuste Tarifas y Ocupación'!K43</f>
        <v>2200</v>
      </c>
      <c r="D47" s="357">
        <f>+'B) Reajuste Tarifas y Ocupación'!L43</f>
        <v>2900</v>
      </c>
      <c r="E47" s="358">
        <f>+'B) Reajuste Tarifas y Ocupación'!M43</f>
        <v>3000</v>
      </c>
      <c r="F47" s="410">
        <f t="shared" si="0"/>
        <v>0</v>
      </c>
      <c r="G47" s="223">
        <f t="shared" si="0"/>
        <v>0</v>
      </c>
      <c r="H47" s="224">
        <f t="shared" si="0"/>
        <v>0</v>
      </c>
      <c r="I47" s="499"/>
      <c r="J47" s="83">
        <v>0</v>
      </c>
      <c r="K47" s="124"/>
      <c r="L47" s="590">
        <v>0</v>
      </c>
      <c r="M47" s="593">
        <f t="shared" si="3"/>
        <v>0</v>
      </c>
    </row>
    <row r="48" spans="1:13" ht="15.75" customHeight="1" x14ac:dyDescent="0.35">
      <c r="A48" s="1304"/>
      <c r="B48" s="408" t="str">
        <f>+'B) Reajuste Tarifas y Ocupación'!B44</f>
        <v>Picnic 1- 10 personas</v>
      </c>
      <c r="C48" s="161">
        <f>+'B) Reajuste Tarifas y Ocupación'!K44</f>
        <v>16100</v>
      </c>
      <c r="D48" s="357">
        <f>+'B) Reajuste Tarifas y Ocupación'!L44</f>
        <v>21200</v>
      </c>
      <c r="E48" s="358">
        <f>+'B) Reajuste Tarifas y Ocupación'!M44</f>
        <v>22100</v>
      </c>
      <c r="F48" s="410">
        <f t="shared" si="0"/>
        <v>0</v>
      </c>
      <c r="G48" s="223">
        <f t="shared" si="0"/>
        <v>0</v>
      </c>
      <c r="H48" s="224">
        <f t="shared" si="0"/>
        <v>0</v>
      </c>
      <c r="I48" s="499"/>
      <c r="J48" s="83">
        <v>0</v>
      </c>
      <c r="K48" s="124"/>
      <c r="L48" s="590">
        <v>0</v>
      </c>
      <c r="M48" s="593">
        <f t="shared" si="3"/>
        <v>0</v>
      </c>
    </row>
    <row r="49" spans="1:13" ht="15.75" customHeight="1" x14ac:dyDescent="0.35">
      <c r="A49" s="1304"/>
      <c r="B49" s="408" t="str">
        <f>+'B) Reajuste Tarifas y Ocupación'!B45</f>
        <v>Picnic (persona adicional)</v>
      </c>
      <c r="C49" s="161">
        <f>+'B) Reajuste Tarifas y Ocupación'!K45</f>
        <v>1400</v>
      </c>
      <c r="D49" s="357">
        <f>+'B) Reajuste Tarifas y Ocupación'!L45</f>
        <v>1700</v>
      </c>
      <c r="E49" s="358">
        <f>+'B) Reajuste Tarifas y Ocupación'!M45</f>
        <v>1800</v>
      </c>
      <c r="F49" s="410">
        <f t="shared" si="0"/>
        <v>0</v>
      </c>
      <c r="G49" s="223">
        <f t="shared" si="0"/>
        <v>0</v>
      </c>
      <c r="H49" s="224">
        <f t="shared" si="0"/>
        <v>0</v>
      </c>
      <c r="I49" s="499"/>
      <c r="J49" s="83">
        <v>0</v>
      </c>
      <c r="K49" s="124"/>
      <c r="L49" s="590">
        <v>0</v>
      </c>
      <c r="M49" s="593">
        <f t="shared" si="3"/>
        <v>0</v>
      </c>
    </row>
    <row r="50" spans="1:13" ht="15.75" customHeight="1" x14ac:dyDescent="0.35">
      <c r="A50" s="1304"/>
      <c r="B50" s="408" t="str">
        <f>+'B) Reajuste Tarifas y Ocupación'!B46</f>
        <v>Cancha pasto sintético</v>
      </c>
      <c r="C50" s="161">
        <f>+'B) Reajuste Tarifas y Ocupación'!K46</f>
        <v>24800</v>
      </c>
      <c r="D50" s="357">
        <f>+'B) Reajuste Tarifas y Ocupación'!L46</f>
        <v>32500</v>
      </c>
      <c r="E50" s="358">
        <f>+'B) Reajuste Tarifas y Ocupación'!M46</f>
        <v>34000</v>
      </c>
      <c r="F50" s="410">
        <f t="shared" si="0"/>
        <v>0.69859154929577461</v>
      </c>
      <c r="G50" s="223">
        <f t="shared" si="0"/>
        <v>0.91549295774647887</v>
      </c>
      <c r="H50" s="224">
        <f t="shared" si="0"/>
        <v>0.95774647887323938</v>
      </c>
      <c r="I50" s="499" t="s">
        <v>467</v>
      </c>
      <c r="J50" s="83">
        <v>38000</v>
      </c>
      <c r="K50" s="124" t="s">
        <v>468</v>
      </c>
      <c r="L50" s="590">
        <v>33000</v>
      </c>
      <c r="M50" s="593">
        <f t="shared" si="3"/>
        <v>35500</v>
      </c>
    </row>
    <row r="51" spans="1:13" ht="15.75" customHeight="1" x14ac:dyDescent="0.35">
      <c r="A51" s="1304"/>
      <c r="B51" s="408" t="str">
        <f>+'B) Reajuste Tarifas y Ocupación'!B47</f>
        <v>Cancha tenis (Single)</v>
      </c>
      <c r="C51" s="161">
        <f>+'B) Reajuste Tarifas y Ocupación'!K47</f>
        <v>4100</v>
      </c>
      <c r="D51" s="357">
        <f>+'B) Reajuste Tarifas y Ocupación'!L47</f>
        <v>5200</v>
      </c>
      <c r="E51" s="358">
        <f>+'B) Reajuste Tarifas y Ocupación'!M47</f>
        <v>5400</v>
      </c>
      <c r="F51" s="410">
        <f t="shared" si="0"/>
        <v>0</v>
      </c>
      <c r="G51" s="223">
        <f t="shared" si="0"/>
        <v>0</v>
      </c>
      <c r="H51" s="224">
        <f t="shared" si="0"/>
        <v>0</v>
      </c>
      <c r="I51" s="499"/>
      <c r="J51" s="83"/>
      <c r="K51" s="124"/>
      <c r="L51" s="590"/>
      <c r="M51" s="593"/>
    </row>
    <row r="52" spans="1:13" ht="15.75" customHeight="1" thickBot="1" x14ac:dyDescent="0.4">
      <c r="A52" s="1305"/>
      <c r="B52" s="414" t="str">
        <f>+'B) Reajuste Tarifas y Ocupación'!B48</f>
        <v>Cancha tenis (Doble)</v>
      </c>
      <c r="C52" s="200">
        <f>+'B) Reajuste Tarifas y Ocupación'!K48</f>
        <v>5700</v>
      </c>
      <c r="D52" s="175">
        <f>+'B) Reajuste Tarifas y Ocupación'!L48</f>
        <v>7100</v>
      </c>
      <c r="E52" s="176">
        <f>+'B) Reajuste Tarifas y Ocupación'!M48</f>
        <v>7400</v>
      </c>
      <c r="F52" s="412">
        <f t="shared" si="0"/>
        <v>0</v>
      </c>
      <c r="G52" s="234">
        <f t="shared" si="0"/>
        <v>0</v>
      </c>
      <c r="H52" s="235">
        <f t="shared" si="0"/>
        <v>0</v>
      </c>
      <c r="I52" s="128"/>
      <c r="J52" s="236"/>
      <c r="K52" s="129"/>
      <c r="L52" s="591"/>
      <c r="M52" s="594"/>
    </row>
  </sheetData>
  <mergeCells count="18">
    <mergeCell ref="A39:A41"/>
    <mergeCell ref="A42:A43"/>
    <mergeCell ref="A44:A52"/>
    <mergeCell ref="M15:M16"/>
    <mergeCell ref="A17:A25"/>
    <mergeCell ref="A26:A31"/>
    <mergeCell ref="A32:A34"/>
    <mergeCell ref="A35:A36"/>
    <mergeCell ref="A37:A38"/>
    <mergeCell ref="D4:E4"/>
    <mergeCell ref="A7:L10"/>
    <mergeCell ref="A13:D13"/>
    <mergeCell ref="A15:A16"/>
    <mergeCell ref="B15:B16"/>
    <mergeCell ref="C15:E15"/>
    <mergeCell ref="F15:H15"/>
    <mergeCell ref="I15:J15"/>
    <mergeCell ref="K15:L15"/>
  </mergeCells>
  <hyperlinks>
    <hyperlink ref="A13:D13" location="'Índice Tablas '!A1" display="TABLA 14: COMPARACIÓN TARIFAS CON PRECIOS DE MERCADO"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AN115"/>
  <sheetViews>
    <sheetView zoomScale="69" zoomScaleNormal="69" workbookViewId="0">
      <selection activeCell="N40" sqref="N40"/>
    </sheetView>
  </sheetViews>
  <sheetFormatPr baseColWidth="10" defaultColWidth="11.453125" defaultRowHeight="14.5" x14ac:dyDescent="0.35"/>
  <cols>
    <col min="1" max="1" width="31.7265625" style="937" customWidth="1"/>
    <col min="2" max="2" width="29.7265625" style="937" customWidth="1"/>
    <col min="3" max="3" width="17.81640625" style="937" customWidth="1"/>
    <col min="4" max="5" width="19" style="937" customWidth="1"/>
    <col min="6" max="6" width="21.26953125" style="937" customWidth="1"/>
    <col min="7" max="7" width="15.81640625" style="937" customWidth="1"/>
    <col min="8" max="8" width="16.54296875" style="937" customWidth="1"/>
    <col min="9" max="10" width="19" style="937" customWidth="1"/>
    <col min="11" max="11" width="14.26953125" style="937" customWidth="1"/>
    <col min="12" max="13" width="19" style="937" customWidth="1"/>
    <col min="14" max="14" width="12.453125" style="937" customWidth="1"/>
    <col min="15" max="15" width="15.7265625" style="937" customWidth="1"/>
    <col min="16" max="16" width="11.7265625" style="937" customWidth="1"/>
    <col min="17" max="40" width="11.54296875" customWidth="1"/>
    <col min="41" max="16384" width="11.453125" style="206"/>
  </cols>
  <sheetData>
    <row r="1" spans="1:40" x14ac:dyDescent="0.35">
      <c r="L1" s="3"/>
      <c r="M1" s="938"/>
    </row>
    <row r="2" spans="1:40" x14ac:dyDescent="0.35">
      <c r="L2" s="3" t="s">
        <v>217</v>
      </c>
      <c r="M2" s="938"/>
    </row>
    <row r="4" spans="1:40" ht="15.5" x14ac:dyDescent="0.35">
      <c r="K4" s="8" t="s">
        <v>1</v>
      </c>
      <c r="L4" s="1488" t="str">
        <f>+'[3]B) Reajuste Tarifas y Ocupación'!F5</f>
        <v>BIENTALC</v>
      </c>
      <c r="M4" s="1489"/>
    </row>
    <row r="6" spans="1:40" x14ac:dyDescent="0.35">
      <c r="A6" s="1490"/>
      <c r="B6" s="1490"/>
      <c r="C6" s="1490"/>
      <c r="D6" s="1490"/>
      <c r="E6" s="1490"/>
      <c r="F6" s="1490"/>
      <c r="G6" s="1490"/>
      <c r="H6" s="1490"/>
      <c r="I6" s="1490"/>
      <c r="J6" s="1490"/>
      <c r="K6" s="1490"/>
      <c r="L6" s="1490"/>
      <c r="M6" s="1490"/>
      <c r="N6" s="1490"/>
      <c r="O6" s="1490"/>
      <c r="P6" s="1490"/>
    </row>
    <row r="7" spans="1:40" x14ac:dyDescent="0.35">
      <c r="A7" s="913"/>
      <c r="B7" s="913"/>
      <c r="C7" s="913"/>
      <c r="D7" s="913"/>
      <c r="E7" s="913"/>
      <c r="F7" s="913"/>
      <c r="G7" s="913"/>
      <c r="H7" s="913"/>
      <c r="I7" s="913"/>
      <c r="J7" s="913"/>
      <c r="K7" s="913"/>
      <c r="L7" s="913"/>
      <c r="M7" s="913"/>
      <c r="N7" s="913"/>
      <c r="O7" s="913"/>
      <c r="P7" s="913"/>
    </row>
    <row r="8" spans="1:40" x14ac:dyDescent="0.35">
      <c r="A8" s="913"/>
      <c r="B8" s="913"/>
      <c r="C8" s="913"/>
      <c r="D8" s="913"/>
      <c r="E8" s="913"/>
      <c r="F8" s="913"/>
      <c r="G8" s="913"/>
      <c r="H8" s="913"/>
      <c r="I8" s="913"/>
      <c r="J8" s="913"/>
      <c r="K8" s="913"/>
      <c r="L8" s="913"/>
      <c r="M8" s="913"/>
      <c r="N8" s="913"/>
      <c r="O8" s="913"/>
      <c r="P8" s="913"/>
    </row>
    <row r="9" spans="1:40" s="304" customFormat="1" ht="12.75" customHeight="1" x14ac:dyDescent="0.35">
      <c r="A9" s="973" t="s">
        <v>448</v>
      </c>
      <c r="B9" s="974"/>
      <c r="C9" s="974"/>
      <c r="D9" s="974"/>
      <c r="E9" s="974"/>
      <c r="F9" s="974"/>
      <c r="G9" s="974"/>
      <c r="H9" s="974"/>
      <c r="I9" s="974"/>
      <c r="J9" s="974"/>
      <c r="K9" s="974"/>
      <c r="L9" s="974"/>
      <c r="M9" s="974"/>
      <c r="N9" s="974"/>
      <c r="O9" s="974"/>
      <c r="P9" s="974"/>
      <c r="Q9" s="937"/>
      <c r="R9" s="937"/>
      <c r="S9" s="937"/>
      <c r="T9" s="937"/>
      <c r="U9" s="937"/>
      <c r="V9" s="937"/>
      <c r="W9" s="937"/>
      <c r="X9" s="937"/>
      <c r="Y9" s="937"/>
      <c r="Z9" s="937"/>
      <c r="AA9" s="937"/>
      <c r="AB9" s="937"/>
      <c r="AC9" s="937"/>
      <c r="AD9" s="937"/>
      <c r="AE9" s="937"/>
      <c r="AF9" s="937"/>
      <c r="AG9" s="937"/>
      <c r="AH9" s="937"/>
      <c r="AI9" s="937"/>
      <c r="AJ9" s="937"/>
      <c r="AK9" s="937"/>
      <c r="AL9" s="937"/>
      <c r="AM9" s="937"/>
      <c r="AN9" s="937"/>
    </row>
    <row r="10" spans="1:40" s="304" customFormat="1" x14ac:dyDescent="0.35">
      <c r="A10" s="974"/>
      <c r="B10" s="974"/>
      <c r="C10" s="974"/>
      <c r="D10" s="974"/>
      <c r="E10" s="974"/>
      <c r="F10" s="974"/>
      <c r="G10" s="974"/>
      <c r="H10" s="974"/>
      <c r="I10" s="974"/>
      <c r="J10" s="974"/>
      <c r="K10" s="974"/>
      <c r="L10" s="974"/>
      <c r="M10" s="974"/>
      <c r="N10" s="974"/>
      <c r="O10" s="974"/>
      <c r="P10" s="974"/>
      <c r="Q10" s="937"/>
      <c r="R10" s="937"/>
      <c r="S10" s="937"/>
      <c r="T10" s="937"/>
      <c r="U10" s="937"/>
      <c r="V10" s="937"/>
      <c r="W10" s="937"/>
      <c r="X10" s="937"/>
      <c r="Y10" s="937"/>
      <c r="Z10" s="937"/>
      <c r="AA10" s="937"/>
      <c r="AB10" s="937"/>
      <c r="AC10" s="937"/>
      <c r="AD10" s="937"/>
      <c r="AE10" s="937"/>
      <c r="AF10" s="937"/>
      <c r="AG10" s="937"/>
      <c r="AH10" s="937"/>
      <c r="AI10" s="937"/>
      <c r="AJ10" s="937"/>
      <c r="AK10" s="937"/>
      <c r="AL10" s="937"/>
      <c r="AM10" s="937"/>
      <c r="AN10" s="937"/>
    </row>
    <row r="11" spans="1:40" s="304" customFormat="1" x14ac:dyDescent="0.35">
      <c r="A11" s="975" t="s">
        <v>608</v>
      </c>
      <c r="B11" s="974"/>
      <c r="C11" s="974"/>
      <c r="D11" s="974"/>
      <c r="E11" s="974"/>
      <c r="F11" s="974"/>
      <c r="G11" s="974"/>
      <c r="H11" s="974"/>
      <c r="I11" s="974"/>
      <c r="J11" s="974"/>
      <c r="K11" s="974"/>
      <c r="L11" s="974"/>
      <c r="M11" s="974"/>
      <c r="N11" s="974"/>
      <c r="O11" s="937"/>
      <c r="P11" s="974"/>
      <c r="Q11" s="937"/>
      <c r="R11" s="937"/>
      <c r="S11" s="937"/>
      <c r="T11" s="937"/>
      <c r="U11" s="937"/>
      <c r="V11" s="937"/>
      <c r="W11" s="937"/>
      <c r="X11" s="937"/>
      <c r="Y11" s="937"/>
      <c r="Z11" s="937"/>
      <c r="AA11" s="937"/>
      <c r="AB11" s="937"/>
      <c r="AC11" s="937"/>
      <c r="AD11" s="937"/>
      <c r="AE11" s="937"/>
      <c r="AF11" s="937"/>
      <c r="AG11" s="937"/>
      <c r="AH11" s="937"/>
      <c r="AI11" s="937"/>
      <c r="AJ11" s="937"/>
      <c r="AK11" s="937"/>
      <c r="AL11" s="937"/>
      <c r="AM11" s="937"/>
      <c r="AN11" s="937"/>
    </row>
    <row r="12" spans="1:40" s="304" customFormat="1" ht="15" thickBot="1" x14ac:dyDescent="0.4">
      <c r="A12" s="976"/>
      <c r="B12" s="975"/>
      <c r="C12" s="975"/>
      <c r="D12" s="976"/>
      <c r="E12" s="976"/>
      <c r="F12" s="976"/>
      <c r="G12" s="976"/>
      <c r="H12" s="976"/>
      <c r="I12" s="976"/>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7"/>
      <c r="AI12" s="937"/>
      <c r="AJ12" s="937"/>
      <c r="AK12" s="937"/>
      <c r="AL12" s="937"/>
      <c r="AM12" s="937"/>
      <c r="AN12" s="937"/>
    </row>
    <row r="13" spans="1:40" s="304" customFormat="1" ht="15" thickBot="1" x14ac:dyDescent="0.4">
      <c r="A13" s="977" t="s">
        <v>609</v>
      </c>
      <c r="B13" s="978" t="s">
        <v>25</v>
      </c>
      <c r="C13" s="979" t="s">
        <v>610</v>
      </c>
      <c r="D13" s="979" t="s">
        <v>611</v>
      </c>
      <c r="E13" s="980" t="s">
        <v>612</v>
      </c>
      <c r="F13" s="980" t="s">
        <v>613</v>
      </c>
      <c r="G13" s="980" t="s">
        <v>614</v>
      </c>
      <c r="H13" s="981" t="s">
        <v>615</v>
      </c>
      <c r="I13" s="980" t="s">
        <v>616</v>
      </c>
      <c r="J13" s="982" t="s">
        <v>617</v>
      </c>
      <c r="K13" s="983" t="s">
        <v>618</v>
      </c>
      <c r="L13" s="984" t="s">
        <v>619</v>
      </c>
      <c r="M13" s="985" t="s">
        <v>620</v>
      </c>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7"/>
      <c r="AL13" s="937"/>
      <c r="AM13" s="937"/>
      <c r="AN13" s="937"/>
    </row>
    <row r="14" spans="1:40" s="304" customFormat="1" ht="15" thickBot="1" x14ac:dyDescent="0.4">
      <c r="A14" s="986">
        <v>1</v>
      </c>
      <c r="B14" s="987" t="s">
        <v>621</v>
      </c>
      <c r="C14" s="988">
        <v>2538</v>
      </c>
      <c r="D14" s="989" t="s">
        <v>622</v>
      </c>
      <c r="E14" s="990">
        <f>+C14*D14</f>
        <v>50760</v>
      </c>
      <c r="F14" s="990"/>
      <c r="G14" s="988">
        <f t="shared" ref="G14:G28" si="0">+E14-F14</f>
        <v>50760</v>
      </c>
      <c r="H14" s="991">
        <v>6</v>
      </c>
      <c r="I14" s="990">
        <f t="shared" ref="I14:I28" si="1">+G14*H14</f>
        <v>304560</v>
      </c>
      <c r="J14" s="990">
        <f>+I14*12</f>
        <v>3654720</v>
      </c>
      <c r="K14" s="992"/>
      <c r="L14" s="993">
        <f>+J14+K14</f>
        <v>3654720</v>
      </c>
      <c r="M14" s="1110">
        <f>+D14*H14*12</f>
        <v>1440</v>
      </c>
      <c r="N14" s="1108">
        <f>+M14</f>
        <v>1440</v>
      </c>
      <c r="O14" s="1109">
        <f>+L14</f>
        <v>3654720</v>
      </c>
      <c r="P14" s="937"/>
      <c r="Q14" s="937"/>
      <c r="R14" s="937"/>
      <c r="S14" s="937"/>
      <c r="T14" s="937"/>
      <c r="U14" s="937"/>
      <c r="V14" s="937"/>
      <c r="W14" s="937"/>
      <c r="X14" s="937"/>
      <c r="Y14" s="937"/>
      <c r="Z14" s="937"/>
      <c r="AA14" s="937"/>
      <c r="AB14" s="937"/>
      <c r="AC14" s="937"/>
      <c r="AD14" s="937"/>
      <c r="AE14" s="937"/>
      <c r="AF14" s="937"/>
      <c r="AG14" s="937"/>
      <c r="AH14" s="937"/>
      <c r="AI14" s="937"/>
      <c r="AJ14" s="937"/>
      <c r="AK14" s="937"/>
      <c r="AL14" s="937"/>
      <c r="AM14" s="937"/>
      <c r="AN14" s="937"/>
    </row>
    <row r="15" spans="1:40" s="304" customFormat="1" ht="15" thickBot="1" x14ac:dyDescent="0.4">
      <c r="A15" s="994">
        <v>2</v>
      </c>
      <c r="B15" s="995" t="s">
        <v>437</v>
      </c>
      <c r="C15" s="996">
        <v>2538</v>
      </c>
      <c r="D15" s="997" t="s">
        <v>622</v>
      </c>
      <c r="E15" s="998">
        <f>+C15*D15</f>
        <v>50760</v>
      </c>
      <c r="F15" s="998"/>
      <c r="G15" s="996">
        <f t="shared" si="0"/>
        <v>50760</v>
      </c>
      <c r="H15" s="999">
        <v>2</v>
      </c>
      <c r="I15" s="998">
        <f t="shared" si="1"/>
        <v>101520</v>
      </c>
      <c r="J15" s="1000">
        <f>+I15*11</f>
        <v>1116720</v>
      </c>
      <c r="K15" s="1001"/>
      <c r="L15" s="1002">
        <f>+J15+K15</f>
        <v>1116720</v>
      </c>
      <c r="M15" s="1112">
        <f>+D15*H15*11</f>
        <v>440</v>
      </c>
      <c r="N15" s="1108">
        <f>+M15</f>
        <v>440</v>
      </c>
      <c r="O15" s="1109">
        <f>+L15</f>
        <v>1116720</v>
      </c>
      <c r="P15" s="937"/>
      <c r="Q15" s="937"/>
      <c r="R15" s="937"/>
      <c r="S15" s="937"/>
      <c r="T15" s="937"/>
      <c r="U15" s="937"/>
      <c r="V15" s="937"/>
      <c r="W15" s="937"/>
      <c r="X15" s="937"/>
      <c r="Y15" s="937"/>
      <c r="Z15" s="937"/>
      <c r="AA15" s="937"/>
      <c r="AB15" s="937"/>
      <c r="AC15" s="937"/>
      <c r="AD15" s="937"/>
      <c r="AE15" s="937"/>
      <c r="AF15" s="937"/>
      <c r="AG15" s="937"/>
      <c r="AH15" s="937"/>
      <c r="AI15" s="937"/>
      <c r="AJ15" s="937"/>
      <c r="AK15" s="937"/>
      <c r="AL15" s="937"/>
      <c r="AM15" s="937"/>
      <c r="AN15" s="937"/>
    </row>
    <row r="16" spans="1:40" s="304" customFormat="1" ht="15" thickBot="1" x14ac:dyDescent="0.4">
      <c r="A16" s="994">
        <v>3</v>
      </c>
      <c r="B16" s="995" t="s">
        <v>48</v>
      </c>
      <c r="C16" s="996">
        <v>2538</v>
      </c>
      <c r="D16" s="997" t="s">
        <v>622</v>
      </c>
      <c r="E16" s="998">
        <f t="shared" ref="E16:E28" si="2">+C16*D16</f>
        <v>50760</v>
      </c>
      <c r="F16" s="998"/>
      <c r="G16" s="996">
        <f t="shared" si="0"/>
        <v>50760</v>
      </c>
      <c r="H16" s="999">
        <v>4</v>
      </c>
      <c r="I16" s="998">
        <f t="shared" si="1"/>
        <v>203040</v>
      </c>
      <c r="J16" s="1000">
        <f>+I16*12</f>
        <v>2436480</v>
      </c>
      <c r="K16" s="1001"/>
      <c r="L16" s="1002">
        <f>+J16+K16</f>
        <v>2436480</v>
      </c>
      <c r="M16" s="1128">
        <f>+D16*H16*12</f>
        <v>960</v>
      </c>
      <c r="N16" s="1108">
        <f>+M16</f>
        <v>960</v>
      </c>
      <c r="O16" s="1109">
        <f>+L16</f>
        <v>2436480</v>
      </c>
      <c r="P16" s="937"/>
      <c r="Q16" s="937"/>
      <c r="R16" s="937"/>
      <c r="S16" s="937"/>
      <c r="T16" s="937"/>
      <c r="U16" s="937"/>
      <c r="V16" s="937"/>
      <c r="W16" s="937"/>
      <c r="X16" s="937"/>
      <c r="Y16" s="937"/>
      <c r="Z16" s="937"/>
      <c r="AA16" s="937"/>
      <c r="AB16" s="937"/>
      <c r="AC16" s="937"/>
      <c r="AD16" s="937"/>
      <c r="AE16" s="937"/>
      <c r="AF16" s="937"/>
      <c r="AG16" s="937"/>
      <c r="AH16" s="937"/>
      <c r="AI16" s="937"/>
      <c r="AJ16" s="937"/>
      <c r="AK16" s="937"/>
      <c r="AL16" s="937"/>
      <c r="AM16" s="937"/>
      <c r="AN16" s="937"/>
    </row>
    <row r="17" spans="1:40" s="304" customFormat="1" ht="15" thickBot="1" x14ac:dyDescent="0.4">
      <c r="A17" s="1003">
        <v>4</v>
      </c>
      <c r="B17" s="1004" t="s">
        <v>623</v>
      </c>
      <c r="C17" s="996">
        <v>2538</v>
      </c>
      <c r="D17" s="997" t="s">
        <v>622</v>
      </c>
      <c r="E17" s="998">
        <f t="shared" si="2"/>
        <v>50760</v>
      </c>
      <c r="F17" s="998"/>
      <c r="G17" s="996">
        <f t="shared" si="0"/>
        <v>50760</v>
      </c>
      <c r="H17" s="999">
        <v>1</v>
      </c>
      <c r="I17" s="998">
        <f t="shared" si="1"/>
        <v>50760</v>
      </c>
      <c r="J17" s="1000">
        <f>+I17*12</f>
        <v>609120</v>
      </c>
      <c r="K17" s="1001"/>
      <c r="L17" s="1002">
        <f>+J17+K17</f>
        <v>609120</v>
      </c>
      <c r="M17" s="1112">
        <f>+D17*H17*12</f>
        <v>240</v>
      </c>
      <c r="N17" s="1108">
        <f>+M17</f>
        <v>240</v>
      </c>
      <c r="O17" s="1109">
        <f>+L17</f>
        <v>609120</v>
      </c>
      <c r="P17" s="937"/>
      <c r="Q17" s="937"/>
      <c r="R17" s="937"/>
      <c r="S17" s="937"/>
      <c r="T17" s="937"/>
      <c r="U17" s="937"/>
      <c r="V17" s="937"/>
      <c r="W17" s="937"/>
      <c r="X17" s="937"/>
      <c r="Y17" s="937"/>
      <c r="Z17" s="937"/>
      <c r="AA17" s="937"/>
      <c r="AB17" s="937"/>
      <c r="AC17" s="937"/>
      <c r="AD17" s="937"/>
      <c r="AE17" s="937"/>
      <c r="AF17" s="937"/>
      <c r="AG17" s="937"/>
      <c r="AH17" s="937"/>
      <c r="AI17" s="937"/>
      <c r="AJ17" s="937"/>
      <c r="AK17" s="937"/>
      <c r="AL17" s="937"/>
      <c r="AM17" s="937"/>
      <c r="AN17" s="937"/>
    </row>
    <row r="18" spans="1:40" s="304" customFormat="1" ht="15" thickBot="1" x14ac:dyDescent="0.4">
      <c r="A18" s="1005">
        <v>5</v>
      </c>
      <c r="B18" s="1006" t="s">
        <v>624</v>
      </c>
      <c r="C18" s="996">
        <v>2538</v>
      </c>
      <c r="D18" s="1007" t="s">
        <v>622</v>
      </c>
      <c r="E18" s="1008">
        <f t="shared" si="2"/>
        <v>50760</v>
      </c>
      <c r="F18" s="1008"/>
      <c r="G18" s="1009">
        <f t="shared" si="0"/>
        <v>50760</v>
      </c>
      <c r="H18" s="1010">
        <v>2</v>
      </c>
      <c r="I18" s="1008">
        <f t="shared" si="1"/>
        <v>101520</v>
      </c>
      <c r="J18" s="1011">
        <f>+I18*12</f>
        <v>1218240</v>
      </c>
      <c r="K18" s="1012"/>
      <c r="L18" s="1013">
        <f>+J18+K18</f>
        <v>1218240</v>
      </c>
      <c r="M18" s="1127">
        <f>+D18*H18*12</f>
        <v>480</v>
      </c>
      <c r="N18" s="1108">
        <f>+M18</f>
        <v>480</v>
      </c>
      <c r="O18" s="1109">
        <f>+L18</f>
        <v>1218240</v>
      </c>
      <c r="P18" s="937"/>
      <c r="Q18" s="937"/>
      <c r="R18" s="937"/>
      <c r="S18" s="937"/>
      <c r="T18" s="937"/>
      <c r="U18" s="937"/>
      <c r="V18" s="937"/>
      <c r="W18" s="937"/>
      <c r="X18" s="937"/>
      <c r="Y18" s="937"/>
      <c r="Z18" s="937"/>
      <c r="AA18" s="937"/>
      <c r="AB18" s="937"/>
      <c r="AC18" s="937"/>
      <c r="AD18" s="937"/>
      <c r="AE18" s="937"/>
      <c r="AF18" s="937"/>
      <c r="AG18" s="937"/>
      <c r="AH18" s="937"/>
      <c r="AI18" s="937"/>
      <c r="AJ18" s="937"/>
      <c r="AK18" s="937"/>
      <c r="AL18" s="937"/>
      <c r="AM18" s="937"/>
      <c r="AN18" s="937"/>
    </row>
    <row r="19" spans="1:40" s="304" customFormat="1" ht="15" thickBot="1" x14ac:dyDescent="0.4">
      <c r="A19" s="1014">
        <v>6</v>
      </c>
      <c r="B19" s="1015" t="s">
        <v>64</v>
      </c>
      <c r="C19" s="1016">
        <v>2538</v>
      </c>
      <c r="D19" s="1017" t="s">
        <v>622</v>
      </c>
      <c r="E19" s="1018">
        <f t="shared" si="2"/>
        <v>50760</v>
      </c>
      <c r="F19" s="1019"/>
      <c r="G19" s="1020">
        <f t="shared" si="0"/>
        <v>50760</v>
      </c>
      <c r="H19" s="1019">
        <v>19</v>
      </c>
      <c r="I19" s="1021">
        <f t="shared" si="1"/>
        <v>964440</v>
      </c>
      <c r="J19" s="1021">
        <f t="shared" ref="J19:J28" si="3">+I19*12</f>
        <v>11573280</v>
      </c>
      <c r="K19" s="1019"/>
      <c r="L19" s="1022">
        <f t="shared" ref="L19:L27" si="4">+J19+K19</f>
        <v>11573280</v>
      </c>
      <c r="M19" s="1022">
        <f t="shared" ref="M19:M27" si="5">+D19*H19*12</f>
        <v>4560</v>
      </c>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7"/>
      <c r="AK19" s="937"/>
      <c r="AL19" s="937"/>
      <c r="AM19" s="937"/>
      <c r="AN19" s="937"/>
    </row>
    <row r="20" spans="1:40" s="304" customFormat="1" ht="15" thickBot="1" x14ac:dyDescent="0.4">
      <c r="A20" s="1023">
        <v>6</v>
      </c>
      <c r="B20" s="1024" t="s">
        <v>625</v>
      </c>
      <c r="C20" s="1025">
        <v>2538</v>
      </c>
      <c r="D20" s="1026" t="s">
        <v>622</v>
      </c>
      <c r="E20" s="1027">
        <f t="shared" si="2"/>
        <v>50760</v>
      </c>
      <c r="F20" s="1028"/>
      <c r="G20" s="1029">
        <f t="shared" si="0"/>
        <v>50760</v>
      </c>
      <c r="H20" s="1028">
        <v>4</v>
      </c>
      <c r="I20" s="1030">
        <f t="shared" si="1"/>
        <v>203040</v>
      </c>
      <c r="J20" s="1030">
        <f t="shared" si="3"/>
        <v>2436480</v>
      </c>
      <c r="K20" s="1028"/>
      <c r="L20" s="1031">
        <f t="shared" si="4"/>
        <v>2436480</v>
      </c>
      <c r="M20" s="1031">
        <f t="shared" si="5"/>
        <v>960</v>
      </c>
      <c r="N20" s="1109">
        <f>+M19+M20</f>
        <v>5520</v>
      </c>
      <c r="O20" s="1111">
        <f>+C20*N20</f>
        <v>14009760</v>
      </c>
      <c r="P20" s="937"/>
      <c r="Q20" s="937"/>
      <c r="R20" s="937"/>
      <c r="S20" s="937"/>
      <c r="T20" s="937"/>
      <c r="U20" s="937"/>
      <c r="V20" s="937"/>
      <c r="W20" s="937"/>
      <c r="X20" s="937"/>
      <c r="Y20" s="937"/>
      <c r="Z20" s="937"/>
      <c r="AA20" s="937"/>
      <c r="AB20" s="937"/>
      <c r="AC20" s="937"/>
      <c r="AD20" s="937"/>
      <c r="AE20" s="937"/>
      <c r="AF20" s="937"/>
      <c r="AG20" s="937"/>
      <c r="AH20" s="937"/>
      <c r="AI20" s="937"/>
      <c r="AJ20" s="937"/>
      <c r="AK20" s="937"/>
      <c r="AL20" s="937"/>
      <c r="AM20" s="937"/>
      <c r="AN20" s="937"/>
    </row>
    <row r="21" spans="1:40" s="304" customFormat="1" ht="15" hidden="1" thickBot="1" x14ac:dyDescent="0.4">
      <c r="A21" s="986">
        <v>7</v>
      </c>
      <c r="B21" s="987" t="s">
        <v>626</v>
      </c>
      <c r="C21" s="1032">
        <v>2538</v>
      </c>
      <c r="D21" s="989" t="s">
        <v>622</v>
      </c>
      <c r="E21" s="990">
        <f t="shared" si="2"/>
        <v>50760</v>
      </c>
      <c r="F21" s="1033"/>
      <c r="G21" s="988">
        <f t="shared" si="0"/>
        <v>50760</v>
      </c>
      <c r="H21" s="1033">
        <v>2</v>
      </c>
      <c r="I21" s="1034">
        <f t="shared" si="1"/>
        <v>101520</v>
      </c>
      <c r="J21" s="1034">
        <f t="shared" si="3"/>
        <v>1218240</v>
      </c>
      <c r="K21" s="1033"/>
      <c r="L21" s="1035">
        <f t="shared" si="4"/>
        <v>1218240</v>
      </c>
      <c r="M21" s="1035">
        <f>+D21*H21*12</f>
        <v>480</v>
      </c>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7"/>
      <c r="AL21" s="937"/>
      <c r="AM21" s="937"/>
      <c r="AN21" s="937"/>
    </row>
    <row r="22" spans="1:40" s="304" customFormat="1" ht="15" thickBot="1" x14ac:dyDescent="0.4">
      <c r="A22" s="1036">
        <v>7</v>
      </c>
      <c r="B22" s="1037" t="s">
        <v>627</v>
      </c>
      <c r="C22" s="1038">
        <v>2538</v>
      </c>
      <c r="D22" s="1007" t="s">
        <v>622</v>
      </c>
      <c r="E22" s="1008">
        <f t="shared" si="2"/>
        <v>50760</v>
      </c>
      <c r="F22" s="1039"/>
      <c r="G22" s="1113">
        <f t="shared" si="0"/>
        <v>50760</v>
      </c>
      <c r="H22" s="1039">
        <v>8</v>
      </c>
      <c r="I22" s="1040">
        <f t="shared" si="1"/>
        <v>406080</v>
      </c>
      <c r="J22" s="1040">
        <f>+I22*3.5</f>
        <v>1421280</v>
      </c>
      <c r="K22" s="1039"/>
      <c r="L22" s="1041">
        <f t="shared" si="4"/>
        <v>1421280</v>
      </c>
      <c r="M22" s="1041">
        <f>+D22*H22*3.5</f>
        <v>560</v>
      </c>
      <c r="N22" s="1114">
        <f>+M22</f>
        <v>560</v>
      </c>
      <c r="O22" s="1115">
        <f>+L22</f>
        <v>1421280</v>
      </c>
      <c r="P22" s="937"/>
      <c r="Q22" s="937"/>
      <c r="R22" s="937"/>
      <c r="S22" s="937"/>
      <c r="T22" s="937"/>
      <c r="U22" s="937"/>
      <c r="V22" s="937"/>
      <c r="W22" s="937"/>
      <c r="X22" s="937"/>
      <c r="Y22" s="937"/>
      <c r="Z22" s="937"/>
      <c r="AA22" s="937"/>
      <c r="AB22" s="937"/>
      <c r="AC22" s="937"/>
      <c r="AD22" s="937"/>
      <c r="AE22" s="937"/>
      <c r="AF22" s="937"/>
      <c r="AG22" s="937"/>
      <c r="AH22" s="937"/>
      <c r="AI22" s="937"/>
      <c r="AJ22" s="937"/>
      <c r="AK22" s="937"/>
      <c r="AL22" s="937"/>
      <c r="AM22" s="937"/>
      <c r="AN22" s="937"/>
    </row>
    <row r="23" spans="1:40" s="304" customFormat="1" ht="15" thickBot="1" x14ac:dyDescent="0.4">
      <c r="A23" s="1042">
        <v>8</v>
      </c>
      <c r="B23" s="1124" t="s">
        <v>628</v>
      </c>
      <c r="C23" s="1044">
        <v>2538</v>
      </c>
      <c r="D23" s="1045" t="s">
        <v>622</v>
      </c>
      <c r="E23" s="1046">
        <f t="shared" si="2"/>
        <v>50760</v>
      </c>
      <c r="F23" s="1047"/>
      <c r="G23" s="1125">
        <f t="shared" si="0"/>
        <v>50760</v>
      </c>
      <c r="H23" s="1047">
        <v>2</v>
      </c>
      <c r="I23" s="1048">
        <f t="shared" si="1"/>
        <v>101520</v>
      </c>
      <c r="J23" s="1048">
        <f t="shared" si="3"/>
        <v>1218240</v>
      </c>
      <c r="K23" s="1047"/>
      <c r="L23" s="1049">
        <f t="shared" si="4"/>
        <v>1218240</v>
      </c>
      <c r="M23" s="1049">
        <f t="shared" si="5"/>
        <v>480</v>
      </c>
      <c r="N23" s="1108">
        <f>+M23</f>
        <v>480</v>
      </c>
      <c r="O23" s="1109">
        <f>+L23</f>
        <v>1218240</v>
      </c>
      <c r="P23" s="937"/>
      <c r="Q23" s="937"/>
      <c r="R23" s="937"/>
      <c r="S23" s="937"/>
      <c r="T23" s="937"/>
      <c r="U23" s="937"/>
      <c r="V23" s="937"/>
      <c r="W23" s="937"/>
      <c r="X23" s="937"/>
      <c r="Y23" s="937"/>
      <c r="Z23" s="937"/>
      <c r="AA23" s="937"/>
      <c r="AB23" s="937"/>
      <c r="AC23" s="937"/>
      <c r="AD23" s="937"/>
      <c r="AE23" s="937"/>
      <c r="AF23" s="937"/>
      <c r="AG23" s="937"/>
      <c r="AH23" s="937"/>
      <c r="AI23" s="937"/>
      <c r="AJ23" s="937"/>
      <c r="AK23" s="937"/>
      <c r="AL23" s="937"/>
      <c r="AM23" s="937"/>
      <c r="AN23" s="937"/>
    </row>
    <row r="24" spans="1:40" s="304" customFormat="1" ht="15" hidden="1" thickBot="1" x14ac:dyDescent="0.4">
      <c r="A24" s="1116">
        <v>9</v>
      </c>
      <c r="B24" s="1117" t="s">
        <v>629</v>
      </c>
      <c r="C24" s="1118">
        <v>2538</v>
      </c>
      <c r="D24" s="1119" t="s">
        <v>622</v>
      </c>
      <c r="E24" s="1000">
        <f t="shared" si="2"/>
        <v>50760</v>
      </c>
      <c r="F24" s="1120"/>
      <c r="G24" s="1121">
        <f t="shared" si="0"/>
        <v>50760</v>
      </c>
      <c r="H24" s="1120">
        <v>2</v>
      </c>
      <c r="I24" s="1122">
        <f>+G24*H24</f>
        <v>101520</v>
      </c>
      <c r="J24" s="1122">
        <f t="shared" si="3"/>
        <v>1218240</v>
      </c>
      <c r="K24" s="1120"/>
      <c r="L24" s="1123">
        <f t="shared" si="4"/>
        <v>1218240</v>
      </c>
      <c r="M24" s="1035">
        <f>+D24*H24*12</f>
        <v>480</v>
      </c>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7"/>
      <c r="AL24" s="937"/>
      <c r="AM24" s="937"/>
      <c r="AN24" s="937"/>
    </row>
    <row r="25" spans="1:40" s="304" customFormat="1" ht="15" thickBot="1" x14ac:dyDescent="0.4">
      <c r="A25" s="1036">
        <v>9</v>
      </c>
      <c r="B25" s="1037" t="s">
        <v>630</v>
      </c>
      <c r="C25" s="1038">
        <v>2538</v>
      </c>
      <c r="D25" s="1007" t="s">
        <v>622</v>
      </c>
      <c r="E25" s="1008">
        <f t="shared" si="2"/>
        <v>50760</v>
      </c>
      <c r="F25" s="1039"/>
      <c r="G25" s="1113">
        <f t="shared" si="0"/>
        <v>50760</v>
      </c>
      <c r="H25" s="1039">
        <v>6</v>
      </c>
      <c r="I25" s="1040">
        <f t="shared" si="1"/>
        <v>304560</v>
      </c>
      <c r="J25" s="1040">
        <f>+I25*3.5</f>
        <v>1065960</v>
      </c>
      <c r="K25" s="1039"/>
      <c r="L25" s="1041">
        <f t="shared" si="4"/>
        <v>1065960</v>
      </c>
      <c r="M25" s="1041">
        <f>+D25*H25*3.5</f>
        <v>420</v>
      </c>
      <c r="N25" s="1114">
        <f>+M25</f>
        <v>420</v>
      </c>
      <c r="O25" s="1115">
        <f>+L25</f>
        <v>1065960</v>
      </c>
      <c r="P25" s="937"/>
      <c r="Q25" s="937"/>
      <c r="R25" s="937"/>
      <c r="S25" s="937"/>
      <c r="T25" s="937"/>
      <c r="U25" s="937"/>
      <c r="V25" s="937"/>
      <c r="W25" s="937"/>
      <c r="X25" s="937"/>
      <c r="Y25" s="937"/>
      <c r="Z25" s="937"/>
      <c r="AA25" s="937"/>
      <c r="AB25" s="937"/>
      <c r="AC25" s="937"/>
      <c r="AD25" s="937"/>
      <c r="AE25" s="937"/>
      <c r="AF25" s="937"/>
      <c r="AG25" s="937"/>
      <c r="AH25" s="937"/>
      <c r="AI25" s="937"/>
      <c r="AJ25" s="937"/>
      <c r="AK25" s="937"/>
      <c r="AL25" s="937"/>
      <c r="AM25" s="937"/>
      <c r="AN25" s="937"/>
    </row>
    <row r="26" spans="1:40" s="304" customFormat="1" ht="15" thickBot="1" x14ac:dyDescent="0.4">
      <c r="A26" s="1042">
        <v>10</v>
      </c>
      <c r="B26" s="1043" t="s">
        <v>18</v>
      </c>
      <c r="C26" s="1044">
        <v>2538</v>
      </c>
      <c r="D26" s="1045" t="s">
        <v>622</v>
      </c>
      <c r="E26" s="1046">
        <f t="shared" si="2"/>
        <v>50760</v>
      </c>
      <c r="F26" s="1047"/>
      <c r="G26" s="1020">
        <f t="shared" si="0"/>
        <v>50760</v>
      </c>
      <c r="H26" s="1047">
        <v>15</v>
      </c>
      <c r="I26" s="1048">
        <f t="shared" si="1"/>
        <v>761400</v>
      </c>
      <c r="J26" s="1048">
        <f t="shared" si="3"/>
        <v>9136800</v>
      </c>
      <c r="K26" s="1047"/>
      <c r="L26" s="1049">
        <f t="shared" si="4"/>
        <v>9136800</v>
      </c>
      <c r="M26" s="1049">
        <f t="shared" si="5"/>
        <v>3600</v>
      </c>
      <c r="N26" s="1108">
        <f>+M26</f>
        <v>3600</v>
      </c>
      <c r="O26" s="1109">
        <f>+L26</f>
        <v>9136800</v>
      </c>
      <c r="P26" s="937"/>
      <c r="Q26" s="937"/>
      <c r="R26" s="937"/>
      <c r="S26" s="937"/>
      <c r="T26" s="937"/>
      <c r="U26" s="937"/>
      <c r="V26" s="937"/>
      <c r="W26" s="937"/>
      <c r="X26" s="937"/>
      <c r="Y26" s="937"/>
      <c r="Z26" s="937"/>
      <c r="AA26" s="937"/>
      <c r="AB26" s="937"/>
      <c r="AC26" s="937"/>
      <c r="AD26" s="937"/>
      <c r="AE26" s="937"/>
      <c r="AF26" s="937"/>
      <c r="AG26" s="937"/>
      <c r="AH26" s="937"/>
      <c r="AI26" s="937"/>
      <c r="AJ26" s="937"/>
      <c r="AK26" s="937"/>
      <c r="AL26" s="937"/>
      <c r="AM26" s="937"/>
      <c r="AN26" s="937"/>
    </row>
    <row r="27" spans="1:40" s="304" customFormat="1" ht="15" thickBot="1" x14ac:dyDescent="0.4">
      <c r="A27" s="1050">
        <v>11</v>
      </c>
      <c r="B27" s="1051" t="s">
        <v>75</v>
      </c>
      <c r="C27" s="1052">
        <v>2538</v>
      </c>
      <c r="D27" s="1053" t="s">
        <v>622</v>
      </c>
      <c r="E27" s="1054">
        <f t="shared" si="2"/>
        <v>50760</v>
      </c>
      <c r="F27" s="1055"/>
      <c r="G27" s="1009">
        <f t="shared" si="0"/>
        <v>50760</v>
      </c>
      <c r="H27" s="1055">
        <v>0</v>
      </c>
      <c r="I27" s="1056">
        <f t="shared" si="1"/>
        <v>0</v>
      </c>
      <c r="J27" s="1056">
        <f t="shared" si="3"/>
        <v>0</v>
      </c>
      <c r="K27" s="1055"/>
      <c r="L27" s="1057">
        <f t="shared" si="4"/>
        <v>0</v>
      </c>
      <c r="M27" s="1057">
        <f t="shared" si="5"/>
        <v>0</v>
      </c>
      <c r="N27" s="937"/>
      <c r="O27" s="937"/>
      <c r="P27" s="937"/>
      <c r="Q27" s="937"/>
      <c r="R27" s="937"/>
      <c r="S27" s="937"/>
      <c r="T27" s="937"/>
      <c r="U27" s="937"/>
      <c r="V27" s="937"/>
      <c r="W27" s="937"/>
      <c r="X27" s="937"/>
      <c r="Y27" s="937"/>
      <c r="Z27" s="937"/>
      <c r="AA27" s="937"/>
      <c r="AB27" s="937"/>
      <c r="AC27" s="937"/>
      <c r="AD27" s="937"/>
      <c r="AE27" s="937"/>
      <c r="AF27" s="937"/>
      <c r="AG27" s="937"/>
      <c r="AH27" s="937"/>
      <c r="AI27" s="937"/>
      <c r="AJ27" s="937"/>
      <c r="AK27" s="937"/>
      <c r="AL27" s="937"/>
      <c r="AM27" s="937"/>
      <c r="AN27" s="937"/>
    </row>
    <row r="28" spans="1:40" s="304" customFormat="1" ht="15" hidden="1" thickBot="1" x14ac:dyDescent="0.4">
      <c r="A28" s="1058">
        <v>13</v>
      </c>
      <c r="B28" s="1059" t="s">
        <v>388</v>
      </c>
      <c r="C28" s="1060">
        <v>2538</v>
      </c>
      <c r="D28" s="1061" t="s">
        <v>622</v>
      </c>
      <c r="E28" s="1062">
        <f t="shared" si="2"/>
        <v>50760</v>
      </c>
      <c r="F28" s="1063"/>
      <c r="G28" s="1064">
        <f t="shared" si="0"/>
        <v>50760</v>
      </c>
      <c r="H28" s="1063">
        <v>2</v>
      </c>
      <c r="I28" s="1065">
        <f t="shared" si="1"/>
        <v>101520</v>
      </c>
      <c r="J28" s="1065">
        <f t="shared" si="3"/>
        <v>1218240</v>
      </c>
      <c r="K28" s="1063"/>
      <c r="L28" s="1066">
        <f>+J28+K28</f>
        <v>1218240</v>
      </c>
      <c r="M28" s="1066">
        <f>+D28*H28*12</f>
        <v>480</v>
      </c>
      <c r="N28" s="937"/>
      <c r="O28" s="937"/>
      <c r="P28" s="937"/>
      <c r="Q28" s="1067"/>
      <c r="R28" s="937"/>
      <c r="S28" s="937"/>
      <c r="T28" s="937"/>
      <c r="U28" s="937"/>
      <c r="V28" s="937"/>
      <c r="W28" s="937"/>
      <c r="X28" s="937"/>
      <c r="Y28" s="937"/>
      <c r="Z28" s="937"/>
      <c r="AA28" s="937"/>
      <c r="AB28" s="937"/>
      <c r="AC28" s="937"/>
      <c r="AD28" s="937"/>
      <c r="AE28" s="937"/>
      <c r="AF28" s="937"/>
      <c r="AG28" s="937"/>
      <c r="AH28" s="937"/>
      <c r="AI28" s="937"/>
      <c r="AJ28" s="937"/>
      <c r="AK28" s="937"/>
      <c r="AL28" s="937"/>
      <c r="AM28" s="937"/>
      <c r="AN28" s="937"/>
    </row>
    <row r="29" spans="1:40" s="304" customFormat="1" ht="15" thickBot="1" x14ac:dyDescent="0.4">
      <c r="A29" s="1050">
        <v>14</v>
      </c>
      <c r="B29" s="1051" t="s">
        <v>640</v>
      </c>
      <c r="C29" s="1104">
        <v>2538</v>
      </c>
      <c r="D29" s="1053" t="s">
        <v>622</v>
      </c>
      <c r="E29" s="1054">
        <f>+C29*D29</f>
        <v>50760</v>
      </c>
      <c r="F29" s="1054"/>
      <c r="G29" s="1104">
        <f>+E29-F29</f>
        <v>50760</v>
      </c>
      <c r="H29" s="1105">
        <v>5</v>
      </c>
      <c r="I29" s="1054">
        <f>+G29*H29</f>
        <v>253800</v>
      </c>
      <c r="J29" s="1054">
        <f>+I29*11</f>
        <v>2791800</v>
      </c>
      <c r="K29" s="1106"/>
      <c r="L29" s="1107">
        <f>+J29+K29</f>
        <v>2791800</v>
      </c>
      <c r="M29" s="1126">
        <f>+D29*H29*11</f>
        <v>1100</v>
      </c>
      <c r="N29" s="1108">
        <f>+M29</f>
        <v>1100</v>
      </c>
      <c r="O29" s="1109">
        <f>+C29*N29</f>
        <v>2791800</v>
      </c>
      <c r="P29" s="937"/>
      <c r="Q29" s="937"/>
      <c r="R29" s="937"/>
      <c r="S29" s="937"/>
      <c r="T29" s="937"/>
      <c r="U29" s="937"/>
      <c r="V29" s="937"/>
      <c r="W29" s="937"/>
      <c r="X29" s="937"/>
      <c r="Y29" s="937"/>
      <c r="Z29" s="937"/>
      <c r="AA29" s="937"/>
      <c r="AB29" s="937"/>
      <c r="AC29" s="937"/>
      <c r="AD29" s="937"/>
      <c r="AE29" s="937"/>
      <c r="AF29" s="937"/>
      <c r="AG29" s="937"/>
      <c r="AH29" s="937"/>
      <c r="AI29" s="937"/>
      <c r="AJ29" s="937"/>
      <c r="AK29" s="937"/>
      <c r="AL29" s="937"/>
      <c r="AM29" s="937"/>
      <c r="AN29" s="937"/>
    </row>
    <row r="30" spans="1:40" s="304" customFormat="1" x14ac:dyDescent="0.35">
      <c r="A30" s="976"/>
      <c r="B30" s="976"/>
      <c r="C30" s="976"/>
      <c r="D30" s="976"/>
      <c r="E30" s="976"/>
      <c r="F30" s="976"/>
      <c r="G30" s="976"/>
      <c r="H30" s="976"/>
      <c r="I30" s="976"/>
      <c r="J30" s="976"/>
      <c r="K30" s="976"/>
      <c r="L30" s="976"/>
      <c r="M30" s="976"/>
      <c r="N30" s="976"/>
      <c r="O30" s="937"/>
      <c r="P30" s="937"/>
      <c r="Q30" s="937"/>
      <c r="R30" s="937"/>
      <c r="S30" s="937"/>
      <c r="T30" s="937"/>
      <c r="U30" s="937"/>
      <c r="V30" s="937"/>
      <c r="W30" s="937"/>
      <c r="X30" s="937"/>
      <c r="Y30" s="937"/>
      <c r="Z30" s="937"/>
      <c r="AA30" s="937"/>
      <c r="AB30" s="937"/>
      <c r="AC30" s="937"/>
      <c r="AD30" s="937"/>
      <c r="AE30" s="937"/>
      <c r="AF30" s="937"/>
      <c r="AG30" s="937"/>
      <c r="AH30" s="937"/>
      <c r="AI30" s="937"/>
      <c r="AJ30" s="937"/>
      <c r="AK30" s="937"/>
      <c r="AL30" s="937"/>
      <c r="AM30" s="937"/>
      <c r="AN30" s="937"/>
    </row>
    <row r="31" spans="1:40" s="304" customFormat="1" x14ac:dyDescent="0.35">
      <c r="A31" s="975" t="s">
        <v>649</v>
      </c>
      <c r="B31" s="976"/>
      <c r="C31" s="976"/>
      <c r="D31" s="976"/>
      <c r="E31" s="976"/>
      <c r="F31" s="976"/>
      <c r="G31" s="976"/>
      <c r="H31" s="976"/>
      <c r="I31" s="976"/>
      <c r="J31" s="976"/>
      <c r="K31" s="976"/>
      <c r="L31" s="976"/>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37"/>
      <c r="AK31" s="937"/>
      <c r="AL31" s="937"/>
      <c r="AM31" s="937"/>
      <c r="AN31" s="937"/>
    </row>
    <row r="32" spans="1:40" s="304" customFormat="1" x14ac:dyDescent="0.35">
      <c r="A32" s="976"/>
      <c r="B32" s="976"/>
      <c r="C32" s="976"/>
      <c r="D32" s="976"/>
      <c r="E32" s="976"/>
      <c r="F32" s="976"/>
      <c r="G32" s="976"/>
      <c r="H32" s="976"/>
      <c r="I32" s="976"/>
      <c r="J32" s="976"/>
      <c r="K32" s="976"/>
      <c r="L32" s="976"/>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c r="AK32" s="937"/>
      <c r="AL32" s="937"/>
      <c r="AM32" s="937"/>
      <c r="AN32" s="937"/>
    </row>
    <row r="33" spans="1:40" s="304" customFormat="1" ht="15" thickBot="1" x14ac:dyDescent="0.4">
      <c r="A33" s="976"/>
      <c r="B33" s="976"/>
      <c r="C33" s="976"/>
      <c r="D33" s="976"/>
      <c r="E33" s="976"/>
      <c r="F33" s="976"/>
      <c r="G33" s="976"/>
      <c r="H33" s="976"/>
      <c r="I33" s="976"/>
      <c r="J33" s="976"/>
      <c r="K33" s="976"/>
      <c r="L33" s="976"/>
      <c r="M33" s="937"/>
      <c r="N33" s="937"/>
      <c r="O33" s="937"/>
      <c r="P33" s="937"/>
      <c r="Q33" s="937"/>
      <c r="R33" s="937"/>
      <c r="S33" s="937"/>
      <c r="T33" s="937"/>
      <c r="U33" s="937"/>
      <c r="V33" s="937"/>
      <c r="W33" s="937"/>
      <c r="X33" s="937"/>
      <c r="Y33" s="937"/>
      <c r="Z33" s="937"/>
      <c r="AA33" s="937"/>
      <c r="AB33" s="937"/>
      <c r="AC33" s="937"/>
      <c r="AD33" s="937"/>
      <c r="AE33" s="937"/>
      <c r="AF33" s="937"/>
      <c r="AG33" s="937"/>
      <c r="AH33" s="937"/>
      <c r="AI33" s="937"/>
      <c r="AJ33" s="937"/>
      <c r="AK33" s="937"/>
      <c r="AL33" s="937"/>
      <c r="AM33" s="937"/>
      <c r="AN33" s="937"/>
    </row>
    <row r="34" spans="1:40" s="304" customFormat="1" ht="15" thickBot="1" x14ac:dyDescent="0.4">
      <c r="A34" s="937"/>
      <c r="B34" s="1491" t="s">
        <v>176</v>
      </c>
      <c r="C34" s="1491" t="s">
        <v>25</v>
      </c>
      <c r="D34" s="1493" t="s">
        <v>631</v>
      </c>
      <c r="E34" s="1493"/>
      <c r="F34" s="1493"/>
      <c r="G34" s="1493"/>
      <c r="H34" s="1494" t="s">
        <v>632</v>
      </c>
      <c r="I34" s="1494" t="s">
        <v>205</v>
      </c>
      <c r="J34" s="937"/>
      <c r="K34" s="937"/>
      <c r="L34" s="937"/>
      <c r="M34" s="937"/>
      <c r="N34" s="937"/>
      <c r="O34" s="937"/>
      <c r="P34" s="937"/>
      <c r="Q34" s="937"/>
      <c r="R34" s="937"/>
      <c r="S34" s="937"/>
      <c r="T34" s="937"/>
      <c r="U34" s="937"/>
      <c r="V34" s="937"/>
      <c r="W34" s="937"/>
      <c r="X34" s="937"/>
      <c r="Y34" s="937"/>
      <c r="Z34" s="937"/>
      <c r="AA34" s="937"/>
      <c r="AB34" s="937"/>
      <c r="AC34" s="937"/>
      <c r="AD34" s="937"/>
      <c r="AE34" s="937"/>
      <c r="AF34" s="937"/>
      <c r="AG34" s="937"/>
      <c r="AH34" s="937"/>
      <c r="AI34" s="937"/>
      <c r="AJ34" s="937"/>
      <c r="AK34" s="937"/>
      <c r="AL34" s="937"/>
      <c r="AM34" s="937"/>
      <c r="AN34" s="937"/>
    </row>
    <row r="35" spans="1:40" s="304" customFormat="1" ht="42.65" customHeight="1" thickBot="1" x14ac:dyDescent="0.4">
      <c r="A35" s="937"/>
      <c r="B35" s="1492"/>
      <c r="C35" s="1492"/>
      <c r="D35" s="1068" t="s">
        <v>633</v>
      </c>
      <c r="E35" s="1068" t="s">
        <v>181</v>
      </c>
      <c r="F35" s="1068" t="s">
        <v>182</v>
      </c>
      <c r="G35" s="1068" t="s">
        <v>634</v>
      </c>
      <c r="H35" s="1495"/>
      <c r="I35" s="1495"/>
      <c r="J35" s="937"/>
      <c r="K35" s="937"/>
      <c r="L35" s="937"/>
      <c r="M35" s="937"/>
      <c r="N35" s="937"/>
      <c r="O35" s="937"/>
      <c r="P35" s="937"/>
      <c r="Q35" s="937"/>
      <c r="R35" s="937"/>
      <c r="S35" s="937"/>
      <c r="T35" s="937"/>
      <c r="U35" s="937"/>
      <c r="V35" s="937"/>
      <c r="W35" s="937"/>
      <c r="X35" s="937"/>
      <c r="Y35" s="937"/>
      <c r="Z35" s="937"/>
      <c r="AA35" s="937"/>
      <c r="AB35" s="937"/>
      <c r="AC35" s="937"/>
      <c r="AD35" s="937"/>
      <c r="AE35" s="937"/>
      <c r="AF35" s="937"/>
      <c r="AG35" s="937"/>
      <c r="AH35" s="937"/>
      <c r="AI35" s="937"/>
      <c r="AJ35" s="937"/>
      <c r="AK35" s="937"/>
      <c r="AL35" s="937"/>
      <c r="AM35" s="937"/>
      <c r="AN35" s="937"/>
    </row>
    <row r="36" spans="1:40" s="304" customFormat="1" ht="16.899999999999999" customHeight="1" x14ac:dyDescent="0.35">
      <c r="A36" s="937"/>
      <c r="B36" s="119" t="s">
        <v>419</v>
      </c>
      <c r="C36" s="1069" t="s">
        <v>626</v>
      </c>
      <c r="D36" s="120">
        <v>2345000</v>
      </c>
      <c r="E36" s="1070">
        <v>0</v>
      </c>
      <c r="F36" s="1070">
        <v>0</v>
      </c>
      <c r="G36" s="1071">
        <f>SUM(D36:F36)</f>
        <v>2345000</v>
      </c>
      <c r="H36" s="1071">
        <f t="shared" ref="H36:H43" si="6">+D36*0.05</f>
        <v>117250</v>
      </c>
      <c r="I36" s="122">
        <f t="shared" ref="I36:I43" si="7">+D36+E36+H36</f>
        <v>2462250</v>
      </c>
      <c r="J36" s="937"/>
      <c r="K36" s="937"/>
      <c r="L36" s="937"/>
      <c r="M36" s="937"/>
      <c r="N36" s="937"/>
      <c r="O36" s="937"/>
      <c r="P36" s="937"/>
      <c r="Q36" s="937"/>
      <c r="R36" s="937"/>
      <c r="S36" s="937"/>
      <c r="T36" s="937"/>
      <c r="U36" s="937"/>
      <c r="V36" s="937"/>
      <c r="W36" s="937"/>
      <c r="X36" s="937"/>
      <c r="Y36" s="937"/>
      <c r="Z36" s="937"/>
      <c r="AA36" s="937"/>
      <c r="AB36" s="937"/>
      <c r="AC36" s="937"/>
      <c r="AD36" s="937"/>
      <c r="AE36" s="937"/>
      <c r="AF36" s="937"/>
      <c r="AG36" s="937"/>
      <c r="AH36" s="937"/>
      <c r="AI36" s="937"/>
      <c r="AJ36" s="937"/>
      <c r="AK36" s="937"/>
      <c r="AL36" s="937"/>
      <c r="AM36" s="937"/>
      <c r="AN36" s="937"/>
    </row>
    <row r="37" spans="1:40" s="304" customFormat="1" x14ac:dyDescent="0.35">
      <c r="A37" s="937"/>
      <c r="B37" s="124" t="s">
        <v>420</v>
      </c>
      <c r="C37" s="1072" t="s">
        <v>626</v>
      </c>
      <c r="D37" s="125">
        <v>5250000</v>
      </c>
      <c r="E37" s="1073">
        <v>0</v>
      </c>
      <c r="F37" s="1073">
        <v>0</v>
      </c>
      <c r="G37" s="1074">
        <f>SUM(D37:F37)</f>
        <v>5250000</v>
      </c>
      <c r="H37" s="1074">
        <f t="shared" si="6"/>
        <v>262500</v>
      </c>
      <c r="I37" s="478">
        <f t="shared" si="7"/>
        <v>5512500</v>
      </c>
      <c r="J37" s="937"/>
      <c r="K37" s="937"/>
      <c r="L37" s="937"/>
      <c r="M37" s="937"/>
      <c r="N37" s="937"/>
      <c r="O37" s="937"/>
      <c r="P37" s="937"/>
      <c r="Q37" s="937"/>
      <c r="R37" s="937"/>
      <c r="S37" s="937"/>
      <c r="T37" s="937"/>
      <c r="U37" s="937"/>
      <c r="V37" s="937"/>
      <c r="W37" s="937"/>
      <c r="X37" s="937"/>
      <c r="Y37" s="937"/>
      <c r="Z37" s="937"/>
      <c r="AA37" s="937"/>
      <c r="AB37" s="937"/>
      <c r="AC37" s="937"/>
      <c r="AD37" s="937"/>
      <c r="AE37" s="937"/>
      <c r="AF37" s="937"/>
      <c r="AG37" s="937"/>
      <c r="AH37" s="937"/>
      <c r="AI37" s="937"/>
      <c r="AJ37" s="937"/>
      <c r="AK37" s="937"/>
      <c r="AL37" s="937"/>
      <c r="AM37" s="937"/>
      <c r="AN37" s="937"/>
    </row>
    <row r="38" spans="1:40" s="304" customFormat="1" x14ac:dyDescent="0.35">
      <c r="A38" s="937"/>
      <c r="B38" s="124" t="s">
        <v>420</v>
      </c>
      <c r="C38" s="1075" t="s">
        <v>626</v>
      </c>
      <c r="D38" s="291">
        <v>2625000</v>
      </c>
      <c r="E38" s="1073">
        <v>0</v>
      </c>
      <c r="F38" s="1076">
        <v>0</v>
      </c>
      <c r="G38" s="1077">
        <f t="shared" ref="G38:G43" si="8">SUM(D38:F38)</f>
        <v>2625000</v>
      </c>
      <c r="H38" s="1074">
        <f t="shared" si="6"/>
        <v>131250</v>
      </c>
      <c r="I38" s="478">
        <f t="shared" si="7"/>
        <v>2756250</v>
      </c>
      <c r="J38" s="937"/>
      <c r="K38" s="937"/>
      <c r="L38" s="937"/>
      <c r="M38" s="937"/>
      <c r="N38" s="937"/>
      <c r="O38" s="937"/>
      <c r="P38" s="937"/>
      <c r="Q38" s="937"/>
      <c r="R38" s="937"/>
      <c r="S38" s="937"/>
      <c r="T38" s="937"/>
      <c r="U38" s="937"/>
      <c r="V38" s="937"/>
      <c r="W38" s="937"/>
      <c r="X38" s="937"/>
      <c r="Y38" s="937"/>
      <c r="Z38" s="937"/>
      <c r="AA38" s="937"/>
      <c r="AB38" s="937"/>
      <c r="AC38" s="937"/>
      <c r="AD38" s="937"/>
      <c r="AE38" s="937"/>
      <c r="AF38" s="937"/>
      <c r="AG38" s="937"/>
      <c r="AH38" s="937"/>
      <c r="AI38" s="937"/>
      <c r="AJ38" s="937"/>
      <c r="AK38" s="937"/>
      <c r="AL38" s="937"/>
      <c r="AM38" s="937"/>
      <c r="AN38" s="937"/>
    </row>
    <row r="39" spans="1:40" s="304" customFormat="1" x14ac:dyDescent="0.35">
      <c r="A39" s="937"/>
      <c r="B39" s="124" t="s">
        <v>642</v>
      </c>
      <c r="C39" s="1075" t="s">
        <v>626</v>
      </c>
      <c r="D39" s="291">
        <v>2345000</v>
      </c>
      <c r="E39" s="1073">
        <v>0</v>
      </c>
      <c r="F39" s="1076">
        <v>0</v>
      </c>
      <c r="G39" s="1077">
        <f t="shared" si="8"/>
        <v>2345000</v>
      </c>
      <c r="H39" s="1074">
        <f t="shared" si="6"/>
        <v>117250</v>
      </c>
      <c r="I39" s="478">
        <f t="shared" si="7"/>
        <v>2462250</v>
      </c>
      <c r="J39" s="937"/>
      <c r="K39" s="937"/>
      <c r="L39" s="937"/>
      <c r="M39" s="937"/>
      <c r="N39" s="937"/>
      <c r="O39" s="937"/>
      <c r="P39" s="937"/>
      <c r="Q39" s="937"/>
      <c r="R39" s="937"/>
      <c r="S39" s="937"/>
      <c r="T39" s="937"/>
      <c r="U39" s="937"/>
      <c r="V39" s="937"/>
      <c r="W39" s="937"/>
      <c r="X39" s="937"/>
      <c r="Y39" s="937"/>
      <c r="Z39" s="937"/>
      <c r="AA39" s="937"/>
      <c r="AB39" s="937"/>
      <c r="AC39" s="937"/>
      <c r="AD39" s="937"/>
      <c r="AE39" s="937"/>
      <c r="AF39" s="937"/>
      <c r="AG39" s="937"/>
      <c r="AH39" s="937"/>
      <c r="AI39" s="937"/>
      <c r="AJ39" s="937"/>
      <c r="AK39" s="937"/>
      <c r="AL39" s="937"/>
      <c r="AM39" s="937"/>
      <c r="AN39" s="937"/>
    </row>
    <row r="40" spans="1:40" s="304" customFormat="1" x14ac:dyDescent="0.35">
      <c r="A40" s="937"/>
      <c r="B40" s="124" t="s">
        <v>643</v>
      </c>
      <c r="C40" s="1075" t="s">
        <v>626</v>
      </c>
      <c r="D40" s="291">
        <v>1172500</v>
      </c>
      <c r="E40" s="1073">
        <v>0</v>
      </c>
      <c r="F40" s="1076">
        <v>0</v>
      </c>
      <c r="G40" s="1077">
        <f t="shared" si="8"/>
        <v>1172500</v>
      </c>
      <c r="H40" s="1074">
        <f t="shared" si="6"/>
        <v>58625</v>
      </c>
      <c r="I40" s="478">
        <f t="shared" si="7"/>
        <v>1231125</v>
      </c>
      <c r="J40" s="937"/>
      <c r="K40" s="937"/>
      <c r="L40" s="937"/>
      <c r="M40" s="937"/>
      <c r="N40" s="937"/>
      <c r="O40" s="937"/>
      <c r="P40" s="937"/>
      <c r="Q40" s="937"/>
      <c r="R40" s="937"/>
      <c r="S40" s="937"/>
      <c r="T40" s="937"/>
      <c r="U40" s="937"/>
      <c r="V40" s="937"/>
      <c r="W40" s="937"/>
      <c r="X40" s="937"/>
      <c r="Y40" s="937"/>
      <c r="Z40" s="937"/>
      <c r="AA40" s="937"/>
      <c r="AB40" s="937"/>
      <c r="AC40" s="937"/>
      <c r="AD40" s="937"/>
      <c r="AE40" s="937"/>
      <c r="AF40" s="937"/>
      <c r="AG40" s="937"/>
      <c r="AH40" s="937"/>
      <c r="AI40" s="937"/>
      <c r="AJ40" s="937"/>
      <c r="AK40" s="937"/>
      <c r="AL40" s="937"/>
      <c r="AM40" s="937"/>
      <c r="AN40" s="937"/>
    </row>
    <row r="41" spans="1:40" s="304" customFormat="1" x14ac:dyDescent="0.35">
      <c r="A41" s="937"/>
      <c r="B41" s="124" t="s">
        <v>348</v>
      </c>
      <c r="C41" s="1075" t="s">
        <v>626</v>
      </c>
      <c r="D41" s="291">
        <v>2437500</v>
      </c>
      <c r="E41" s="1073">
        <v>0</v>
      </c>
      <c r="F41" s="1076">
        <v>0</v>
      </c>
      <c r="G41" s="1077">
        <f t="shared" si="8"/>
        <v>2437500</v>
      </c>
      <c r="H41" s="1074">
        <f t="shared" si="6"/>
        <v>121875</v>
      </c>
      <c r="I41" s="478">
        <f t="shared" si="7"/>
        <v>2559375</v>
      </c>
      <c r="J41" s="937"/>
      <c r="K41" s="937"/>
      <c r="L41" s="937"/>
      <c r="M41" s="937"/>
      <c r="N41" s="937"/>
      <c r="O41" s="937"/>
      <c r="P41" s="937"/>
      <c r="Q41" s="937"/>
      <c r="R41" s="937"/>
      <c r="S41" s="937"/>
      <c r="T41" s="937"/>
      <c r="U41" s="937"/>
      <c r="V41" s="937"/>
      <c r="W41" s="937"/>
      <c r="X41" s="937"/>
      <c r="Y41" s="937"/>
      <c r="Z41" s="937"/>
      <c r="AA41" s="937"/>
      <c r="AB41" s="937"/>
      <c r="AC41" s="937"/>
      <c r="AD41" s="937"/>
      <c r="AE41" s="937"/>
      <c r="AF41" s="937"/>
      <c r="AG41" s="937"/>
      <c r="AH41" s="937"/>
      <c r="AI41" s="937"/>
      <c r="AJ41" s="937"/>
      <c r="AK41" s="937"/>
      <c r="AL41" s="937"/>
      <c r="AM41" s="937"/>
      <c r="AN41" s="937"/>
    </row>
    <row r="42" spans="1:40" s="304" customFormat="1" x14ac:dyDescent="0.35">
      <c r="A42" s="937"/>
      <c r="B42" s="124" t="s">
        <v>348</v>
      </c>
      <c r="C42" s="1075" t="s">
        <v>626</v>
      </c>
      <c r="D42" s="291">
        <v>1312500</v>
      </c>
      <c r="E42" s="1073">
        <v>0</v>
      </c>
      <c r="F42" s="1076">
        <v>0</v>
      </c>
      <c r="G42" s="1077">
        <f t="shared" si="8"/>
        <v>1312500</v>
      </c>
      <c r="H42" s="1074">
        <f t="shared" si="6"/>
        <v>65625</v>
      </c>
      <c r="I42" s="478">
        <f t="shared" si="7"/>
        <v>1378125</v>
      </c>
      <c r="J42" s="937"/>
      <c r="K42" s="937"/>
      <c r="L42" s="937"/>
      <c r="M42" s="937"/>
      <c r="N42" s="937"/>
      <c r="O42" s="937"/>
      <c r="P42" s="937"/>
      <c r="Q42" s="937"/>
      <c r="R42" s="937"/>
      <c r="S42" s="937"/>
      <c r="T42" s="937"/>
      <c r="U42" s="937"/>
      <c r="V42" s="937"/>
      <c r="W42" s="937"/>
      <c r="X42" s="937"/>
      <c r="Y42" s="937"/>
      <c r="Z42" s="937"/>
      <c r="AA42" s="937"/>
      <c r="AB42" s="937"/>
      <c r="AC42" s="937"/>
      <c r="AD42" s="937"/>
      <c r="AE42" s="937"/>
      <c r="AF42" s="937"/>
      <c r="AG42" s="937"/>
      <c r="AH42" s="937"/>
      <c r="AI42" s="937"/>
      <c r="AJ42" s="937"/>
      <c r="AK42" s="937"/>
      <c r="AL42" s="937"/>
      <c r="AM42" s="937"/>
      <c r="AN42" s="937"/>
    </row>
    <row r="43" spans="1:40" s="304" customFormat="1" ht="15" thickBot="1" x14ac:dyDescent="0.4">
      <c r="A43" s="937"/>
      <c r="B43" s="124" t="s">
        <v>644</v>
      </c>
      <c r="C43" s="1075" t="s">
        <v>626</v>
      </c>
      <c r="D43" s="524">
        <v>2177500</v>
      </c>
      <c r="E43" s="1076">
        <v>0</v>
      </c>
      <c r="F43" s="1076">
        <v>0</v>
      </c>
      <c r="G43" s="1077">
        <f t="shared" si="8"/>
        <v>2177500</v>
      </c>
      <c r="H43" s="1077">
        <f t="shared" si="6"/>
        <v>108875</v>
      </c>
      <c r="I43" s="126">
        <f t="shared" si="7"/>
        <v>2286375</v>
      </c>
      <c r="J43" s="1079"/>
      <c r="K43" s="937"/>
      <c r="L43" s="937"/>
      <c r="M43" s="937"/>
      <c r="N43" s="937"/>
      <c r="O43" s="937"/>
      <c r="P43" s="937"/>
      <c r="Q43" s="937"/>
      <c r="R43" s="937"/>
      <c r="S43" s="937"/>
      <c r="T43" s="937"/>
      <c r="U43" s="937"/>
      <c r="V43" s="937"/>
      <c r="W43" s="937"/>
      <c r="X43" s="937"/>
      <c r="Y43" s="937"/>
      <c r="Z43" s="937"/>
      <c r="AA43" s="937"/>
      <c r="AB43" s="937"/>
      <c r="AC43" s="937"/>
      <c r="AD43" s="937"/>
      <c r="AE43" s="937"/>
      <c r="AF43" s="937"/>
      <c r="AG43" s="937"/>
      <c r="AH43" s="937"/>
      <c r="AI43" s="937"/>
      <c r="AJ43" s="937"/>
      <c r="AK43" s="937"/>
      <c r="AL43" s="937"/>
      <c r="AM43" s="937"/>
      <c r="AN43" s="937"/>
    </row>
    <row r="44" spans="1:40" s="304" customFormat="1" ht="15" thickBot="1" x14ac:dyDescent="0.4">
      <c r="A44" s="937"/>
      <c r="B44" s="937"/>
      <c r="C44" s="937"/>
      <c r="D44" s="937"/>
      <c r="E44" s="937"/>
      <c r="F44" s="937"/>
      <c r="G44" s="937"/>
      <c r="H44" s="1094" t="s">
        <v>636</v>
      </c>
      <c r="I44" s="1095">
        <f>SUM(I36:I43)</f>
        <v>20648250</v>
      </c>
      <c r="J44" s="937"/>
      <c r="K44" s="937"/>
      <c r="L44" s="937"/>
      <c r="M44" s="937"/>
      <c r="N44" s="937"/>
      <c r="O44" s="937"/>
      <c r="P44" s="937"/>
      <c r="Q44" s="937"/>
      <c r="R44" s="937"/>
      <c r="S44" s="937"/>
      <c r="T44" s="937"/>
      <c r="U44" s="937"/>
      <c r="V44" s="937"/>
      <c r="W44" s="937"/>
      <c r="X44" s="937"/>
      <c r="Y44" s="937"/>
      <c r="Z44" s="937"/>
      <c r="AA44" s="937"/>
      <c r="AB44" s="937"/>
      <c r="AC44" s="937"/>
      <c r="AD44" s="937"/>
      <c r="AE44" s="937"/>
      <c r="AF44" s="937"/>
      <c r="AG44" s="937"/>
      <c r="AH44" s="937"/>
      <c r="AI44" s="937"/>
      <c r="AJ44" s="937"/>
      <c r="AK44" s="937"/>
      <c r="AL44" s="937"/>
      <c r="AM44" s="937"/>
      <c r="AN44" s="937"/>
    </row>
    <row r="45" spans="1:40" s="304" customFormat="1" x14ac:dyDescent="0.35">
      <c r="A45" s="937"/>
      <c r="B45" s="937"/>
      <c r="C45" s="937"/>
      <c r="D45" s="937"/>
      <c r="E45" s="937"/>
      <c r="F45" s="937"/>
      <c r="G45" s="937"/>
      <c r="H45" s="937"/>
      <c r="I45" s="937"/>
      <c r="J45" s="937"/>
      <c r="K45" s="937"/>
      <c r="L45" s="937"/>
      <c r="M45" s="937"/>
      <c r="N45" s="937"/>
      <c r="O45" s="937"/>
      <c r="P45" s="937"/>
      <c r="Q45" s="937"/>
      <c r="R45" s="937"/>
      <c r="S45" s="937"/>
      <c r="T45" s="937"/>
      <c r="U45" s="937"/>
      <c r="V45" s="937"/>
      <c r="W45" s="937"/>
      <c r="X45" s="937"/>
      <c r="Y45" s="937"/>
      <c r="Z45" s="937"/>
      <c r="AA45" s="937"/>
      <c r="AB45" s="937"/>
      <c r="AC45" s="937"/>
      <c r="AD45" s="937"/>
      <c r="AE45" s="937"/>
      <c r="AF45" s="937"/>
      <c r="AG45" s="937"/>
      <c r="AH45" s="937"/>
      <c r="AI45" s="937"/>
      <c r="AJ45" s="937"/>
      <c r="AK45" s="937"/>
      <c r="AL45" s="937"/>
      <c r="AM45" s="937"/>
      <c r="AN45" s="937"/>
    </row>
    <row r="46" spans="1:40" s="304" customFormat="1" x14ac:dyDescent="0.35">
      <c r="A46" s="975" t="s">
        <v>650</v>
      </c>
      <c r="B46" s="937"/>
      <c r="C46" s="937"/>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37"/>
      <c r="AB46" s="937"/>
      <c r="AC46" s="937"/>
      <c r="AD46" s="937"/>
      <c r="AE46" s="937"/>
      <c r="AF46" s="937"/>
      <c r="AG46" s="937"/>
      <c r="AH46" s="937"/>
      <c r="AI46" s="937"/>
      <c r="AJ46" s="937"/>
      <c r="AK46" s="937"/>
      <c r="AL46" s="937"/>
      <c r="AM46" s="937"/>
      <c r="AN46" s="937"/>
    </row>
    <row r="47" spans="1:40" s="304" customFormat="1" ht="15" thickBot="1" x14ac:dyDescent="0.4">
      <c r="A47" s="937"/>
      <c r="B47" s="937"/>
      <c r="C47" s="937"/>
      <c r="D47" s="937"/>
      <c r="E47" s="937"/>
      <c r="F47" s="937"/>
      <c r="G47" s="937"/>
      <c r="H47" s="937"/>
      <c r="I47" s="937"/>
      <c r="J47" s="937"/>
      <c r="K47" s="937"/>
      <c r="L47" s="937"/>
      <c r="M47" s="937"/>
      <c r="N47" s="937"/>
      <c r="O47" s="937"/>
      <c r="P47" s="937"/>
      <c r="Q47" s="937"/>
      <c r="R47" s="937"/>
      <c r="S47" s="937"/>
      <c r="T47" s="937"/>
      <c r="U47" s="937"/>
      <c r="V47" s="937"/>
      <c r="W47" s="937"/>
      <c r="X47" s="937"/>
      <c r="Y47" s="937"/>
      <c r="Z47" s="937"/>
      <c r="AA47" s="937"/>
      <c r="AB47" s="937"/>
      <c r="AC47" s="937"/>
      <c r="AD47" s="937"/>
      <c r="AE47" s="937"/>
      <c r="AF47" s="937"/>
      <c r="AG47" s="937"/>
      <c r="AH47" s="937"/>
      <c r="AI47" s="937"/>
      <c r="AJ47" s="937"/>
      <c r="AK47" s="937"/>
      <c r="AL47" s="937"/>
      <c r="AM47" s="937"/>
      <c r="AN47" s="937"/>
    </row>
    <row r="48" spans="1:40" s="304" customFormat="1" ht="15" customHeight="1" thickBot="1" x14ac:dyDescent="0.4">
      <c r="A48" s="937"/>
      <c r="B48" s="1491" t="s">
        <v>176</v>
      </c>
      <c r="C48" s="1491" t="s">
        <v>25</v>
      </c>
      <c r="D48" s="1493" t="s">
        <v>631</v>
      </c>
      <c r="E48" s="1493"/>
      <c r="F48" s="1493"/>
      <c r="G48" s="1493"/>
      <c r="H48" s="1494" t="s">
        <v>632</v>
      </c>
      <c r="I48" s="1494" t="s">
        <v>205</v>
      </c>
      <c r="J48" s="937"/>
      <c r="K48" s="937"/>
      <c r="L48" s="937"/>
      <c r="M48" s="937"/>
      <c r="N48" s="937"/>
      <c r="O48" s="937"/>
      <c r="P48" s="937"/>
      <c r="Q48" s="937"/>
      <c r="R48" s="937"/>
      <c r="S48" s="937"/>
      <c r="T48" s="937"/>
      <c r="U48" s="937"/>
      <c r="V48" s="937"/>
      <c r="W48" s="937"/>
      <c r="X48" s="937"/>
      <c r="Y48" s="937"/>
      <c r="Z48" s="937"/>
      <c r="AA48" s="937"/>
      <c r="AB48" s="937"/>
      <c r="AC48" s="937"/>
      <c r="AD48" s="937"/>
      <c r="AE48" s="937"/>
      <c r="AF48" s="937"/>
      <c r="AG48" s="937"/>
      <c r="AH48" s="937"/>
      <c r="AI48" s="937"/>
      <c r="AJ48" s="937"/>
      <c r="AK48" s="937"/>
      <c r="AL48" s="937"/>
      <c r="AM48" s="937"/>
      <c r="AN48" s="937"/>
    </row>
    <row r="49" spans="1:40" s="304" customFormat="1" ht="39.5" thickBot="1" x14ac:dyDescent="0.4">
      <c r="A49" s="937"/>
      <c r="B49" s="1492"/>
      <c r="C49" s="1492"/>
      <c r="D49" s="1068" t="s">
        <v>633</v>
      </c>
      <c r="E49" s="1068" t="s">
        <v>181</v>
      </c>
      <c r="F49" s="1068" t="s">
        <v>182</v>
      </c>
      <c r="G49" s="1068" t="s">
        <v>634</v>
      </c>
      <c r="H49" s="1496"/>
      <c r="I49" s="1496"/>
      <c r="J49" s="937"/>
      <c r="K49" s="937"/>
      <c r="L49" s="937"/>
      <c r="M49" s="937"/>
      <c r="N49" s="937"/>
      <c r="O49" s="937"/>
      <c r="P49" s="937"/>
      <c r="Q49" s="937"/>
      <c r="R49" s="937"/>
      <c r="S49" s="937"/>
      <c r="T49" s="937"/>
      <c r="U49" s="937"/>
      <c r="V49" s="937"/>
      <c r="W49" s="937"/>
      <c r="X49" s="937"/>
      <c r="Y49" s="937"/>
      <c r="Z49" s="937"/>
      <c r="AA49" s="937"/>
      <c r="AB49" s="937"/>
      <c r="AC49" s="937"/>
      <c r="AD49" s="937"/>
      <c r="AE49" s="937"/>
      <c r="AF49" s="937"/>
      <c r="AG49" s="937"/>
      <c r="AH49" s="937"/>
      <c r="AI49" s="937"/>
      <c r="AJ49" s="937"/>
      <c r="AK49" s="937"/>
      <c r="AL49" s="937"/>
      <c r="AM49" s="937"/>
      <c r="AN49" s="937"/>
    </row>
    <row r="50" spans="1:40" s="304" customFormat="1" x14ac:dyDescent="0.35">
      <c r="A50" s="937"/>
      <c r="B50" s="1080" t="s">
        <v>641</v>
      </c>
      <c r="C50" s="1080" t="s">
        <v>635</v>
      </c>
      <c r="D50" s="1081">
        <v>2625000</v>
      </c>
      <c r="E50" s="1070">
        <v>0</v>
      </c>
      <c r="F50" s="1070">
        <v>0</v>
      </c>
      <c r="G50" s="1082">
        <f t="shared" ref="G50:G55" si="9">SUM(D50:F50)</f>
        <v>2625000</v>
      </c>
      <c r="H50" s="1083">
        <f t="shared" ref="H50:H55" si="10">+D50*0.05</f>
        <v>131250</v>
      </c>
      <c r="I50" s="1084">
        <f t="shared" ref="I50:I55" si="11">+D50+E50+H50</f>
        <v>2756250</v>
      </c>
      <c r="J50" s="937"/>
      <c r="K50" s="937"/>
      <c r="L50" s="937"/>
      <c r="M50" s="937"/>
      <c r="N50" s="937"/>
      <c r="O50" s="937"/>
      <c r="P50" s="937"/>
      <c r="Q50" s="937"/>
      <c r="R50" s="937"/>
      <c r="S50" s="937"/>
      <c r="T50" s="937"/>
      <c r="U50" s="937"/>
      <c r="V50" s="937"/>
      <c r="W50" s="937"/>
      <c r="X50" s="937"/>
      <c r="Y50" s="937"/>
      <c r="Z50" s="937"/>
      <c r="AA50" s="937"/>
      <c r="AB50" s="937"/>
      <c r="AC50" s="937"/>
      <c r="AD50" s="937"/>
      <c r="AE50" s="937"/>
      <c r="AF50" s="937"/>
      <c r="AG50" s="937"/>
      <c r="AH50" s="937"/>
      <c r="AI50" s="937"/>
      <c r="AJ50" s="937"/>
      <c r="AK50" s="937"/>
      <c r="AL50" s="937"/>
      <c r="AM50" s="937"/>
      <c r="AN50" s="937"/>
    </row>
    <row r="51" spans="1:40" s="304" customFormat="1" x14ac:dyDescent="0.35">
      <c r="A51" s="937"/>
      <c r="B51" s="1085" t="s">
        <v>641</v>
      </c>
      <c r="C51" s="1085" t="s">
        <v>635</v>
      </c>
      <c r="D51" s="1086">
        <v>1312500</v>
      </c>
      <c r="E51" s="1073">
        <v>0</v>
      </c>
      <c r="F51" s="1076">
        <v>0</v>
      </c>
      <c r="G51" s="1087">
        <f t="shared" si="9"/>
        <v>1312500</v>
      </c>
      <c r="H51" s="1088">
        <f t="shared" si="10"/>
        <v>65625</v>
      </c>
      <c r="I51" s="1089">
        <f t="shared" si="11"/>
        <v>1378125</v>
      </c>
      <c r="J51" s="937"/>
      <c r="K51" s="937"/>
      <c r="L51" s="937"/>
      <c r="M51" s="937"/>
      <c r="N51" s="937"/>
      <c r="O51" s="937"/>
      <c r="P51" s="937"/>
      <c r="Q51" s="937"/>
      <c r="R51" s="937"/>
      <c r="S51" s="937"/>
      <c r="T51" s="937"/>
      <c r="U51" s="937"/>
      <c r="V51" s="937"/>
      <c r="W51" s="937"/>
      <c r="X51" s="937"/>
      <c r="Y51" s="937"/>
      <c r="Z51" s="937"/>
      <c r="AA51" s="937"/>
      <c r="AB51" s="937"/>
      <c r="AC51" s="937"/>
      <c r="AD51" s="937"/>
      <c r="AE51" s="937"/>
      <c r="AF51" s="937"/>
      <c r="AG51" s="937"/>
      <c r="AH51" s="937"/>
      <c r="AI51" s="937"/>
      <c r="AJ51" s="937"/>
      <c r="AK51" s="937"/>
      <c r="AL51" s="937"/>
      <c r="AM51" s="937"/>
      <c r="AN51" s="937"/>
    </row>
    <row r="52" spans="1:40" s="304" customFormat="1" x14ac:dyDescent="0.35">
      <c r="A52" s="937"/>
      <c r="B52" s="1085" t="s">
        <v>420</v>
      </c>
      <c r="C52" s="1085" t="s">
        <v>635</v>
      </c>
      <c r="D52" s="1090">
        <v>5250000</v>
      </c>
      <c r="E52" s="1073">
        <v>0</v>
      </c>
      <c r="F52" s="1076">
        <v>0</v>
      </c>
      <c r="G52" s="1087">
        <f t="shared" si="9"/>
        <v>5250000</v>
      </c>
      <c r="H52" s="1088">
        <f t="shared" si="10"/>
        <v>262500</v>
      </c>
      <c r="I52" s="1089">
        <f t="shared" si="11"/>
        <v>5512500</v>
      </c>
      <c r="J52" s="937"/>
      <c r="K52" s="937"/>
      <c r="L52" s="937"/>
      <c r="M52" s="937"/>
      <c r="N52" s="937"/>
      <c r="O52" s="937"/>
      <c r="P52" s="937"/>
      <c r="Q52" s="937"/>
      <c r="R52" s="937"/>
      <c r="S52" s="937"/>
      <c r="T52" s="937"/>
      <c r="U52" s="937"/>
      <c r="V52" s="937"/>
      <c r="W52" s="937"/>
      <c r="X52" s="937"/>
      <c r="Y52" s="937"/>
      <c r="Z52" s="937"/>
      <c r="AA52" s="937"/>
      <c r="AB52" s="937"/>
      <c r="AC52" s="937"/>
      <c r="AD52" s="937"/>
      <c r="AE52" s="937"/>
      <c r="AF52" s="937"/>
      <c r="AG52" s="937"/>
      <c r="AH52" s="937"/>
      <c r="AI52" s="937"/>
      <c r="AJ52" s="937"/>
      <c r="AK52" s="937"/>
      <c r="AL52" s="937"/>
      <c r="AM52" s="937"/>
      <c r="AN52" s="937"/>
    </row>
    <row r="53" spans="1:40" s="304" customFormat="1" x14ac:dyDescent="0.35">
      <c r="A53" s="937"/>
      <c r="B53" s="1085" t="s">
        <v>420</v>
      </c>
      <c r="C53" s="1085" t="s">
        <v>635</v>
      </c>
      <c r="D53" s="1076">
        <v>2625000</v>
      </c>
      <c r="E53" s="1076">
        <v>0</v>
      </c>
      <c r="F53" s="1076">
        <v>0</v>
      </c>
      <c r="G53" s="1087">
        <f t="shared" si="9"/>
        <v>2625000</v>
      </c>
      <c r="H53" s="1088">
        <f t="shared" si="10"/>
        <v>131250</v>
      </c>
      <c r="I53" s="1089">
        <f t="shared" si="11"/>
        <v>2756250</v>
      </c>
      <c r="J53" s="937"/>
      <c r="K53" s="937"/>
      <c r="L53" s="937"/>
      <c r="M53" s="937"/>
      <c r="N53" s="937"/>
      <c r="O53" s="937"/>
      <c r="P53" s="937"/>
      <c r="Q53" s="937"/>
      <c r="R53" s="937"/>
      <c r="S53" s="937"/>
      <c r="T53" s="937"/>
      <c r="U53" s="937"/>
      <c r="V53" s="937"/>
      <c r="W53" s="937"/>
      <c r="X53" s="937"/>
      <c r="Y53" s="937"/>
      <c r="Z53" s="937"/>
      <c r="AA53" s="937"/>
      <c r="AB53" s="937"/>
      <c r="AC53" s="937"/>
      <c r="AD53" s="937"/>
      <c r="AE53" s="937"/>
      <c r="AF53" s="937"/>
      <c r="AG53" s="937"/>
      <c r="AH53" s="937"/>
      <c r="AI53" s="937"/>
      <c r="AJ53" s="937"/>
      <c r="AK53" s="937"/>
      <c r="AL53" s="937"/>
      <c r="AM53" s="937"/>
      <c r="AN53" s="937"/>
    </row>
    <row r="54" spans="1:40" s="304" customFormat="1" x14ac:dyDescent="0.35">
      <c r="A54" s="937"/>
      <c r="B54" s="1085" t="s">
        <v>426</v>
      </c>
      <c r="C54" s="1085" t="s">
        <v>635</v>
      </c>
      <c r="D54" s="1076">
        <v>1172500</v>
      </c>
      <c r="E54" s="1073">
        <v>0</v>
      </c>
      <c r="F54" s="1073">
        <v>0</v>
      </c>
      <c r="G54" s="1087">
        <f>SUM(D54:F54)</f>
        <v>1172500</v>
      </c>
      <c r="H54" s="1088">
        <f t="shared" si="10"/>
        <v>58625</v>
      </c>
      <c r="I54" s="1089">
        <f t="shared" si="11"/>
        <v>1231125</v>
      </c>
      <c r="J54" s="937"/>
      <c r="K54" s="937"/>
      <c r="L54" s="937"/>
      <c r="M54" s="937"/>
      <c r="N54" s="937"/>
      <c r="O54" s="937"/>
      <c r="P54" s="937"/>
      <c r="Q54" s="937"/>
      <c r="R54" s="937"/>
      <c r="S54" s="937"/>
      <c r="T54" s="937"/>
      <c r="U54" s="937"/>
      <c r="V54" s="937"/>
      <c r="W54" s="937"/>
      <c r="X54" s="937"/>
      <c r="Y54" s="937"/>
      <c r="Z54" s="937"/>
      <c r="AA54" s="937"/>
      <c r="AB54" s="937"/>
      <c r="AC54" s="937"/>
      <c r="AD54" s="937"/>
      <c r="AE54" s="937"/>
      <c r="AF54" s="937"/>
      <c r="AG54" s="937"/>
      <c r="AH54" s="937"/>
      <c r="AI54" s="937"/>
      <c r="AJ54" s="937"/>
      <c r="AK54" s="937"/>
      <c r="AL54" s="937"/>
      <c r="AM54" s="937"/>
      <c r="AN54" s="937"/>
    </row>
    <row r="55" spans="1:40" s="304" customFormat="1" ht="15" thickBot="1" x14ac:dyDescent="0.4">
      <c r="A55" s="937"/>
      <c r="B55" s="1091" t="s">
        <v>449</v>
      </c>
      <c r="C55" s="1091" t="s">
        <v>635</v>
      </c>
      <c r="D55" s="1078">
        <v>1005167.5</v>
      </c>
      <c r="E55" s="1078">
        <v>0</v>
      </c>
      <c r="F55" s="1078">
        <v>0</v>
      </c>
      <c r="G55" s="1092">
        <f t="shared" si="9"/>
        <v>1005167.5</v>
      </c>
      <c r="H55" s="1092">
        <f t="shared" si="10"/>
        <v>50258.375</v>
      </c>
      <c r="I55" s="1093">
        <f t="shared" si="11"/>
        <v>1055425.875</v>
      </c>
      <c r="J55" s="937"/>
      <c r="K55" s="937"/>
      <c r="L55" s="937"/>
      <c r="M55" s="937"/>
      <c r="N55" s="937"/>
      <c r="O55" s="937"/>
      <c r="P55" s="937"/>
      <c r="Q55" s="937"/>
      <c r="R55" s="937"/>
      <c r="S55" s="937"/>
      <c r="T55" s="937"/>
      <c r="U55" s="937"/>
      <c r="V55" s="937"/>
      <c r="W55" s="937"/>
      <c r="X55" s="937"/>
      <c r="Y55" s="937"/>
      <c r="Z55" s="937"/>
      <c r="AA55" s="937"/>
      <c r="AB55" s="937"/>
      <c r="AC55" s="937"/>
      <c r="AD55" s="937"/>
      <c r="AE55" s="937"/>
      <c r="AF55" s="937"/>
      <c r="AG55" s="937"/>
      <c r="AH55" s="937"/>
      <c r="AI55" s="937"/>
      <c r="AJ55" s="937"/>
      <c r="AK55" s="937"/>
      <c r="AL55" s="937"/>
      <c r="AM55" s="937"/>
      <c r="AN55" s="937"/>
    </row>
    <row r="56" spans="1:40" s="304" customFormat="1" ht="15" thickBot="1" x14ac:dyDescent="0.4">
      <c r="A56" s="937"/>
      <c r="B56" s="937"/>
      <c r="C56" s="937"/>
      <c r="D56" s="937"/>
      <c r="E56" s="937"/>
      <c r="F56" s="937"/>
      <c r="G56" s="937"/>
      <c r="H56" s="1094" t="s">
        <v>636</v>
      </c>
      <c r="I56" s="1095">
        <f>SUM(I50:I55)</f>
        <v>14689675.875</v>
      </c>
      <c r="J56" s="937"/>
      <c r="K56" s="937"/>
      <c r="L56" s="937"/>
      <c r="M56" s="937"/>
      <c r="N56" s="937"/>
      <c r="O56" s="937"/>
      <c r="P56" s="937"/>
      <c r="Q56" s="937"/>
      <c r="R56" s="937"/>
      <c r="S56" s="937"/>
      <c r="T56" s="937"/>
      <c r="U56" s="937"/>
      <c r="V56" s="937"/>
      <c r="W56" s="937"/>
      <c r="X56" s="937"/>
      <c r="Y56" s="937"/>
      <c r="Z56" s="937"/>
      <c r="AA56" s="937"/>
      <c r="AB56" s="937"/>
      <c r="AC56" s="937"/>
      <c r="AD56" s="937"/>
      <c r="AE56" s="937"/>
      <c r="AF56" s="937"/>
      <c r="AG56" s="937"/>
      <c r="AH56" s="937"/>
      <c r="AI56" s="937"/>
      <c r="AJ56" s="937"/>
      <c r="AK56" s="937"/>
      <c r="AL56" s="937"/>
      <c r="AM56" s="937"/>
      <c r="AN56" s="937"/>
    </row>
    <row r="57" spans="1:40" s="304" customFormat="1" x14ac:dyDescent="0.35">
      <c r="A57" s="975" t="s">
        <v>651</v>
      </c>
      <c r="B57" s="937"/>
      <c r="C57" s="937"/>
      <c r="D57" s="937"/>
      <c r="E57" s="937"/>
      <c r="F57" s="937"/>
      <c r="G57" s="937"/>
      <c r="H57" s="937"/>
      <c r="I57" s="937"/>
      <c r="J57" s="937"/>
      <c r="K57" s="937"/>
      <c r="L57" s="937"/>
      <c r="M57" s="937"/>
      <c r="N57" s="937"/>
      <c r="O57" s="937"/>
      <c r="P57" s="937"/>
      <c r="Q57" s="937"/>
      <c r="R57" s="937"/>
      <c r="S57" s="937"/>
      <c r="T57" s="937"/>
      <c r="U57" s="937"/>
      <c r="V57" s="937"/>
      <c r="W57" s="937"/>
      <c r="X57" s="937"/>
      <c r="Y57" s="937"/>
      <c r="Z57" s="937"/>
      <c r="AA57" s="937"/>
      <c r="AB57" s="937"/>
      <c r="AC57" s="937"/>
      <c r="AD57" s="937"/>
      <c r="AE57" s="937"/>
      <c r="AF57" s="937"/>
      <c r="AG57" s="937"/>
      <c r="AH57" s="937"/>
      <c r="AI57" s="937"/>
      <c r="AJ57" s="937"/>
      <c r="AK57" s="937"/>
      <c r="AL57" s="937"/>
      <c r="AM57" s="937"/>
      <c r="AN57" s="937"/>
    </row>
    <row r="58" spans="1:40" s="304" customFormat="1" x14ac:dyDescent="0.35">
      <c r="A58" s="937"/>
      <c r="B58" s="937"/>
      <c r="C58" s="937"/>
      <c r="D58" s="937"/>
      <c r="E58" s="937"/>
      <c r="F58" s="937"/>
      <c r="G58" s="937"/>
      <c r="H58" s="937"/>
      <c r="I58" s="937"/>
      <c r="J58" s="937"/>
      <c r="K58" s="937"/>
      <c r="L58" s="937"/>
      <c r="M58" s="937"/>
      <c r="N58" s="937"/>
      <c r="O58" s="937"/>
      <c r="P58" s="937"/>
      <c r="Q58" s="937"/>
      <c r="R58" s="937"/>
      <c r="S58" s="937"/>
      <c r="T58" s="937"/>
      <c r="U58" s="937"/>
      <c r="V58" s="937"/>
      <c r="W58" s="937"/>
      <c r="X58" s="937"/>
      <c r="Y58" s="937"/>
      <c r="Z58" s="937"/>
      <c r="AA58" s="937"/>
      <c r="AB58" s="937"/>
      <c r="AC58" s="937"/>
      <c r="AD58" s="937"/>
      <c r="AE58" s="937"/>
      <c r="AF58" s="937"/>
      <c r="AG58" s="937"/>
      <c r="AH58" s="937"/>
      <c r="AI58" s="937"/>
      <c r="AJ58" s="937"/>
      <c r="AK58" s="937"/>
      <c r="AL58" s="937"/>
      <c r="AM58" s="937"/>
      <c r="AN58" s="937"/>
    </row>
    <row r="59" spans="1:40" s="304" customFormat="1" ht="15" thickBot="1" x14ac:dyDescent="0.4">
      <c r="A59" s="937"/>
      <c r="B59" s="937"/>
      <c r="C59" s="937"/>
      <c r="D59" s="937"/>
      <c r="E59" s="937"/>
      <c r="F59" s="937"/>
      <c r="G59" s="937"/>
      <c r="H59" s="937"/>
      <c r="I59" s="937"/>
      <c r="J59" s="937"/>
      <c r="K59" s="937"/>
      <c r="L59" s="937"/>
      <c r="M59" s="937"/>
      <c r="N59" s="937"/>
      <c r="O59" s="937"/>
      <c r="P59" s="937"/>
      <c r="Q59" s="937"/>
      <c r="R59" s="937"/>
      <c r="S59" s="937"/>
      <c r="T59" s="937"/>
      <c r="U59" s="937"/>
      <c r="V59" s="937"/>
      <c r="W59" s="937"/>
      <c r="X59" s="937"/>
      <c r="Y59" s="937"/>
      <c r="Z59" s="937"/>
      <c r="AA59" s="937"/>
      <c r="AB59" s="937"/>
      <c r="AC59" s="937"/>
      <c r="AD59" s="937"/>
      <c r="AE59" s="937"/>
      <c r="AF59" s="937"/>
      <c r="AG59" s="937"/>
      <c r="AH59" s="937"/>
      <c r="AI59" s="937"/>
      <c r="AJ59" s="937"/>
      <c r="AK59" s="937"/>
      <c r="AL59" s="937"/>
      <c r="AM59" s="937"/>
      <c r="AN59" s="937"/>
    </row>
    <row r="60" spans="1:40" s="304" customFormat="1" ht="15" thickBot="1" x14ac:dyDescent="0.4">
      <c r="A60" s="1096" t="s">
        <v>218</v>
      </c>
      <c r="B60" s="1097" t="s">
        <v>219</v>
      </c>
      <c r="C60" s="1097" t="s">
        <v>96</v>
      </c>
      <c r="D60" s="1098" t="s">
        <v>97</v>
      </c>
      <c r="E60" s="937"/>
      <c r="F60" s="937"/>
      <c r="G60" s="937"/>
      <c r="H60" s="937"/>
      <c r="I60" s="937"/>
      <c r="J60" s="937"/>
      <c r="K60" s="937"/>
      <c r="L60" s="937"/>
      <c r="M60" s="937"/>
      <c r="N60" s="937"/>
      <c r="O60" s="937"/>
      <c r="P60" s="937"/>
      <c r="Q60" s="937"/>
      <c r="R60" s="937"/>
      <c r="S60" s="937"/>
      <c r="T60" s="937"/>
      <c r="U60" s="937"/>
      <c r="V60" s="937"/>
      <c r="W60" s="937"/>
      <c r="X60" s="937"/>
      <c r="Y60" s="937"/>
      <c r="Z60" s="937"/>
      <c r="AA60" s="937"/>
      <c r="AB60" s="937"/>
      <c r="AC60" s="937"/>
      <c r="AD60" s="937"/>
      <c r="AE60" s="937"/>
      <c r="AF60" s="937"/>
      <c r="AG60" s="937"/>
      <c r="AH60" s="937"/>
      <c r="AI60" s="937"/>
      <c r="AJ60" s="937"/>
      <c r="AK60" s="937"/>
      <c r="AL60" s="937"/>
      <c r="AM60" s="937"/>
      <c r="AN60" s="937"/>
    </row>
    <row r="61" spans="1:40" s="304" customFormat="1" x14ac:dyDescent="0.35">
      <c r="A61" s="479" t="s">
        <v>220</v>
      </c>
      <c r="B61" s="480">
        <v>660</v>
      </c>
      <c r="C61" s="481">
        <v>1</v>
      </c>
      <c r="D61" s="1099">
        <f>+B61*C61</f>
        <v>660</v>
      </c>
      <c r="E61" s="937"/>
      <c r="F61" s="937"/>
      <c r="G61" s="937"/>
      <c r="H61" s="937"/>
      <c r="I61" s="937"/>
      <c r="J61" s="937"/>
      <c r="K61" s="937"/>
      <c r="L61" s="937"/>
      <c r="M61" s="937"/>
      <c r="N61" s="937"/>
      <c r="O61" s="937"/>
      <c r="P61" s="937"/>
      <c r="Q61" s="937"/>
      <c r="R61" s="937"/>
      <c r="S61" s="937"/>
      <c r="T61" s="937"/>
      <c r="U61" s="937"/>
      <c r="V61" s="937"/>
      <c r="W61" s="937"/>
      <c r="X61" s="937"/>
      <c r="Y61" s="937"/>
      <c r="Z61" s="937"/>
      <c r="AA61" s="937"/>
      <c r="AB61" s="937"/>
      <c r="AC61" s="937"/>
      <c r="AD61" s="937"/>
      <c r="AE61" s="937"/>
      <c r="AF61" s="937"/>
      <c r="AG61" s="937"/>
      <c r="AH61" s="937"/>
      <c r="AI61" s="937"/>
      <c r="AJ61" s="937"/>
      <c r="AK61" s="937"/>
      <c r="AL61" s="937"/>
      <c r="AM61" s="937"/>
      <c r="AN61" s="937"/>
    </row>
    <row r="62" spans="1:40" s="304" customFormat="1" x14ac:dyDescent="0.35">
      <c r="A62" s="482" t="s">
        <v>336</v>
      </c>
      <c r="B62" s="483">
        <v>506.00000000000006</v>
      </c>
      <c r="C62" s="484">
        <v>1</v>
      </c>
      <c r="D62" s="1100">
        <f>+B62*C62</f>
        <v>506.00000000000006</v>
      </c>
      <c r="E62" s="937"/>
      <c r="F62" s="937"/>
      <c r="G62" s="937"/>
      <c r="H62" s="937"/>
      <c r="I62" s="937"/>
      <c r="J62" s="937"/>
      <c r="K62" s="937"/>
      <c r="L62" s="937"/>
      <c r="M62" s="937"/>
      <c r="N62" s="937"/>
      <c r="O62" s="937"/>
      <c r="P62" s="937"/>
      <c r="Q62" s="937"/>
      <c r="R62" s="937"/>
      <c r="S62" s="937"/>
      <c r="T62" s="937"/>
      <c r="U62" s="937"/>
      <c r="V62" s="937"/>
      <c r="W62" s="937"/>
      <c r="X62" s="937"/>
      <c r="Y62" s="937"/>
      <c r="Z62" s="937"/>
      <c r="AA62" s="937"/>
      <c r="AB62" s="937"/>
      <c r="AC62" s="937"/>
      <c r="AD62" s="937"/>
      <c r="AE62" s="937"/>
      <c r="AF62" s="937"/>
      <c r="AG62" s="937"/>
      <c r="AH62" s="937"/>
      <c r="AI62" s="937"/>
      <c r="AJ62" s="937"/>
      <c r="AK62" s="937"/>
      <c r="AL62" s="937"/>
      <c r="AM62" s="937"/>
      <c r="AN62" s="937"/>
    </row>
    <row r="63" spans="1:40" s="304" customFormat="1" x14ac:dyDescent="0.35">
      <c r="A63" s="482" t="s">
        <v>337</v>
      </c>
      <c r="B63" s="483">
        <v>528</v>
      </c>
      <c r="C63" s="484">
        <v>1</v>
      </c>
      <c r="D63" s="1100">
        <f t="shared" ref="D63:D73" si="12">+B63*C63</f>
        <v>528</v>
      </c>
      <c r="E63" s="937"/>
      <c r="F63" s="937"/>
      <c r="G63" s="937"/>
      <c r="H63" s="937"/>
      <c r="I63" s="937"/>
      <c r="J63" s="937"/>
      <c r="K63" s="937"/>
      <c r="L63" s="937"/>
      <c r="M63" s="937"/>
      <c r="N63" s="937"/>
      <c r="O63" s="937"/>
      <c r="P63" s="937"/>
      <c r="Q63" s="937"/>
      <c r="R63" s="937"/>
      <c r="S63" s="937"/>
      <c r="T63" s="937"/>
      <c r="U63" s="937"/>
      <c r="V63" s="937"/>
      <c r="W63" s="937"/>
      <c r="X63" s="937"/>
      <c r="Y63" s="937"/>
      <c r="Z63" s="937"/>
      <c r="AA63" s="937"/>
      <c r="AB63" s="937"/>
      <c r="AC63" s="937"/>
      <c r="AD63" s="937"/>
      <c r="AE63" s="937"/>
      <c r="AF63" s="937"/>
      <c r="AG63" s="937"/>
      <c r="AH63" s="937"/>
      <c r="AI63" s="937"/>
      <c r="AJ63" s="937"/>
      <c r="AK63" s="937"/>
      <c r="AL63" s="937"/>
      <c r="AM63" s="937"/>
      <c r="AN63" s="937"/>
    </row>
    <row r="64" spans="1:40" s="304" customFormat="1" x14ac:dyDescent="0.35">
      <c r="A64" s="482" t="s">
        <v>645</v>
      </c>
      <c r="B64" s="483">
        <v>350</v>
      </c>
      <c r="C64" s="484">
        <v>1</v>
      </c>
      <c r="D64" s="1100">
        <f t="shared" si="12"/>
        <v>350</v>
      </c>
      <c r="E64" s="937"/>
      <c r="F64" s="937"/>
      <c r="G64" s="937"/>
      <c r="H64" s="937"/>
      <c r="I64" s="937"/>
      <c r="J64" s="937"/>
      <c r="K64" s="937"/>
      <c r="L64" s="937"/>
      <c r="M64" s="937"/>
      <c r="N64" s="937"/>
      <c r="O64" s="937"/>
      <c r="P64" s="937"/>
      <c r="Q64" s="937"/>
      <c r="R64" s="937"/>
      <c r="S64" s="937"/>
      <c r="T64" s="937"/>
      <c r="U64" s="937"/>
      <c r="V64" s="937"/>
      <c r="W64" s="937"/>
      <c r="X64" s="937"/>
      <c r="Y64" s="937"/>
      <c r="Z64" s="937"/>
      <c r="AA64" s="937"/>
      <c r="AB64" s="937"/>
      <c r="AC64" s="937"/>
      <c r="AD64" s="937"/>
      <c r="AE64" s="937"/>
      <c r="AF64" s="937"/>
      <c r="AG64" s="937"/>
      <c r="AH64" s="937"/>
      <c r="AI64" s="937"/>
      <c r="AJ64" s="937"/>
      <c r="AK64" s="937"/>
      <c r="AL64" s="937"/>
      <c r="AM64" s="937"/>
      <c r="AN64" s="937"/>
    </row>
    <row r="65" spans="1:40" s="304" customFormat="1" x14ac:dyDescent="0.35">
      <c r="A65" s="482" t="s">
        <v>221</v>
      </c>
      <c r="B65" s="483">
        <v>306</v>
      </c>
      <c r="C65" s="484">
        <v>1</v>
      </c>
      <c r="D65" s="1100">
        <f t="shared" si="12"/>
        <v>306</v>
      </c>
      <c r="E65" s="937"/>
      <c r="F65" s="937"/>
      <c r="G65" s="937"/>
      <c r="H65" s="937"/>
      <c r="I65" s="937"/>
      <c r="J65" s="937"/>
      <c r="K65" s="937"/>
      <c r="L65" s="937"/>
      <c r="M65" s="937"/>
      <c r="N65" s="937"/>
      <c r="O65" s="937"/>
      <c r="P65" s="937"/>
      <c r="Q65" s="937"/>
      <c r="R65" s="937"/>
      <c r="S65" s="937"/>
      <c r="T65" s="937"/>
      <c r="U65" s="937"/>
      <c r="V65" s="937"/>
      <c r="W65" s="937"/>
      <c r="X65" s="937"/>
      <c r="Y65" s="937"/>
      <c r="Z65" s="937"/>
      <c r="AA65" s="937"/>
      <c r="AB65" s="937"/>
      <c r="AC65" s="937"/>
      <c r="AD65" s="937"/>
      <c r="AE65" s="937"/>
      <c r="AF65" s="937"/>
      <c r="AG65" s="937"/>
      <c r="AH65" s="937"/>
      <c r="AI65" s="937"/>
      <c r="AJ65" s="937"/>
      <c r="AK65" s="937"/>
      <c r="AL65" s="937"/>
      <c r="AM65" s="937"/>
      <c r="AN65" s="937"/>
    </row>
    <row r="66" spans="1:40" s="304" customFormat="1" x14ac:dyDescent="0.35">
      <c r="A66" s="482" t="s">
        <v>222</v>
      </c>
      <c r="B66" s="483">
        <v>528</v>
      </c>
      <c r="C66" s="484">
        <v>1</v>
      </c>
      <c r="D66" s="1100">
        <f t="shared" si="12"/>
        <v>528</v>
      </c>
      <c r="E66" s="937"/>
      <c r="F66" s="937"/>
      <c r="G66" s="937"/>
      <c r="H66" s="937"/>
      <c r="I66" s="937"/>
      <c r="J66" s="937"/>
      <c r="K66" s="937"/>
      <c r="L66" s="937"/>
      <c r="M66" s="937"/>
      <c r="N66" s="937"/>
      <c r="O66" s="937"/>
      <c r="P66" s="937"/>
      <c r="Q66" s="937"/>
      <c r="R66" s="937"/>
      <c r="S66" s="937"/>
      <c r="T66" s="937"/>
      <c r="U66" s="937"/>
      <c r="V66" s="937"/>
      <c r="W66" s="937"/>
      <c r="X66" s="937"/>
      <c r="Y66" s="937"/>
      <c r="Z66" s="937"/>
      <c r="AA66" s="937"/>
      <c r="AB66" s="937"/>
      <c r="AC66" s="937"/>
      <c r="AD66" s="937"/>
      <c r="AE66" s="937"/>
      <c r="AF66" s="937"/>
      <c r="AG66" s="937"/>
      <c r="AH66" s="937"/>
      <c r="AI66" s="937"/>
      <c r="AJ66" s="937"/>
      <c r="AK66" s="937"/>
      <c r="AL66" s="937"/>
      <c r="AM66" s="937"/>
      <c r="AN66" s="937"/>
    </row>
    <row r="67" spans="1:40" s="304" customFormat="1" x14ac:dyDescent="0.35">
      <c r="A67" s="482" t="s">
        <v>223</v>
      </c>
      <c r="B67" s="483">
        <v>451.00000000000006</v>
      </c>
      <c r="C67" s="484">
        <v>1</v>
      </c>
      <c r="D67" s="1100">
        <f t="shared" si="12"/>
        <v>451.00000000000006</v>
      </c>
      <c r="E67" s="937"/>
      <c r="F67" s="937"/>
      <c r="G67" s="937"/>
      <c r="H67" s="937"/>
      <c r="I67" s="937"/>
      <c r="J67" s="937"/>
      <c r="K67" s="937"/>
      <c r="L67" s="937"/>
      <c r="M67" s="937"/>
      <c r="N67" s="937"/>
      <c r="O67" s="937"/>
      <c r="P67" s="937"/>
      <c r="Q67" s="937"/>
      <c r="R67" s="937"/>
      <c r="S67" s="937"/>
      <c r="T67" s="937"/>
      <c r="U67" s="937"/>
      <c r="V67" s="937"/>
      <c r="W67" s="937"/>
      <c r="X67" s="937"/>
      <c r="Y67" s="937"/>
      <c r="Z67" s="937"/>
      <c r="AA67" s="937"/>
      <c r="AB67" s="937"/>
      <c r="AC67" s="937"/>
      <c r="AD67" s="937"/>
      <c r="AE67" s="937"/>
      <c r="AF67" s="937"/>
      <c r="AG67" s="937"/>
      <c r="AH67" s="937"/>
      <c r="AI67" s="937"/>
      <c r="AJ67" s="937"/>
      <c r="AK67" s="937"/>
      <c r="AL67" s="937"/>
      <c r="AM67" s="937"/>
      <c r="AN67" s="937"/>
    </row>
    <row r="68" spans="1:40" s="304" customFormat="1" x14ac:dyDescent="0.35">
      <c r="A68" s="482" t="s">
        <v>224</v>
      </c>
      <c r="B68" s="483">
        <v>165</v>
      </c>
      <c r="C68" s="484">
        <v>2</v>
      </c>
      <c r="D68" s="1100">
        <f t="shared" si="12"/>
        <v>330</v>
      </c>
      <c r="E68" s="937"/>
      <c r="F68" s="937"/>
      <c r="G68" s="937"/>
      <c r="H68" s="937"/>
      <c r="I68" s="937"/>
      <c r="J68" s="937"/>
      <c r="K68" s="937"/>
      <c r="L68" s="937"/>
      <c r="M68" s="937"/>
      <c r="N68" s="937"/>
      <c r="O68" s="937"/>
      <c r="P68" s="937"/>
      <c r="Q68" s="937"/>
      <c r="R68" s="937"/>
      <c r="S68" s="937"/>
      <c r="T68" s="937"/>
      <c r="U68" s="937"/>
      <c r="V68" s="937"/>
      <c r="W68" s="937"/>
      <c r="X68" s="937"/>
      <c r="Y68" s="937"/>
      <c r="Z68" s="937"/>
      <c r="AA68" s="937"/>
      <c r="AB68" s="937"/>
      <c r="AC68" s="937"/>
      <c r="AD68" s="937"/>
      <c r="AE68" s="937"/>
      <c r="AF68" s="937"/>
      <c r="AG68" s="937"/>
      <c r="AH68" s="937"/>
      <c r="AI68" s="937"/>
      <c r="AJ68" s="937"/>
      <c r="AK68" s="937"/>
      <c r="AL68" s="937"/>
      <c r="AM68" s="937"/>
      <c r="AN68" s="937"/>
    </row>
    <row r="69" spans="1:40" s="304" customFormat="1" x14ac:dyDescent="0.35">
      <c r="A69" s="482" t="s">
        <v>225</v>
      </c>
      <c r="B69" s="483">
        <v>77</v>
      </c>
      <c r="C69" s="484">
        <v>2</v>
      </c>
      <c r="D69" s="1100">
        <f t="shared" si="12"/>
        <v>154</v>
      </c>
      <c r="E69" s="937"/>
      <c r="F69" s="937"/>
      <c r="G69" s="937"/>
      <c r="H69" s="937"/>
      <c r="I69" s="937"/>
      <c r="J69" s="937"/>
      <c r="K69" s="937"/>
      <c r="L69" s="937"/>
      <c r="M69" s="937"/>
      <c r="N69" s="937"/>
      <c r="O69" s="937"/>
      <c r="P69" s="937"/>
      <c r="Q69" s="937"/>
      <c r="R69" s="937"/>
      <c r="S69" s="937"/>
      <c r="T69" s="937"/>
      <c r="U69" s="937"/>
      <c r="V69" s="937"/>
      <c r="W69" s="937"/>
      <c r="X69" s="937"/>
      <c r="Y69" s="937"/>
      <c r="Z69" s="937"/>
      <c r="AA69" s="937"/>
      <c r="AB69" s="937"/>
      <c r="AC69" s="937"/>
      <c r="AD69" s="937"/>
      <c r="AE69" s="937"/>
      <c r="AF69" s="937"/>
      <c r="AG69" s="937"/>
      <c r="AH69" s="937"/>
      <c r="AI69" s="937"/>
      <c r="AJ69" s="937"/>
      <c r="AK69" s="937"/>
      <c r="AL69" s="937"/>
      <c r="AM69" s="937"/>
      <c r="AN69" s="937"/>
    </row>
    <row r="70" spans="1:40" s="304" customFormat="1" x14ac:dyDescent="0.35">
      <c r="A70" s="482" t="s">
        <v>226</v>
      </c>
      <c r="B70" s="483">
        <v>28</v>
      </c>
      <c r="C70" s="484">
        <v>2</v>
      </c>
      <c r="D70" s="1100">
        <f t="shared" si="12"/>
        <v>56</v>
      </c>
      <c r="E70" s="937"/>
      <c r="F70" s="937"/>
      <c r="G70" s="937"/>
      <c r="H70" s="937"/>
      <c r="I70" s="937"/>
      <c r="J70" s="937"/>
      <c r="K70" s="937"/>
      <c r="L70" s="937"/>
      <c r="M70" s="937"/>
      <c r="N70" s="937"/>
      <c r="O70" s="937"/>
      <c r="P70" s="937"/>
      <c r="Q70" s="937"/>
      <c r="R70" s="937"/>
      <c r="S70" s="937"/>
      <c r="T70" s="937"/>
      <c r="U70" s="937"/>
      <c r="V70" s="937"/>
      <c r="W70" s="937"/>
      <c r="X70" s="937"/>
      <c r="Y70" s="937"/>
      <c r="Z70" s="937"/>
      <c r="AA70" s="937"/>
      <c r="AB70" s="937"/>
      <c r="AC70" s="937"/>
      <c r="AD70" s="937"/>
      <c r="AE70" s="937"/>
      <c r="AF70" s="937"/>
      <c r="AG70" s="937"/>
      <c r="AH70" s="937"/>
      <c r="AI70" s="937"/>
      <c r="AJ70" s="937"/>
      <c r="AK70" s="937"/>
      <c r="AL70" s="937"/>
      <c r="AM70" s="937"/>
      <c r="AN70" s="937"/>
    </row>
    <row r="71" spans="1:40" s="304" customFormat="1" x14ac:dyDescent="0.35">
      <c r="A71" s="482" t="s">
        <v>227</v>
      </c>
      <c r="B71" s="483">
        <v>88</v>
      </c>
      <c r="C71" s="484">
        <v>2</v>
      </c>
      <c r="D71" s="1100">
        <f t="shared" si="12"/>
        <v>176</v>
      </c>
      <c r="E71" s="937"/>
      <c r="F71" s="937"/>
      <c r="G71" s="937"/>
      <c r="H71" s="937"/>
      <c r="I71" s="937"/>
      <c r="J71" s="937"/>
      <c r="K71" s="937"/>
      <c r="L71" s="937"/>
      <c r="M71" s="937"/>
      <c r="N71" s="937"/>
      <c r="O71" s="937"/>
      <c r="P71" s="937"/>
      <c r="Q71" s="937"/>
      <c r="R71" s="937"/>
      <c r="S71" s="937"/>
      <c r="T71" s="937"/>
      <c r="U71" s="937"/>
      <c r="V71" s="937"/>
      <c r="W71" s="937"/>
      <c r="X71" s="937"/>
      <c r="Y71" s="937"/>
      <c r="Z71" s="937"/>
      <c r="AA71" s="937"/>
      <c r="AB71" s="937"/>
      <c r="AC71" s="937"/>
      <c r="AD71" s="937"/>
      <c r="AE71" s="937"/>
      <c r="AF71" s="937"/>
      <c r="AG71" s="937"/>
      <c r="AH71" s="937"/>
      <c r="AI71" s="937"/>
      <c r="AJ71" s="937"/>
      <c r="AK71" s="937"/>
      <c r="AL71" s="937"/>
      <c r="AM71" s="937"/>
      <c r="AN71" s="937"/>
    </row>
    <row r="72" spans="1:40" s="304" customFormat="1" x14ac:dyDescent="0.35">
      <c r="A72" s="482" t="s">
        <v>228</v>
      </c>
      <c r="B72" s="483">
        <v>27</v>
      </c>
      <c r="C72" s="484">
        <v>1</v>
      </c>
      <c r="D72" s="1100">
        <f t="shared" si="12"/>
        <v>27</v>
      </c>
      <c r="E72" s="937"/>
      <c r="F72" s="937"/>
      <c r="G72" s="937"/>
      <c r="H72" s="937"/>
      <c r="I72" s="937"/>
      <c r="J72" s="937"/>
      <c r="K72" s="937"/>
      <c r="L72" s="937"/>
      <c r="M72" s="937"/>
      <c r="N72" s="937"/>
      <c r="O72" s="937"/>
      <c r="P72" s="937"/>
      <c r="Q72" s="937"/>
      <c r="R72" s="937"/>
      <c r="S72" s="937"/>
      <c r="T72" s="937"/>
      <c r="U72" s="937"/>
      <c r="V72" s="937"/>
      <c r="W72" s="937"/>
      <c r="X72" s="937"/>
      <c r="Y72" s="937"/>
      <c r="Z72" s="937"/>
      <c r="AA72" s="937"/>
      <c r="AB72" s="937"/>
      <c r="AC72" s="937"/>
      <c r="AD72" s="937"/>
      <c r="AE72" s="937"/>
      <c r="AF72" s="937"/>
      <c r="AG72" s="937"/>
      <c r="AH72" s="937"/>
      <c r="AI72" s="937"/>
      <c r="AJ72" s="937"/>
      <c r="AK72" s="937"/>
      <c r="AL72" s="937"/>
      <c r="AM72" s="937"/>
      <c r="AN72" s="937"/>
    </row>
    <row r="73" spans="1:40" s="304" customFormat="1" x14ac:dyDescent="0.35">
      <c r="A73" s="485" t="s">
        <v>229</v>
      </c>
      <c r="B73" s="483">
        <v>55.000000000000007</v>
      </c>
      <c r="C73" s="484">
        <v>1</v>
      </c>
      <c r="D73" s="1100">
        <f t="shared" si="12"/>
        <v>55.000000000000007</v>
      </c>
      <c r="E73" s="937"/>
      <c r="F73" s="937"/>
      <c r="G73" s="937"/>
      <c r="H73" s="937"/>
      <c r="I73" s="937"/>
      <c r="J73" s="937"/>
      <c r="K73" s="937"/>
      <c r="L73" s="937"/>
      <c r="M73" s="937"/>
      <c r="N73" s="937"/>
      <c r="O73" s="937"/>
      <c r="P73" s="937"/>
      <c r="Q73" s="937"/>
      <c r="R73" s="937"/>
      <c r="S73" s="937"/>
      <c r="T73" s="937"/>
      <c r="U73" s="937"/>
      <c r="V73" s="937"/>
      <c r="W73" s="937"/>
      <c r="X73" s="937"/>
      <c r="Y73" s="937"/>
      <c r="Z73" s="937"/>
      <c r="AA73" s="937"/>
      <c r="AB73" s="937"/>
      <c r="AC73" s="937"/>
      <c r="AD73" s="937"/>
      <c r="AE73" s="937"/>
      <c r="AF73" s="937"/>
      <c r="AG73" s="937"/>
      <c r="AH73" s="937"/>
      <c r="AI73" s="937"/>
      <c r="AJ73" s="937"/>
      <c r="AK73" s="937"/>
      <c r="AL73" s="937"/>
      <c r="AM73" s="937"/>
      <c r="AN73" s="937"/>
    </row>
    <row r="74" spans="1:40" s="304" customFormat="1" ht="15" thickBot="1" x14ac:dyDescent="0.4">
      <c r="A74" s="206"/>
      <c r="B74" s="206"/>
      <c r="C74" s="937"/>
      <c r="D74" s="937"/>
      <c r="E74" s="937"/>
      <c r="F74" s="937"/>
      <c r="G74" s="937"/>
      <c r="H74" s="937"/>
      <c r="I74" s="937"/>
      <c r="J74" s="937"/>
      <c r="K74" s="937"/>
      <c r="L74" s="937"/>
      <c r="M74" s="937"/>
      <c r="N74" s="937"/>
      <c r="O74" s="937"/>
      <c r="P74" s="937"/>
      <c r="Q74" s="937"/>
      <c r="R74" s="937"/>
      <c r="S74" s="937"/>
      <c r="T74" s="937"/>
      <c r="U74" s="937"/>
      <c r="V74" s="937"/>
      <c r="W74" s="937"/>
      <c r="X74" s="937"/>
      <c r="Y74" s="937"/>
      <c r="Z74" s="937"/>
      <c r="AA74" s="937"/>
      <c r="AB74" s="937"/>
      <c r="AC74" s="937"/>
      <c r="AD74" s="937"/>
      <c r="AE74" s="937"/>
      <c r="AF74" s="937"/>
      <c r="AG74" s="937"/>
      <c r="AH74" s="937"/>
      <c r="AI74" s="937"/>
      <c r="AJ74" s="937"/>
      <c r="AK74" s="937"/>
      <c r="AL74" s="937"/>
      <c r="AM74" s="937"/>
      <c r="AN74" s="937"/>
    </row>
    <row r="75" spans="1:40" s="304" customFormat="1" ht="15" thickBot="1" x14ac:dyDescent="0.4">
      <c r="A75" s="1101"/>
      <c r="B75" s="937"/>
      <c r="C75" s="243" t="s">
        <v>97</v>
      </c>
      <c r="D75" s="244">
        <f>SUM(D61:D73)</f>
        <v>4127</v>
      </c>
      <c r="E75" s="937"/>
      <c r="F75" s="937"/>
      <c r="G75" s="937"/>
      <c r="H75" s="937"/>
      <c r="I75" s="937"/>
      <c r="J75" s="937"/>
      <c r="K75" s="937"/>
      <c r="L75" s="937"/>
      <c r="M75" s="937"/>
      <c r="N75" s="937"/>
      <c r="O75" s="937"/>
      <c r="P75" s="937"/>
      <c r="Q75" s="937"/>
      <c r="R75" s="937"/>
      <c r="S75" s="937"/>
      <c r="T75" s="937"/>
      <c r="U75" s="937"/>
      <c r="V75" s="937"/>
      <c r="W75" s="937"/>
      <c r="X75" s="937"/>
      <c r="Y75" s="937"/>
      <c r="Z75" s="937"/>
      <c r="AA75" s="937"/>
      <c r="AB75" s="937"/>
      <c r="AC75" s="937"/>
      <c r="AD75" s="937"/>
      <c r="AE75" s="937"/>
      <c r="AF75" s="937"/>
      <c r="AG75" s="937"/>
      <c r="AH75" s="937"/>
      <c r="AI75" s="937"/>
      <c r="AJ75" s="937"/>
      <c r="AK75" s="937"/>
      <c r="AL75" s="937"/>
      <c r="AM75" s="937"/>
      <c r="AN75" s="937"/>
    </row>
    <row r="76" spans="1:40" s="304" customFormat="1" ht="15" thickBot="1" x14ac:dyDescent="0.4">
      <c r="A76" s="937"/>
      <c r="B76" s="937"/>
      <c r="C76" s="937"/>
      <c r="D76" s="937"/>
      <c r="E76" s="937"/>
      <c r="F76" s="937"/>
      <c r="G76" s="937"/>
      <c r="H76" s="937"/>
      <c r="I76" s="937"/>
      <c r="J76" s="937"/>
      <c r="K76" s="937"/>
      <c r="L76" s="937"/>
      <c r="M76" s="937"/>
      <c r="N76" s="937"/>
      <c r="O76" s="937"/>
      <c r="P76" s="937"/>
      <c r="Q76" s="937"/>
      <c r="R76" s="937"/>
      <c r="S76" s="937"/>
      <c r="T76" s="937"/>
      <c r="U76" s="937"/>
      <c r="V76" s="937"/>
      <c r="W76" s="937"/>
      <c r="X76" s="937"/>
      <c r="Y76" s="937"/>
      <c r="Z76" s="937"/>
      <c r="AA76" s="937"/>
      <c r="AB76" s="937"/>
      <c r="AC76" s="937"/>
      <c r="AD76" s="937"/>
      <c r="AE76" s="937"/>
      <c r="AF76" s="937"/>
      <c r="AG76" s="937"/>
      <c r="AH76" s="937"/>
      <c r="AI76" s="937"/>
      <c r="AJ76" s="937"/>
      <c r="AK76" s="937"/>
      <c r="AL76" s="937"/>
      <c r="AM76" s="937"/>
      <c r="AN76" s="937"/>
    </row>
    <row r="77" spans="1:40" s="304" customFormat="1" ht="15" thickBot="1" x14ac:dyDescent="0.4">
      <c r="A77" s="937"/>
      <c r="B77" s="937"/>
      <c r="C77" s="243" t="s">
        <v>470</v>
      </c>
      <c r="D77" s="244">
        <f>+D75*1.05</f>
        <v>4333.3500000000004</v>
      </c>
      <c r="E77" s="937"/>
      <c r="F77" s="937"/>
      <c r="G77" s="937"/>
      <c r="H77" s="937"/>
      <c r="I77" s="937"/>
      <c r="J77" s="937"/>
      <c r="K77" s="937"/>
      <c r="L77" s="937"/>
      <c r="M77" s="937"/>
      <c r="N77" s="937"/>
      <c r="O77" s="937"/>
      <c r="P77" s="937"/>
      <c r="Q77" s="937"/>
      <c r="R77" s="937"/>
      <c r="S77" s="937"/>
      <c r="T77" s="937"/>
      <c r="U77" s="937"/>
      <c r="V77" s="937"/>
      <c r="W77" s="937"/>
      <c r="X77" s="937"/>
      <c r="Y77" s="937"/>
      <c r="Z77" s="937"/>
      <c r="AA77" s="937"/>
      <c r="AB77" s="937"/>
      <c r="AC77" s="937"/>
      <c r="AD77" s="937"/>
      <c r="AE77" s="937"/>
      <c r="AF77" s="937"/>
      <c r="AG77" s="937"/>
      <c r="AH77" s="937"/>
      <c r="AI77" s="937"/>
      <c r="AJ77" s="937"/>
      <c r="AK77" s="937"/>
      <c r="AL77" s="937"/>
      <c r="AM77" s="937"/>
      <c r="AN77" s="937"/>
    </row>
    <row r="78" spans="1:40" s="304" customFormat="1" x14ac:dyDescent="0.35">
      <c r="A78" s="937"/>
      <c r="B78" s="937"/>
      <c r="C78" s="937"/>
      <c r="D78" s="937"/>
      <c r="E78" s="937"/>
      <c r="F78" s="937"/>
      <c r="G78" s="937"/>
      <c r="H78" s="937"/>
      <c r="I78" s="937"/>
      <c r="J78" s="937"/>
      <c r="K78" s="937"/>
      <c r="L78" s="937"/>
      <c r="M78" s="937"/>
      <c r="N78" s="937"/>
      <c r="O78" s="937"/>
      <c r="P78" s="937"/>
      <c r="Q78" s="937"/>
      <c r="R78" s="937"/>
      <c r="S78" s="937"/>
      <c r="T78" s="937"/>
      <c r="U78" s="937"/>
      <c r="V78" s="937"/>
      <c r="W78" s="937"/>
      <c r="X78" s="937"/>
      <c r="Y78" s="937"/>
      <c r="Z78" s="937"/>
      <c r="AA78" s="937"/>
      <c r="AB78" s="937"/>
      <c r="AC78" s="937"/>
      <c r="AD78" s="937"/>
      <c r="AE78" s="937"/>
      <c r="AF78" s="937"/>
      <c r="AG78" s="937"/>
      <c r="AH78" s="937"/>
      <c r="AI78" s="937"/>
      <c r="AJ78" s="937"/>
      <c r="AK78" s="937"/>
      <c r="AL78" s="937"/>
      <c r="AM78" s="937"/>
      <c r="AN78" s="937"/>
    </row>
    <row r="79" spans="1:40" s="304" customFormat="1" x14ac:dyDescent="0.35">
      <c r="A79" s="937"/>
      <c r="B79" s="937"/>
      <c r="C79" s="937"/>
      <c r="D79" s="937"/>
      <c r="E79" s="937"/>
      <c r="F79" s="937"/>
      <c r="G79" s="937"/>
      <c r="H79" s="937"/>
      <c r="I79" s="937"/>
      <c r="J79" s="937"/>
      <c r="K79" s="937"/>
      <c r="L79" s="937"/>
      <c r="M79" s="937"/>
      <c r="N79" s="937"/>
      <c r="O79" s="937"/>
      <c r="P79" s="937"/>
      <c r="Q79" s="937"/>
      <c r="R79" s="937"/>
      <c r="S79" s="937"/>
      <c r="T79" s="937"/>
      <c r="U79" s="937"/>
      <c r="V79" s="937"/>
      <c r="W79" s="937"/>
      <c r="X79" s="937"/>
      <c r="Y79" s="937"/>
      <c r="Z79" s="937"/>
      <c r="AA79" s="937"/>
      <c r="AB79" s="937"/>
      <c r="AC79" s="937"/>
      <c r="AD79" s="937"/>
      <c r="AE79" s="937"/>
      <c r="AF79" s="937"/>
      <c r="AG79" s="937"/>
      <c r="AH79" s="937"/>
      <c r="AI79" s="937"/>
      <c r="AJ79" s="937"/>
      <c r="AK79" s="937"/>
      <c r="AL79" s="937"/>
      <c r="AM79" s="937"/>
      <c r="AN79" s="937"/>
    </row>
    <row r="80" spans="1:40" s="304" customFormat="1" x14ac:dyDescent="0.35">
      <c r="A80" s="206"/>
      <c r="B80" s="206"/>
      <c r="C80" s="206"/>
      <c r="D80" s="206"/>
      <c r="E80" s="937"/>
      <c r="F80" s="937"/>
      <c r="G80" s="937"/>
      <c r="H80" s="937"/>
      <c r="I80" s="937"/>
      <c r="J80" s="937"/>
      <c r="K80" s="937"/>
      <c r="L80" s="937"/>
      <c r="M80" s="937"/>
      <c r="N80" s="937"/>
      <c r="O80" s="937"/>
      <c r="P80" s="937"/>
      <c r="Q80" s="937"/>
      <c r="R80" s="937"/>
      <c r="S80" s="937"/>
      <c r="T80" s="937"/>
      <c r="U80" s="937"/>
      <c r="V80" s="937"/>
      <c r="W80" s="937"/>
      <c r="X80" s="937"/>
      <c r="Y80" s="937"/>
      <c r="Z80" s="937"/>
      <c r="AA80" s="937"/>
      <c r="AB80" s="937"/>
      <c r="AC80" s="937"/>
      <c r="AD80" s="937"/>
      <c r="AE80" s="937"/>
      <c r="AF80" s="937"/>
      <c r="AG80" s="937"/>
      <c r="AH80" s="937"/>
      <c r="AI80" s="937"/>
      <c r="AJ80" s="937"/>
      <c r="AK80" s="937"/>
      <c r="AL80" s="937"/>
      <c r="AM80" s="937"/>
      <c r="AN80" s="937"/>
    </row>
    <row r="81" spans="1:40" s="304" customFormat="1" x14ac:dyDescent="0.35">
      <c r="A81" s="206"/>
      <c r="B81" s="937"/>
      <c r="C81" s="937"/>
      <c r="D81" s="937"/>
      <c r="E81" s="937"/>
      <c r="F81" s="937"/>
      <c r="G81" s="937"/>
      <c r="H81" s="937"/>
      <c r="I81" s="937"/>
      <c r="J81" s="937"/>
      <c r="K81" s="937"/>
      <c r="L81" s="937"/>
      <c r="M81" s="937"/>
      <c r="N81" s="937"/>
      <c r="O81" s="937"/>
      <c r="P81" s="937"/>
      <c r="Q81" s="937"/>
      <c r="R81" s="937"/>
      <c r="S81" s="937"/>
      <c r="T81" s="937"/>
      <c r="U81" s="937"/>
      <c r="V81" s="937"/>
      <c r="W81" s="937"/>
      <c r="X81" s="937"/>
      <c r="Y81" s="937"/>
      <c r="Z81" s="937"/>
      <c r="AA81" s="937"/>
      <c r="AB81" s="937"/>
      <c r="AC81" s="937"/>
      <c r="AD81" s="937"/>
      <c r="AE81" s="937"/>
      <c r="AF81" s="937"/>
      <c r="AG81" s="937"/>
      <c r="AH81" s="937"/>
      <c r="AI81" s="937"/>
      <c r="AJ81" s="937"/>
      <c r="AK81" s="937"/>
      <c r="AL81" s="937"/>
      <c r="AM81" s="937"/>
      <c r="AN81" s="937"/>
    </row>
    <row r="82" spans="1:40" s="304" customFormat="1" x14ac:dyDescent="0.35">
      <c r="A82" s="1102" t="s">
        <v>652</v>
      </c>
      <c r="B82" s="937"/>
      <c r="C82" s="937"/>
      <c r="D82" s="937"/>
      <c r="E82" s="937"/>
      <c r="F82" s="937"/>
      <c r="G82" s="937"/>
      <c r="H82" s="937"/>
      <c r="I82" s="937"/>
      <c r="J82" s="937"/>
      <c r="K82" s="937"/>
      <c r="L82" s="937"/>
      <c r="M82" s="937"/>
      <c r="N82" s="937"/>
      <c r="O82" s="937"/>
      <c r="P82" s="937"/>
      <c r="Q82" s="937"/>
      <c r="R82" s="937"/>
      <c r="S82" s="937"/>
      <c r="T82" s="937"/>
      <c r="U82" s="937"/>
      <c r="V82" s="937"/>
      <c r="W82" s="937"/>
      <c r="X82" s="937"/>
      <c r="Y82" s="937"/>
      <c r="Z82" s="937"/>
      <c r="AA82" s="937"/>
      <c r="AB82" s="937"/>
      <c r="AC82" s="937"/>
      <c r="AD82" s="937"/>
      <c r="AE82" s="937"/>
      <c r="AF82" s="937"/>
      <c r="AG82" s="937"/>
      <c r="AH82" s="937"/>
      <c r="AI82" s="937"/>
      <c r="AJ82" s="937"/>
      <c r="AK82" s="937"/>
      <c r="AL82" s="937"/>
      <c r="AM82" s="937"/>
      <c r="AN82" s="937"/>
    </row>
    <row r="83" spans="1:40" s="304" customFormat="1" x14ac:dyDescent="0.35">
      <c r="A83" s="206"/>
      <c r="B83" s="937"/>
      <c r="C83" s="937"/>
      <c r="D83" s="937"/>
      <c r="E83" s="937"/>
      <c r="F83" s="937"/>
      <c r="G83" s="937"/>
      <c r="H83" s="937"/>
      <c r="I83" s="937"/>
      <c r="J83" s="937"/>
      <c r="K83" s="937"/>
      <c r="L83" s="937"/>
      <c r="M83" s="937"/>
      <c r="N83" s="937"/>
      <c r="O83" s="937"/>
      <c r="P83" s="937"/>
      <c r="Q83" s="937"/>
      <c r="R83" s="937"/>
      <c r="S83" s="937"/>
      <c r="T83" s="937"/>
      <c r="U83" s="937"/>
      <c r="V83" s="937"/>
      <c r="W83" s="937"/>
      <c r="X83" s="937"/>
      <c r="Y83" s="937"/>
      <c r="Z83" s="937"/>
      <c r="AA83" s="937"/>
      <c r="AB83" s="937"/>
      <c r="AC83" s="937"/>
      <c r="AD83" s="937"/>
      <c r="AE83" s="937"/>
      <c r="AF83" s="937"/>
      <c r="AG83" s="937"/>
      <c r="AH83" s="937"/>
      <c r="AI83" s="937"/>
      <c r="AJ83" s="937"/>
      <c r="AK83" s="937"/>
      <c r="AL83" s="937"/>
      <c r="AM83" s="937"/>
      <c r="AN83" s="937"/>
    </row>
    <row r="84" spans="1:40" s="304" customFormat="1" x14ac:dyDescent="0.35">
      <c r="A84" s="206" t="s">
        <v>646</v>
      </c>
      <c r="B84" s="937"/>
      <c r="C84" s="937"/>
      <c r="D84" s="937"/>
      <c r="E84" s="937"/>
      <c r="F84" s="937"/>
      <c r="G84" s="937"/>
      <c r="H84" s="937"/>
      <c r="I84" s="937"/>
      <c r="J84" s="937"/>
      <c r="K84" s="937"/>
      <c r="L84" s="937"/>
      <c r="M84" s="937"/>
      <c r="N84" s="937"/>
      <c r="O84" s="937"/>
      <c r="P84" s="937"/>
      <c r="Q84" s="937"/>
      <c r="R84" s="937"/>
      <c r="S84" s="937"/>
      <c r="T84" s="937"/>
      <c r="U84" s="937"/>
      <c r="V84" s="937"/>
      <c r="W84" s="937"/>
      <c r="X84" s="937"/>
      <c r="Y84" s="937"/>
      <c r="Z84" s="937"/>
      <c r="AA84" s="937"/>
      <c r="AB84" s="937"/>
      <c r="AC84" s="937"/>
      <c r="AD84" s="937"/>
      <c r="AE84" s="937"/>
      <c r="AF84" s="937"/>
      <c r="AG84" s="937"/>
      <c r="AH84" s="937"/>
      <c r="AI84" s="937"/>
      <c r="AJ84" s="937"/>
      <c r="AK84" s="937"/>
      <c r="AL84" s="937"/>
      <c r="AM84" s="937"/>
      <c r="AN84" s="937"/>
    </row>
    <row r="85" spans="1:40" s="304" customFormat="1" x14ac:dyDescent="0.35">
      <c r="A85" s="937"/>
      <c r="B85" s="937"/>
      <c r="C85" s="937"/>
      <c r="D85" s="937"/>
      <c r="E85" s="937"/>
      <c r="F85" s="937"/>
      <c r="G85" s="937"/>
      <c r="H85" s="937"/>
      <c r="I85" s="937"/>
      <c r="J85" s="937"/>
      <c r="K85" s="937"/>
      <c r="L85" s="937"/>
      <c r="M85" s="937"/>
      <c r="N85" s="937"/>
      <c r="O85" s="937"/>
      <c r="P85" s="937"/>
      <c r="Q85" s="937"/>
      <c r="R85" s="937"/>
      <c r="S85" s="937"/>
      <c r="T85" s="937"/>
      <c r="U85" s="937"/>
      <c r="V85" s="937"/>
      <c r="W85" s="937"/>
      <c r="X85" s="937"/>
      <c r="Y85" s="937"/>
      <c r="Z85" s="937"/>
      <c r="AA85" s="937"/>
      <c r="AB85" s="937"/>
      <c r="AC85" s="937"/>
      <c r="AD85" s="937"/>
      <c r="AE85" s="937"/>
      <c r="AF85" s="937"/>
      <c r="AG85" s="937"/>
      <c r="AH85" s="937"/>
      <c r="AI85" s="937"/>
      <c r="AJ85" s="937"/>
      <c r="AK85" s="937"/>
      <c r="AL85" s="937"/>
      <c r="AM85" s="937"/>
      <c r="AN85" s="937"/>
    </row>
    <row r="86" spans="1:40" s="304" customFormat="1" x14ac:dyDescent="0.35">
      <c r="A86" s="937"/>
      <c r="B86" s="937"/>
      <c r="C86" s="937"/>
      <c r="D86" s="937"/>
      <c r="E86" s="937"/>
      <c r="F86" s="937"/>
      <c r="G86" s="937"/>
      <c r="H86" s="937"/>
      <c r="I86" s="937"/>
      <c r="J86" s="937"/>
      <c r="K86" s="937"/>
      <c r="L86" s="937"/>
      <c r="M86" s="937"/>
      <c r="N86" s="937"/>
      <c r="O86" s="937"/>
      <c r="P86" s="937"/>
      <c r="Q86" s="937"/>
      <c r="R86" s="937"/>
      <c r="S86" s="937"/>
      <c r="T86" s="937"/>
      <c r="U86" s="937"/>
      <c r="V86" s="937"/>
      <c r="W86" s="937"/>
      <c r="X86" s="937"/>
      <c r="Y86" s="937"/>
      <c r="Z86" s="937"/>
      <c r="AA86" s="937"/>
      <c r="AB86" s="937"/>
      <c r="AC86" s="937"/>
      <c r="AD86" s="937"/>
      <c r="AE86" s="937"/>
      <c r="AF86" s="937"/>
      <c r="AG86" s="937"/>
      <c r="AH86" s="937"/>
      <c r="AI86" s="937"/>
      <c r="AJ86" s="937"/>
      <c r="AK86" s="937"/>
      <c r="AL86" s="937"/>
      <c r="AM86" s="937"/>
      <c r="AN86" s="937"/>
    </row>
    <row r="87" spans="1:40" s="304" customFormat="1" x14ac:dyDescent="0.35">
      <c r="A87" s="1103" t="s">
        <v>653</v>
      </c>
      <c r="B87" s="937"/>
      <c r="C87" s="937"/>
      <c r="D87" s="937"/>
      <c r="E87" s="937"/>
      <c r="F87" s="937"/>
      <c r="G87" s="937"/>
      <c r="H87" s="937"/>
      <c r="I87" s="937"/>
      <c r="J87" s="937"/>
      <c r="K87" s="937"/>
      <c r="L87" s="937"/>
      <c r="M87" s="937"/>
      <c r="N87" s="937"/>
      <c r="O87" s="937"/>
      <c r="P87" s="937"/>
      <c r="Q87" s="937"/>
      <c r="R87" s="937"/>
      <c r="S87" s="937"/>
      <c r="T87" s="937"/>
      <c r="U87" s="937"/>
      <c r="V87" s="937"/>
      <c r="W87" s="937"/>
      <c r="X87" s="937"/>
      <c r="Y87" s="937"/>
      <c r="Z87" s="937"/>
      <c r="AA87" s="937"/>
      <c r="AB87" s="937"/>
      <c r="AC87" s="937"/>
      <c r="AD87" s="937"/>
      <c r="AE87" s="937"/>
      <c r="AF87" s="937"/>
      <c r="AG87" s="937"/>
      <c r="AH87" s="937"/>
      <c r="AI87" s="937"/>
      <c r="AJ87" s="937"/>
      <c r="AK87" s="937"/>
      <c r="AL87" s="937"/>
      <c r="AM87" s="937"/>
      <c r="AN87" s="937"/>
    </row>
    <row r="88" spans="1:40" s="304" customFormat="1" x14ac:dyDescent="0.35">
      <c r="A88" s="937"/>
      <c r="B88" s="937"/>
      <c r="C88" s="937"/>
      <c r="D88" s="937"/>
      <c r="E88" s="937"/>
      <c r="F88" s="937"/>
      <c r="G88" s="937"/>
      <c r="H88" s="937"/>
      <c r="I88" s="937"/>
      <c r="J88" s="937"/>
      <c r="K88" s="937"/>
      <c r="L88" s="937"/>
      <c r="M88" s="937"/>
      <c r="N88" s="937"/>
      <c r="O88" s="937"/>
      <c r="P88" s="937"/>
      <c r="Q88" s="937"/>
      <c r="R88" s="937"/>
      <c r="S88" s="937"/>
      <c r="T88" s="937"/>
      <c r="U88" s="937"/>
      <c r="V88" s="937"/>
      <c r="W88" s="937"/>
      <c r="X88" s="937"/>
      <c r="Y88" s="937"/>
      <c r="Z88" s="937"/>
      <c r="AA88" s="937"/>
      <c r="AB88" s="937"/>
      <c r="AC88" s="937"/>
      <c r="AD88" s="937"/>
      <c r="AE88" s="937"/>
      <c r="AF88" s="937"/>
      <c r="AG88" s="937"/>
      <c r="AH88" s="937"/>
      <c r="AI88" s="937"/>
      <c r="AJ88" s="937"/>
      <c r="AK88" s="937"/>
      <c r="AL88" s="937"/>
      <c r="AM88" s="937"/>
      <c r="AN88" s="937"/>
    </row>
    <row r="89" spans="1:40" s="304" customFormat="1" x14ac:dyDescent="0.35">
      <c r="A89" s="937" t="s">
        <v>637</v>
      </c>
      <c r="B89" s="937"/>
      <c r="C89" s="937"/>
      <c r="D89" s="937"/>
      <c r="E89" s="937"/>
      <c r="F89" s="937"/>
      <c r="G89" s="937"/>
      <c r="H89" s="937"/>
      <c r="I89" s="937"/>
      <c r="J89" s="937"/>
      <c r="K89" s="937"/>
      <c r="L89" s="937"/>
      <c r="M89" s="937"/>
      <c r="N89" s="937"/>
      <c r="O89" s="937"/>
      <c r="P89" s="937"/>
      <c r="Q89" s="937"/>
      <c r="R89" s="937"/>
      <c r="S89" s="937"/>
      <c r="T89" s="937"/>
      <c r="U89" s="937"/>
      <c r="V89" s="937"/>
      <c r="W89" s="937"/>
      <c r="X89" s="937"/>
      <c r="Y89" s="937"/>
      <c r="Z89" s="937"/>
      <c r="AA89" s="937"/>
      <c r="AB89" s="937"/>
      <c r="AC89" s="937"/>
      <c r="AD89" s="937"/>
      <c r="AE89" s="937"/>
      <c r="AF89" s="937"/>
      <c r="AG89" s="937"/>
      <c r="AH89" s="937"/>
      <c r="AI89" s="937"/>
      <c r="AJ89" s="937"/>
      <c r="AK89" s="937"/>
      <c r="AL89" s="937"/>
      <c r="AM89" s="937"/>
      <c r="AN89" s="937"/>
    </row>
    <row r="90" spans="1:40" s="304" customFormat="1" x14ac:dyDescent="0.35">
      <c r="A90" s="937" t="s">
        <v>647</v>
      </c>
      <c r="B90" s="937"/>
      <c r="C90" s="937"/>
      <c r="D90" s="937"/>
      <c r="E90" s="937"/>
      <c r="F90" s="937"/>
      <c r="G90" s="937"/>
      <c r="H90" s="937"/>
      <c r="I90" s="937"/>
      <c r="J90" s="937"/>
      <c r="K90" s="937"/>
      <c r="L90" s="937"/>
      <c r="M90" s="937"/>
      <c r="N90" s="937"/>
      <c r="O90" s="937"/>
      <c r="P90" s="937"/>
      <c r="Q90" s="937"/>
      <c r="R90" s="937"/>
      <c r="S90" s="937"/>
      <c r="T90" s="937"/>
      <c r="U90" s="937"/>
      <c r="V90" s="937"/>
      <c r="W90" s="937"/>
      <c r="X90" s="937"/>
      <c r="Y90" s="937"/>
      <c r="Z90" s="937"/>
      <c r="AA90" s="937"/>
      <c r="AB90" s="937"/>
      <c r="AC90" s="937"/>
      <c r="AD90" s="937"/>
      <c r="AE90" s="937"/>
      <c r="AF90" s="937"/>
      <c r="AG90" s="937"/>
      <c r="AH90" s="937"/>
      <c r="AI90" s="937"/>
      <c r="AJ90" s="937"/>
      <c r="AK90" s="937"/>
      <c r="AL90" s="937"/>
      <c r="AM90" s="937"/>
      <c r="AN90" s="937"/>
    </row>
    <row r="91" spans="1:40" s="304" customFormat="1" x14ac:dyDescent="0.35">
      <c r="A91" s="937" t="s">
        <v>654</v>
      </c>
      <c r="B91" s="937"/>
      <c r="C91" s="937"/>
      <c r="D91" s="937"/>
      <c r="E91" s="937"/>
      <c r="F91" s="937"/>
      <c r="G91" s="937"/>
      <c r="H91" s="937"/>
      <c r="I91" s="937"/>
      <c r="J91" s="937"/>
      <c r="K91" s="937"/>
      <c r="L91" s="937"/>
      <c r="M91" s="937"/>
      <c r="N91" s="937"/>
      <c r="O91" s="937"/>
      <c r="P91" s="937"/>
      <c r="Q91" s="937"/>
      <c r="R91" s="937"/>
      <c r="S91" s="937"/>
      <c r="T91" s="937"/>
      <c r="U91" s="937"/>
      <c r="V91" s="937"/>
      <c r="W91" s="937"/>
      <c r="X91" s="937"/>
      <c r="Y91" s="937"/>
      <c r="Z91" s="937"/>
      <c r="AA91" s="937"/>
      <c r="AB91" s="937"/>
      <c r="AC91" s="937"/>
      <c r="AD91" s="937"/>
      <c r="AE91" s="937"/>
      <c r="AF91" s="937"/>
      <c r="AG91" s="937"/>
      <c r="AH91" s="937"/>
      <c r="AI91" s="937"/>
      <c r="AJ91" s="937"/>
      <c r="AK91" s="937"/>
      <c r="AL91" s="937"/>
      <c r="AM91" s="937"/>
      <c r="AN91" s="937"/>
    </row>
    <row r="92" spans="1:40" s="304" customFormat="1" x14ac:dyDescent="0.35">
      <c r="A92" s="937"/>
      <c r="B92" s="937"/>
      <c r="C92" s="937"/>
      <c r="D92" s="937"/>
      <c r="E92" s="937"/>
      <c r="F92" s="937"/>
      <c r="G92" s="937"/>
      <c r="H92" s="937"/>
      <c r="I92" s="937"/>
      <c r="J92" s="937"/>
      <c r="K92" s="937"/>
      <c r="L92" s="937"/>
      <c r="M92" s="937"/>
      <c r="N92" s="937"/>
      <c r="O92" s="937"/>
      <c r="P92" s="937"/>
      <c r="Q92" s="937"/>
      <c r="R92" s="937"/>
      <c r="S92" s="937"/>
      <c r="T92" s="937"/>
      <c r="U92" s="937"/>
      <c r="V92" s="937"/>
      <c r="W92" s="937"/>
      <c r="X92" s="937"/>
      <c r="Y92" s="937"/>
      <c r="Z92" s="937"/>
      <c r="AA92" s="937"/>
      <c r="AB92" s="937"/>
      <c r="AC92" s="937"/>
      <c r="AD92" s="937"/>
      <c r="AE92" s="937"/>
      <c r="AF92" s="937"/>
      <c r="AG92" s="937"/>
      <c r="AH92" s="937"/>
      <c r="AI92" s="937"/>
      <c r="AJ92" s="937"/>
      <c r="AK92" s="937"/>
      <c r="AL92" s="937"/>
      <c r="AM92" s="937"/>
      <c r="AN92" s="937"/>
    </row>
    <row r="93" spans="1:40" s="304" customFormat="1" x14ac:dyDescent="0.35">
      <c r="A93" s="937"/>
      <c r="B93" s="937"/>
      <c r="C93" s="937"/>
      <c r="D93" s="937"/>
      <c r="E93" s="937"/>
      <c r="F93" s="937"/>
      <c r="G93" s="937"/>
      <c r="H93" s="937"/>
      <c r="I93" s="937"/>
      <c r="J93" s="937"/>
      <c r="K93" s="937"/>
      <c r="L93" s="937"/>
      <c r="M93" s="937"/>
      <c r="N93" s="937"/>
      <c r="O93" s="937"/>
      <c r="P93" s="937"/>
      <c r="Q93" s="937"/>
      <c r="R93" s="937"/>
      <c r="S93" s="937"/>
      <c r="T93" s="937"/>
      <c r="U93" s="937"/>
      <c r="V93" s="937"/>
      <c r="W93" s="937"/>
      <c r="X93" s="937"/>
      <c r="Y93" s="937"/>
      <c r="Z93" s="937"/>
      <c r="AA93" s="937"/>
      <c r="AB93" s="937"/>
      <c r="AC93" s="937"/>
      <c r="AD93" s="937"/>
      <c r="AE93" s="937"/>
      <c r="AF93" s="937"/>
      <c r="AG93" s="937"/>
      <c r="AH93" s="937"/>
      <c r="AI93" s="937"/>
      <c r="AJ93" s="937"/>
      <c r="AK93" s="937"/>
      <c r="AL93" s="937"/>
      <c r="AM93" s="937"/>
      <c r="AN93" s="937"/>
    </row>
    <row r="94" spans="1:40" s="304" customFormat="1" x14ac:dyDescent="0.35">
      <c r="A94" s="937"/>
      <c r="B94" s="937"/>
      <c r="C94" s="937"/>
      <c r="D94" s="937"/>
      <c r="E94" s="937"/>
      <c r="F94" s="937"/>
      <c r="G94" s="937"/>
      <c r="H94" s="937"/>
      <c r="I94" s="937"/>
      <c r="J94" s="937"/>
      <c r="K94" s="937"/>
      <c r="L94" s="937"/>
      <c r="M94" s="937"/>
      <c r="N94" s="937"/>
      <c r="O94" s="937"/>
      <c r="P94" s="937"/>
      <c r="Q94" s="937"/>
      <c r="R94" s="937"/>
      <c r="S94" s="937"/>
      <c r="T94" s="937"/>
      <c r="U94" s="937"/>
      <c r="V94" s="937"/>
      <c r="W94" s="937"/>
      <c r="X94" s="937"/>
      <c r="Y94" s="937"/>
      <c r="Z94" s="937"/>
      <c r="AA94" s="937"/>
      <c r="AB94" s="937"/>
      <c r="AC94" s="937"/>
      <c r="AD94" s="937"/>
      <c r="AE94" s="937"/>
      <c r="AF94" s="937"/>
      <c r="AG94" s="937"/>
      <c r="AH94" s="937"/>
      <c r="AI94" s="937"/>
      <c r="AJ94" s="937"/>
      <c r="AK94" s="937"/>
      <c r="AL94" s="937"/>
      <c r="AM94" s="937"/>
      <c r="AN94" s="937"/>
    </row>
    <row r="95" spans="1:40" x14ac:dyDescent="0.35">
      <c r="A95" s="304"/>
      <c r="B95" s="308"/>
      <c r="C95" s="309"/>
      <c r="D95" s="309"/>
      <c r="E95" s="304"/>
      <c r="F95" s="304"/>
      <c r="G95" s="304"/>
      <c r="H95" s="304"/>
      <c r="I95" s="304"/>
      <c r="J95" s="304"/>
      <c r="K95" s="304"/>
      <c r="L95" s="304"/>
      <c r="M95" s="304"/>
      <c r="N95" s="304"/>
      <c r="O95" s="304"/>
    </row>
    <row r="96" spans="1:40" x14ac:dyDescent="0.35">
      <c r="A96" s="304"/>
      <c r="B96" s="304"/>
      <c r="C96" s="306"/>
      <c r="D96" s="307"/>
      <c r="E96" s="304"/>
      <c r="F96" s="304"/>
      <c r="G96" s="304"/>
      <c r="H96" s="304"/>
      <c r="I96" s="304"/>
      <c r="J96" s="304"/>
      <c r="K96" s="304"/>
      <c r="L96" s="304"/>
      <c r="M96" s="304"/>
      <c r="N96" s="304"/>
      <c r="O96" s="304"/>
    </row>
    <row r="97" spans="1:15" x14ac:dyDescent="0.35">
      <c r="A97" s="304"/>
      <c r="B97" s="304"/>
      <c r="C97" s="304"/>
      <c r="D97" s="304"/>
      <c r="E97" s="304"/>
      <c r="F97" s="304"/>
      <c r="G97" s="304"/>
      <c r="H97" s="304"/>
      <c r="I97" s="304"/>
      <c r="J97" s="304"/>
      <c r="K97" s="304"/>
      <c r="L97" s="304"/>
      <c r="M97" s="304"/>
      <c r="N97" s="304"/>
      <c r="O97" s="304"/>
    </row>
    <row r="98" spans="1:15" x14ac:dyDescent="0.35">
      <c r="A98" s="306"/>
      <c r="B98" s="304"/>
      <c r="C98" s="304"/>
      <c r="D98" s="304"/>
      <c r="E98" s="304"/>
      <c r="F98" s="304"/>
      <c r="G98" s="304"/>
      <c r="H98" s="304"/>
      <c r="I98" s="304"/>
      <c r="J98" s="304"/>
      <c r="K98" s="304"/>
      <c r="L98" s="304"/>
      <c r="M98" s="304"/>
      <c r="N98" s="304"/>
      <c r="O98" s="304"/>
    </row>
    <row r="99" spans="1:15" x14ac:dyDescent="0.35">
      <c r="A99" s="306"/>
      <c r="B99" s="304"/>
      <c r="C99" s="304"/>
      <c r="D99" s="304"/>
      <c r="E99" s="304"/>
      <c r="F99" s="304"/>
      <c r="G99" s="304"/>
      <c r="H99" s="304"/>
      <c r="I99" s="304"/>
      <c r="J99" s="304"/>
      <c r="K99" s="304"/>
      <c r="L99" s="304"/>
      <c r="M99" s="304"/>
      <c r="N99" s="304"/>
      <c r="O99" s="304"/>
    </row>
    <row r="100" spans="1:15" x14ac:dyDescent="0.35">
      <c r="A100" s="308"/>
      <c r="B100" s="309"/>
      <c r="C100" s="304"/>
      <c r="D100" s="304"/>
      <c r="E100" s="304"/>
      <c r="F100" s="304"/>
      <c r="G100" s="304"/>
      <c r="H100" s="304"/>
      <c r="I100" s="304"/>
      <c r="J100" s="304"/>
      <c r="K100" s="304"/>
      <c r="L100" s="304"/>
      <c r="M100" s="304"/>
      <c r="N100" s="304"/>
      <c r="O100" s="304"/>
    </row>
    <row r="101" spans="1:15" x14ac:dyDescent="0.35">
      <c r="A101" s="308"/>
      <c r="B101" s="309"/>
      <c r="C101" s="304"/>
      <c r="D101" s="304"/>
      <c r="E101" s="304"/>
      <c r="F101" s="304"/>
      <c r="G101" s="304"/>
      <c r="H101" s="304"/>
      <c r="I101" s="304"/>
      <c r="J101" s="304"/>
      <c r="K101" s="304"/>
      <c r="L101" s="304"/>
      <c r="M101" s="304"/>
      <c r="N101" s="304"/>
      <c r="O101" s="304"/>
    </row>
    <row r="102" spans="1:15" x14ac:dyDescent="0.35">
      <c r="A102" s="308"/>
      <c r="B102" s="309"/>
      <c r="C102" s="304"/>
      <c r="D102" s="304"/>
      <c r="E102" s="304"/>
      <c r="F102" s="304"/>
      <c r="G102" s="304"/>
      <c r="H102" s="304"/>
      <c r="I102" s="304"/>
      <c r="J102" s="304"/>
      <c r="K102" s="304"/>
      <c r="L102" s="304"/>
      <c r="M102" s="304"/>
      <c r="N102" s="304"/>
      <c r="O102" s="304"/>
    </row>
    <row r="103" spans="1:15" x14ac:dyDescent="0.35">
      <c r="A103" s="308"/>
      <c r="B103" s="309"/>
      <c r="C103" s="304"/>
      <c r="D103" s="304"/>
      <c r="E103" s="304"/>
      <c r="F103" s="304"/>
      <c r="G103" s="304"/>
      <c r="H103" s="304"/>
      <c r="I103" s="304"/>
      <c r="J103" s="304"/>
      <c r="K103" s="304"/>
      <c r="L103" s="304"/>
      <c r="M103" s="304"/>
      <c r="N103" s="304"/>
      <c r="O103" s="304"/>
    </row>
    <row r="104" spans="1:15" x14ac:dyDescent="0.35">
      <c r="A104" s="308"/>
      <c r="B104" s="309"/>
      <c r="C104" s="304"/>
      <c r="D104" s="304"/>
      <c r="E104" s="304"/>
      <c r="F104" s="304"/>
      <c r="G104" s="304"/>
      <c r="H104" s="304"/>
      <c r="I104" s="304"/>
      <c r="J104" s="304"/>
      <c r="K104" s="304"/>
      <c r="L104" s="304"/>
      <c r="M104" s="304"/>
      <c r="N104" s="304"/>
      <c r="O104" s="304"/>
    </row>
    <row r="105" spans="1:15" x14ac:dyDescent="0.35">
      <c r="A105" s="308"/>
      <c r="B105" s="309"/>
      <c r="C105" s="304"/>
      <c r="D105" s="304"/>
      <c r="E105" s="304"/>
      <c r="F105" s="304"/>
      <c r="G105" s="304"/>
      <c r="H105" s="304"/>
      <c r="I105" s="304"/>
      <c r="J105" s="304"/>
      <c r="K105" s="304"/>
      <c r="L105" s="304"/>
      <c r="M105" s="304"/>
      <c r="N105" s="304"/>
      <c r="O105" s="304"/>
    </row>
    <row r="106" spans="1:15" x14ac:dyDescent="0.35">
      <c r="A106" s="308"/>
      <c r="B106" s="309"/>
      <c r="C106" s="304"/>
      <c r="D106" s="304"/>
      <c r="E106" s="304"/>
      <c r="F106" s="304"/>
      <c r="G106" s="304"/>
      <c r="H106" s="304"/>
      <c r="I106" s="304"/>
      <c r="J106" s="304"/>
      <c r="K106" s="304"/>
      <c r="L106" s="304"/>
      <c r="M106" s="304"/>
      <c r="N106" s="304"/>
      <c r="O106" s="304"/>
    </row>
    <row r="107" spans="1:15" x14ac:dyDescent="0.35">
      <c r="A107" s="308"/>
      <c r="B107" s="309"/>
      <c r="C107" s="304"/>
      <c r="D107" s="304"/>
      <c r="E107" s="304"/>
      <c r="F107" s="304"/>
      <c r="G107" s="304"/>
      <c r="H107" s="304"/>
      <c r="I107" s="304"/>
      <c r="J107" s="304"/>
      <c r="K107" s="304"/>
      <c r="L107" s="304"/>
      <c r="M107" s="304"/>
      <c r="N107" s="304"/>
      <c r="O107" s="304"/>
    </row>
    <row r="108" spans="1:15" x14ac:dyDescent="0.35">
      <c r="A108" s="308"/>
      <c r="B108" s="309"/>
      <c r="C108" s="304"/>
      <c r="D108" s="304"/>
      <c r="E108" s="304"/>
      <c r="F108" s="304"/>
      <c r="G108" s="304"/>
      <c r="H108" s="304"/>
      <c r="I108" s="304"/>
      <c r="J108" s="304"/>
      <c r="K108" s="304"/>
      <c r="L108" s="304"/>
      <c r="M108" s="304"/>
      <c r="N108" s="304"/>
      <c r="O108" s="304"/>
    </row>
    <row r="109" spans="1:15" x14ac:dyDescent="0.35">
      <c r="A109" s="308"/>
      <c r="B109" s="309"/>
      <c r="C109" s="304"/>
      <c r="D109" s="304"/>
      <c r="E109" s="304"/>
      <c r="F109" s="304"/>
      <c r="G109" s="304"/>
      <c r="H109" s="304"/>
      <c r="I109" s="304"/>
      <c r="J109" s="304"/>
      <c r="K109" s="304"/>
      <c r="L109" s="304"/>
      <c r="M109" s="304"/>
      <c r="N109" s="304"/>
      <c r="O109" s="304"/>
    </row>
    <row r="110" spans="1:15" x14ac:dyDescent="0.35">
      <c r="A110" s="308"/>
      <c r="B110" s="309"/>
      <c r="C110" s="304"/>
      <c r="D110" s="304"/>
      <c r="E110" s="304"/>
      <c r="F110" s="304"/>
      <c r="G110" s="304"/>
      <c r="H110" s="304"/>
      <c r="I110" s="304"/>
      <c r="J110" s="304"/>
      <c r="K110" s="304"/>
      <c r="L110" s="304"/>
      <c r="M110" s="304"/>
      <c r="N110" s="304"/>
      <c r="O110" s="304"/>
    </row>
    <row r="111" spans="1:15" x14ac:dyDescent="0.35">
      <c r="A111" s="308"/>
      <c r="B111" s="309"/>
      <c r="C111" s="304"/>
      <c r="D111" s="304"/>
      <c r="E111" s="304"/>
      <c r="F111" s="304"/>
      <c r="G111" s="304"/>
      <c r="H111" s="304"/>
      <c r="I111" s="304"/>
      <c r="J111" s="304"/>
      <c r="K111" s="304"/>
      <c r="L111" s="304"/>
      <c r="M111" s="304"/>
      <c r="N111" s="304"/>
      <c r="O111" s="304"/>
    </row>
    <row r="112" spans="1:15" x14ac:dyDescent="0.35">
      <c r="A112" s="305"/>
      <c r="B112" s="307"/>
      <c r="C112" s="304"/>
      <c r="D112" s="304"/>
      <c r="E112" s="304"/>
      <c r="F112" s="304"/>
      <c r="G112" s="304"/>
      <c r="H112" s="304"/>
      <c r="I112" s="304"/>
      <c r="J112" s="304"/>
      <c r="K112" s="304"/>
      <c r="L112" s="304"/>
      <c r="M112" s="304"/>
      <c r="N112" s="304"/>
      <c r="O112" s="304"/>
    </row>
    <row r="113" spans="1:15" x14ac:dyDescent="0.35">
      <c r="A113" s="308"/>
      <c r="B113" s="309"/>
      <c r="C113" s="304"/>
      <c r="D113" s="304"/>
      <c r="E113" s="304"/>
      <c r="F113" s="304"/>
      <c r="G113" s="304"/>
      <c r="H113" s="304"/>
      <c r="I113" s="304"/>
      <c r="J113" s="304"/>
      <c r="K113" s="304"/>
      <c r="L113" s="304"/>
      <c r="M113" s="304"/>
      <c r="N113" s="304"/>
      <c r="O113" s="304"/>
    </row>
    <row r="114" spans="1:15" x14ac:dyDescent="0.35">
      <c r="A114" s="310"/>
      <c r="B114" s="311"/>
      <c r="C114" s="304"/>
      <c r="D114" s="304"/>
      <c r="E114" s="304"/>
      <c r="F114" s="304"/>
      <c r="G114" s="304"/>
      <c r="H114" s="304"/>
      <c r="I114" s="304"/>
      <c r="J114" s="304"/>
      <c r="K114" s="304"/>
      <c r="L114" s="304"/>
      <c r="M114" s="304"/>
      <c r="N114" s="304"/>
      <c r="O114" s="304"/>
    </row>
    <row r="115" spans="1:15" x14ac:dyDescent="0.35">
      <c r="A115" s="304"/>
      <c r="B115" s="304"/>
      <c r="C115" s="304"/>
      <c r="D115" s="304"/>
      <c r="E115" s="304"/>
      <c r="F115" s="304"/>
      <c r="G115" s="304"/>
      <c r="H115" s="304"/>
      <c r="I115" s="304"/>
      <c r="J115" s="304"/>
      <c r="K115" s="304"/>
      <c r="L115" s="304"/>
      <c r="M115" s="304"/>
      <c r="N115" s="304"/>
      <c r="O115" s="304"/>
    </row>
  </sheetData>
  <mergeCells count="12">
    <mergeCell ref="I48:I49"/>
    <mergeCell ref="C48:C49"/>
    <mergeCell ref="D48:G48"/>
    <mergeCell ref="B48:B49"/>
    <mergeCell ref="H48:H49"/>
    <mergeCell ref="L4:M4"/>
    <mergeCell ref="A6:P6"/>
    <mergeCell ref="B34:B35"/>
    <mergeCell ref="C34:C35"/>
    <mergeCell ref="D34:G34"/>
    <mergeCell ref="H34:H35"/>
    <mergeCell ref="I34:I35"/>
  </mergeCells>
  <phoneticPr fontId="13" type="noConversion"/>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2:N31"/>
  <sheetViews>
    <sheetView topLeftCell="A7" workbookViewId="0">
      <selection activeCell="F22" sqref="F22"/>
    </sheetView>
  </sheetViews>
  <sheetFormatPr baseColWidth="10" defaultRowHeight="14.5" x14ac:dyDescent="0.35"/>
  <cols>
    <col min="1" max="1" width="11.453125" style="206" customWidth="1"/>
    <col min="2" max="2" width="32.1796875" style="206" bestFit="1" customWidth="1"/>
    <col min="3" max="3" width="11.453125" style="206" bestFit="1" customWidth="1"/>
    <col min="4" max="4" width="14.1796875" style="206" bestFit="1" customWidth="1"/>
    <col min="5" max="5" width="18" style="206" customWidth="1"/>
    <col min="6" max="6" width="20.7265625" style="206" customWidth="1"/>
    <col min="7" max="14" width="11.453125" style="206" customWidth="1"/>
  </cols>
  <sheetData>
    <row r="2" spans="1:14" x14ac:dyDescent="0.35">
      <c r="C2" s="208"/>
      <c r="D2" s="1497" t="s">
        <v>230</v>
      </c>
      <c r="E2" s="1497"/>
      <c r="F2" s="1497"/>
      <c r="G2" s="208"/>
      <c r="H2" s="208"/>
    </row>
    <row r="3" spans="1:14" x14ac:dyDescent="0.35">
      <c r="C3" s="245"/>
      <c r="D3" s="207"/>
      <c r="E3" s="207"/>
      <c r="F3" s="207"/>
      <c r="G3" s="207"/>
      <c r="H3" s="207"/>
    </row>
    <row r="4" spans="1:14" ht="15.5" x14ac:dyDescent="0.35">
      <c r="C4" s="245"/>
      <c r="D4" s="246" t="s">
        <v>1</v>
      </c>
      <c r="E4" s="1323" t="str">
        <f>+'[1]A) Resumen Ingresos y Egresos'!E4:F4</f>
        <v>BIENTALC</v>
      </c>
      <c r="F4" s="1324"/>
      <c r="G4" s="208"/>
      <c r="H4" s="208"/>
    </row>
    <row r="5" spans="1:14" x14ac:dyDescent="0.35">
      <c r="C5" s="209"/>
      <c r="D5" s="208"/>
      <c r="E5" s="208"/>
      <c r="F5" s="208"/>
      <c r="G5" s="208"/>
      <c r="H5" s="208"/>
    </row>
    <row r="7" spans="1:14" x14ac:dyDescent="0.35">
      <c r="B7" s="1468" t="s">
        <v>231</v>
      </c>
      <c r="C7" s="1469"/>
      <c r="D7" s="1469"/>
      <c r="E7" s="1469"/>
      <c r="F7" s="1469"/>
      <c r="G7" s="1469"/>
      <c r="H7" s="1469"/>
      <c r="I7" s="1469"/>
      <c r="J7" s="1469"/>
      <c r="K7" s="1469"/>
      <c r="L7" s="1469"/>
      <c r="M7" s="1470"/>
    </row>
    <row r="8" spans="1:14" x14ac:dyDescent="0.35">
      <c r="B8" s="1471"/>
      <c r="C8" s="1472"/>
      <c r="D8" s="1472"/>
      <c r="E8" s="1472"/>
      <c r="F8" s="1472"/>
      <c r="G8" s="1472"/>
      <c r="H8" s="1472"/>
      <c r="I8" s="1472"/>
      <c r="J8" s="1472"/>
      <c r="K8" s="1472"/>
      <c r="L8" s="1472"/>
      <c r="M8" s="1473"/>
    </row>
    <row r="9" spans="1:14" x14ac:dyDescent="0.35">
      <c r="B9" s="1471"/>
      <c r="C9" s="1472"/>
      <c r="D9" s="1472"/>
      <c r="E9" s="1472"/>
      <c r="F9" s="1472"/>
      <c r="G9" s="1472"/>
      <c r="H9" s="1472"/>
      <c r="I9" s="1472"/>
      <c r="J9" s="1472"/>
      <c r="K9" s="1472"/>
      <c r="L9" s="1472"/>
      <c r="M9" s="1473"/>
    </row>
    <row r="10" spans="1:14" x14ac:dyDescent="0.35">
      <c r="B10" s="1474"/>
      <c r="C10" s="1475"/>
      <c r="D10" s="1475"/>
      <c r="E10" s="1475"/>
      <c r="F10" s="1475"/>
      <c r="G10" s="1475"/>
      <c r="H10" s="1475"/>
      <c r="I10" s="1475"/>
      <c r="J10" s="1475"/>
      <c r="K10" s="1475"/>
      <c r="L10" s="1475"/>
      <c r="M10" s="1476"/>
    </row>
    <row r="12" spans="1:14" ht="15.5" x14ac:dyDescent="0.35">
      <c r="B12" s="1498" t="s">
        <v>232</v>
      </c>
      <c r="C12" s="1498"/>
      <c r="D12" s="1498"/>
      <c r="E12" s="247"/>
    </row>
    <row r="14" spans="1:14" x14ac:dyDescent="0.35">
      <c r="A14" s="248"/>
      <c r="B14" s="241" t="s">
        <v>218</v>
      </c>
      <c r="C14" s="241" t="s">
        <v>219</v>
      </c>
      <c r="D14" s="241" t="s">
        <v>96</v>
      </c>
      <c r="E14" s="241" t="s">
        <v>97</v>
      </c>
      <c r="F14" s="248"/>
      <c r="L14" s="248"/>
      <c r="M14" s="248"/>
      <c r="N14" s="248"/>
    </row>
    <row r="15" spans="1:14" x14ac:dyDescent="0.35">
      <c r="B15" s="479" t="s">
        <v>220</v>
      </c>
      <c r="C15" s="480">
        <v>660</v>
      </c>
      <c r="D15" s="481">
        <v>1</v>
      </c>
      <c r="E15" s="242">
        <f>C15*D15</f>
        <v>660</v>
      </c>
    </row>
    <row r="16" spans="1:14" x14ac:dyDescent="0.35">
      <c r="B16" s="482" t="s">
        <v>336</v>
      </c>
      <c r="C16" s="483">
        <v>506.00000000000006</v>
      </c>
      <c r="D16" s="484">
        <v>1</v>
      </c>
      <c r="E16" s="242">
        <f t="shared" ref="E16:E27" si="0">C16*D16</f>
        <v>506.00000000000006</v>
      </c>
    </row>
    <row r="17" spans="2:5" x14ac:dyDescent="0.35">
      <c r="B17" s="482" t="s">
        <v>337</v>
      </c>
      <c r="C17" s="483">
        <v>528</v>
      </c>
      <c r="D17" s="484">
        <v>1</v>
      </c>
      <c r="E17" s="242">
        <f t="shared" si="0"/>
        <v>528</v>
      </c>
    </row>
    <row r="18" spans="2:5" x14ac:dyDescent="0.35">
      <c r="B18" s="482" t="s">
        <v>645</v>
      </c>
      <c r="C18" s="483">
        <v>350</v>
      </c>
      <c r="D18" s="484">
        <v>1</v>
      </c>
      <c r="E18" s="242">
        <f t="shared" si="0"/>
        <v>350</v>
      </c>
    </row>
    <row r="19" spans="2:5" x14ac:dyDescent="0.35">
      <c r="B19" s="482" t="s">
        <v>221</v>
      </c>
      <c r="C19" s="483">
        <v>306</v>
      </c>
      <c r="D19" s="484">
        <v>1</v>
      </c>
      <c r="E19" s="242">
        <f t="shared" si="0"/>
        <v>306</v>
      </c>
    </row>
    <row r="20" spans="2:5" x14ac:dyDescent="0.35">
      <c r="B20" s="482" t="s">
        <v>222</v>
      </c>
      <c r="C20" s="483">
        <v>528</v>
      </c>
      <c r="D20" s="484">
        <v>1</v>
      </c>
      <c r="E20" s="242">
        <f t="shared" si="0"/>
        <v>528</v>
      </c>
    </row>
    <row r="21" spans="2:5" x14ac:dyDescent="0.35">
      <c r="B21" s="482" t="s">
        <v>223</v>
      </c>
      <c r="C21" s="483">
        <v>451.00000000000006</v>
      </c>
      <c r="D21" s="484">
        <v>1</v>
      </c>
      <c r="E21" s="242">
        <f t="shared" si="0"/>
        <v>451.00000000000006</v>
      </c>
    </row>
    <row r="22" spans="2:5" x14ac:dyDescent="0.35">
      <c r="B22" s="482" t="s">
        <v>224</v>
      </c>
      <c r="C22" s="483">
        <v>165</v>
      </c>
      <c r="D22" s="484">
        <v>2</v>
      </c>
      <c r="E22" s="242">
        <f t="shared" si="0"/>
        <v>330</v>
      </c>
    </row>
    <row r="23" spans="2:5" x14ac:dyDescent="0.35">
      <c r="B23" s="482" t="s">
        <v>225</v>
      </c>
      <c r="C23" s="483">
        <v>77</v>
      </c>
      <c r="D23" s="484">
        <v>2</v>
      </c>
      <c r="E23" s="242">
        <f t="shared" si="0"/>
        <v>154</v>
      </c>
    </row>
    <row r="24" spans="2:5" x14ac:dyDescent="0.35">
      <c r="B24" s="482" t="s">
        <v>226</v>
      </c>
      <c r="C24" s="483">
        <v>28</v>
      </c>
      <c r="D24" s="484">
        <v>2</v>
      </c>
      <c r="E24" s="242">
        <f t="shared" si="0"/>
        <v>56</v>
      </c>
    </row>
    <row r="25" spans="2:5" x14ac:dyDescent="0.35">
      <c r="B25" s="482" t="s">
        <v>227</v>
      </c>
      <c r="C25" s="483">
        <v>88</v>
      </c>
      <c r="D25" s="484">
        <v>2</v>
      </c>
      <c r="E25" s="242">
        <f t="shared" si="0"/>
        <v>176</v>
      </c>
    </row>
    <row r="26" spans="2:5" x14ac:dyDescent="0.35">
      <c r="B26" s="482" t="s">
        <v>228</v>
      </c>
      <c r="C26" s="483">
        <v>27</v>
      </c>
      <c r="D26" s="484">
        <v>1</v>
      </c>
      <c r="E26" s="242">
        <f t="shared" si="0"/>
        <v>27</v>
      </c>
    </row>
    <row r="27" spans="2:5" x14ac:dyDescent="0.35">
      <c r="B27" s="485" t="s">
        <v>229</v>
      </c>
      <c r="C27" s="483">
        <v>55.000000000000007</v>
      </c>
      <c r="D27" s="484">
        <v>1</v>
      </c>
      <c r="E27" s="242">
        <f t="shared" si="0"/>
        <v>55.000000000000007</v>
      </c>
    </row>
    <row r="28" spans="2:5" ht="15" thickBot="1" x14ac:dyDescent="0.4"/>
    <row r="29" spans="2:5" ht="15" thickBot="1" x14ac:dyDescent="0.4">
      <c r="D29" s="243" t="s">
        <v>338</v>
      </c>
      <c r="E29" s="244">
        <f>SUM(E15:E28)</f>
        <v>4127</v>
      </c>
    </row>
    <row r="30" spans="2:5" ht="15" thickBot="1" x14ac:dyDescent="0.4"/>
    <row r="31" spans="2:5" ht="15" thickBot="1" x14ac:dyDescent="0.4">
      <c r="D31" s="243" t="s">
        <v>470</v>
      </c>
      <c r="E31" s="244">
        <f>+E29*1.05</f>
        <v>4333.3500000000004</v>
      </c>
    </row>
  </sheetData>
  <mergeCells count="4">
    <mergeCell ref="D2:F2"/>
    <mergeCell ref="E4:F4"/>
    <mergeCell ref="B7:M10"/>
    <mergeCell ref="B12:D12"/>
  </mergeCells>
  <hyperlinks>
    <hyperlink ref="B12:D12" location="'Índice Tablas '!A1" display="Tabla 15: Costo desayuno"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T184"/>
  <sheetViews>
    <sheetView zoomScale="80" zoomScaleNormal="80" workbookViewId="0">
      <selection activeCell="F2" sqref="F2"/>
    </sheetView>
  </sheetViews>
  <sheetFormatPr baseColWidth="10" defaultRowHeight="14.5" x14ac:dyDescent="0.35"/>
  <cols>
    <col min="1" max="1" width="11.453125" customWidth="1"/>
    <col min="2" max="2" width="87.54296875" style="206" bestFit="1" customWidth="1"/>
    <col min="3" max="4" width="19.1796875" style="206" bestFit="1" customWidth="1"/>
    <col min="5" max="6" width="18.7265625" style="206" bestFit="1" customWidth="1"/>
    <col min="7" max="7" width="17.7265625" style="206" bestFit="1" customWidth="1"/>
    <col min="8" max="9" width="18.7265625" style="206" bestFit="1" customWidth="1"/>
    <col min="10" max="11" width="19.1796875" style="206" bestFit="1" customWidth="1"/>
    <col min="12" max="12" width="18.26953125" style="206" bestFit="1" customWidth="1"/>
    <col min="13" max="13" width="18.7265625" style="206" bestFit="1" customWidth="1"/>
    <col min="14" max="14" width="18.26953125" style="206" bestFit="1" customWidth="1"/>
    <col min="15" max="15" width="21.54296875" style="206" bestFit="1" customWidth="1"/>
    <col min="16" max="16" width="15.54296875" hidden="1" customWidth="1"/>
    <col min="17" max="17" width="30.54296875" hidden="1" customWidth="1"/>
    <col min="18" max="18" width="15" bestFit="1" customWidth="1"/>
  </cols>
  <sheetData>
    <row r="1" spans="2:18" x14ac:dyDescent="0.35">
      <c r="B1" s="937"/>
      <c r="C1" s="937"/>
      <c r="D1" s="938"/>
      <c r="E1" s="939"/>
      <c r="F1" s="938"/>
      <c r="G1" s="937"/>
      <c r="H1"/>
      <c r="I1"/>
      <c r="J1"/>
      <c r="K1"/>
      <c r="L1"/>
      <c r="M1"/>
      <c r="N1"/>
      <c r="O1"/>
    </row>
    <row r="2" spans="2:18" x14ac:dyDescent="0.35">
      <c r="B2" s="937"/>
      <c r="C2" s="937"/>
      <c r="D2" s="938"/>
      <c r="E2" s="939"/>
      <c r="F2" s="938"/>
      <c r="G2" s="937"/>
      <c r="H2"/>
      <c r="I2"/>
      <c r="J2"/>
      <c r="K2"/>
      <c r="L2"/>
      <c r="M2"/>
      <c r="N2"/>
      <c r="O2"/>
    </row>
    <row r="3" spans="2:18" x14ac:dyDescent="0.35">
      <c r="B3" s="937"/>
      <c r="C3" s="937"/>
      <c r="D3" s="937"/>
      <c r="E3" s="937"/>
      <c r="F3" s="937"/>
      <c r="G3" s="937"/>
      <c r="H3"/>
      <c r="I3"/>
      <c r="J3"/>
      <c r="K3"/>
      <c r="L3"/>
      <c r="M3"/>
      <c r="N3"/>
      <c r="O3"/>
    </row>
    <row r="4" spans="2:18" ht="15.5" x14ac:dyDescent="0.35">
      <c r="B4" s="940" t="s">
        <v>233</v>
      </c>
      <c r="C4" s="1501" t="s">
        <v>51</v>
      </c>
      <c r="D4" s="1502"/>
      <c r="E4" s="1500"/>
      <c r="F4" s="1500"/>
      <c r="G4" s="937"/>
      <c r="H4"/>
      <c r="I4"/>
      <c r="J4"/>
      <c r="K4"/>
      <c r="L4"/>
      <c r="M4"/>
      <c r="N4"/>
      <c r="O4"/>
    </row>
    <row r="5" spans="2:18" x14ac:dyDescent="0.35">
      <c r="B5"/>
      <c r="C5"/>
      <c r="D5"/>
      <c r="E5"/>
      <c r="F5"/>
      <c r="G5"/>
      <c r="H5"/>
      <c r="I5"/>
      <c r="J5"/>
      <c r="K5"/>
      <c r="L5"/>
      <c r="M5"/>
      <c r="N5"/>
      <c r="O5"/>
    </row>
    <row r="6" spans="2:18" x14ac:dyDescent="0.35">
      <c r="B6" s="1214" t="s">
        <v>329</v>
      </c>
      <c r="C6" s="1214"/>
      <c r="D6" s="1214"/>
      <c r="E6" s="1214"/>
      <c r="F6" s="1214"/>
      <c r="G6" s="1214"/>
      <c r="H6" s="1214"/>
      <c r="I6" s="1214"/>
      <c r="J6" s="1214"/>
      <c r="K6" s="1214"/>
      <c r="L6"/>
      <c r="M6"/>
      <c r="N6"/>
      <c r="O6"/>
    </row>
    <row r="7" spans="2:18" ht="15" thickBot="1" x14ac:dyDescent="0.4">
      <c r="B7"/>
      <c r="C7"/>
      <c r="D7"/>
      <c r="E7" s="941"/>
      <c r="F7" s="941"/>
      <c r="G7" s="941"/>
      <c r="H7" s="941"/>
      <c r="I7" s="941"/>
      <c r="J7" s="941"/>
      <c r="K7" s="941"/>
      <c r="L7" s="941"/>
      <c r="M7" s="941"/>
      <c r="N7" s="941"/>
      <c r="O7"/>
    </row>
    <row r="8" spans="2:18" ht="29.5" thickBot="1" x14ac:dyDescent="0.4">
      <c r="B8" s="427" t="s">
        <v>234</v>
      </c>
      <c r="C8" s="428" t="s">
        <v>235</v>
      </c>
      <c r="D8" s="428" t="s">
        <v>236</v>
      </c>
      <c r="E8" s="428" t="s">
        <v>237</v>
      </c>
      <c r="F8" s="428" t="s">
        <v>238</v>
      </c>
      <c r="G8" s="428" t="s">
        <v>239</v>
      </c>
      <c r="H8" s="428" t="s">
        <v>240</v>
      </c>
      <c r="I8" s="428" t="s">
        <v>241</v>
      </c>
      <c r="J8" s="429" t="s">
        <v>242</v>
      </c>
      <c r="K8" s="428" t="s">
        <v>243</v>
      </c>
      <c r="L8" s="428" t="s">
        <v>244</v>
      </c>
      <c r="M8" s="428" t="s">
        <v>245</v>
      </c>
      <c r="N8" s="430" t="s">
        <v>246</v>
      </c>
      <c r="O8" s="423" t="s">
        <v>331</v>
      </c>
      <c r="P8" s="316"/>
      <c r="Q8" s="318" t="s">
        <v>332</v>
      </c>
    </row>
    <row r="9" spans="2:18" x14ac:dyDescent="0.35">
      <c r="B9" s="431" t="s">
        <v>248</v>
      </c>
      <c r="C9" s="254">
        <f>'A) Resumen Ingresos y Egresos'!$D$9*C16</f>
        <v>8418645.7843401767</v>
      </c>
      <c r="D9" s="254">
        <f>'A) Resumen Ingresos y Egresos'!$D$9*D16</f>
        <v>7614381.2160132937</v>
      </c>
      <c r="E9" s="254">
        <f>'A) Resumen Ingresos y Egresos'!$D$9*E16</f>
        <v>7089113.1756679984</v>
      </c>
      <c r="F9" s="254">
        <f>'A) Resumen Ingresos y Egresos'!$D$9*F16</f>
        <v>10252114.519978607</v>
      </c>
      <c r="G9" s="254">
        <f>'A) Resumen Ingresos y Egresos'!$D$9*G16</f>
        <v>6216193.3129785266</v>
      </c>
      <c r="H9" s="254">
        <f>'A) Resumen Ingresos y Egresos'!$D$9*H16</f>
        <v>6027425.219288771</v>
      </c>
      <c r="I9" s="254">
        <f>'A) Resumen Ingresos y Egresos'!$D$9*I16</f>
        <v>9135966.2039926313</v>
      </c>
      <c r="J9" s="254">
        <f>'A) Resumen Ingresos y Egresos'!$D$9*J16</f>
        <v>7994597.2362752184</v>
      </c>
      <c r="K9" s="254">
        <f>'A) Resumen Ingresos y Egresos'!$D$9*K16</f>
        <v>7082839.8990032692</v>
      </c>
      <c r="L9" s="254">
        <f>'A) Resumen Ingresos y Egresos'!$D$9*L16</f>
        <v>7926665.6215632372</v>
      </c>
      <c r="M9" s="254">
        <f>'A) Resumen Ingresos y Egresos'!$D$9*M16</f>
        <v>8334582.4906733278</v>
      </c>
      <c r="N9" s="432">
        <f>'A) Resumen Ingresos y Egresos'!$D$9*N16</f>
        <v>5712975.3202249464</v>
      </c>
      <c r="O9" s="424">
        <f>SUM(C9:N9)</f>
        <v>91805500.000000015</v>
      </c>
      <c r="P9" s="316">
        <f>IF(Q9=12,C9+D9+E9+F9+G9+H9+I9+J9+K9+L9+M9+N9,IF(Q9=11,C9+D9+E9+F9+G9+H9+I9+J9+K9+L9+M9,IF(Q9=10,C9+D9+E9+F9+G9+H9+I9+J9+K9+L9,IF(Q9=9,C9+D9+E9+F9+G9+H9+I9+J9+K9,IF(Q9=8,C9+D9+E9+F9+G9+H9+I9+J9,IF(Q9=7,C9+D9+E9+F9+G9+H9+I9,IF(Q9=6,C9+D9+E9+F9+G9+H9,IF(Q9=5,C9+D9+E9+F9+G9,0))))))))</f>
        <v>91805500.000000015</v>
      </c>
      <c r="Q9" s="319">
        <f>COUNTA(#REF!,#REF!,#REF!,#REF!,#REF!,#REF!,#REF!,#REF!,#REF!,#REF!,#REF!,#REF!)</f>
        <v>12</v>
      </c>
    </row>
    <row r="10" spans="2:18" x14ac:dyDescent="0.35">
      <c r="B10" s="431" t="s">
        <v>249</v>
      </c>
      <c r="C10" s="254">
        <f>(SUM('F) Remuneraciones'!$L$11:$L$32)-SUM('F) Remuneraciones'!$I$11:$J$32))/12</f>
        <v>3795180.5225000004</v>
      </c>
      <c r="D10" s="254">
        <f>(SUM('F) Remuneraciones'!$L$11:$L$32)-SUM('F) Remuneraciones'!$I$11:$J$32))/12</f>
        <v>3795180.5225000004</v>
      </c>
      <c r="E10" s="254">
        <f>(SUM('F) Remuneraciones'!$L$11:$L$32)-SUM('F) Remuneraciones'!$I$11:$J$32))/12</f>
        <v>3795180.5225000004</v>
      </c>
      <c r="F10" s="254">
        <f>(SUM('F) Remuneraciones'!$L$11:$L$32)-SUM('F) Remuneraciones'!$I$11:$J$32))/12</f>
        <v>3795180.5225000004</v>
      </c>
      <c r="G10" s="254">
        <f>(SUM('F) Remuneraciones'!$L$11:$L$32)-SUM('F) Remuneraciones'!$I$11:$J$32))/12</f>
        <v>3795180.5225000004</v>
      </c>
      <c r="H10" s="254">
        <f>(SUM('F) Remuneraciones'!$L$11:$L$32)-SUM('F) Remuneraciones'!$I$11:$J$32))/12</f>
        <v>3795180.5225000004</v>
      </c>
      <c r="I10" s="254">
        <f>(SUM('F) Remuneraciones'!$L$11:$L$32)-SUM('F) Remuneraciones'!$I$11:$J$32))/12</f>
        <v>3795180.5225000004</v>
      </c>
      <c r="J10" s="254">
        <f>(SUM('F) Remuneraciones'!$L$11:$L$32)-SUM('F) Remuneraciones'!$I$11:$J$32))/12</f>
        <v>3795180.5225000004</v>
      </c>
      <c r="K10" s="254">
        <f>(SUM('F) Remuneraciones'!$L$11:$L$32)-SUM('F) Remuneraciones'!$I$11:$J$32))/12</f>
        <v>3795180.5225000004</v>
      </c>
      <c r="L10" s="254">
        <f>(SUM('F) Remuneraciones'!$L$11:$L$32)-SUM('F) Remuneraciones'!$I$11:$J$32))/12</f>
        <v>3795180.5225000004</v>
      </c>
      <c r="M10" s="254">
        <f>(SUM('F) Remuneraciones'!$L$11:$L$32)-SUM('F) Remuneraciones'!$I$11:$J$32))/12</f>
        <v>3795180.5225000004</v>
      </c>
      <c r="N10" s="254">
        <f>(SUM('F) Remuneraciones'!$L$11:$L$32)-SUM('F) Remuneraciones'!$I$11:$J$32))/12</f>
        <v>3795180.5225000004</v>
      </c>
      <c r="O10" s="425">
        <f t="shared" ref="O10:O15" si="0">SUM(C10:N10)</f>
        <v>45542166.270000003</v>
      </c>
      <c r="P10" s="422">
        <f>IF(Q10=12,C10+D10+E10+F10+G10+H10+I10+J10+K10+L10+M10+N10,IF(Q10=11,C10+D10+E10+F10+G10+H10+I10+J10+K10+L10+M10,IF(Q10=10,C10+D10+E10+F10+G10+H10+I10+J10+K10+L10,IF(Q10=9,C10+D10+E10+F10+G10+H10+I10+J10+K10,IF(Q10=8,C10+D10+E10+F10+G10+H10+I10+J10,IF(Q10=7,C10+D10+E10+F10+G10+H10+I10,IF(Q10=6,C10+D10+E10+F10+G10+H10,IF(Q10=5,C10+D10+E10+F10+G10,0))))))))</f>
        <v>45542166.270000003</v>
      </c>
      <c r="Q10" s="1499">
        <f>COUNTA(#REF!,#REF!,#REF!,#REF!,#REF!,#REF!,#REF!,#REF!,#REF!,#REF!,#REF!,#REF!)</f>
        <v>12</v>
      </c>
    </row>
    <row r="11" spans="2:18" x14ac:dyDescent="0.35">
      <c r="B11" s="431" t="s">
        <v>250</v>
      </c>
      <c r="C11" s="254">
        <f>(SUM('F) Remuneraciones'!H22:H32)*(1+'F) Remuneraciones'!$M$7))*(1+'F) Remuneraciones'!$M$8)/4</f>
        <v>0</v>
      </c>
      <c r="D11" s="254">
        <f>(SUM('F) Remuneraciones'!I22:I32)*(1+'F) Remuneraciones'!$M$7))*(1+'F) Remuneraciones'!$M$8)/4</f>
        <v>0</v>
      </c>
      <c r="E11" s="254">
        <f>(SUM('F) Remuneraciones'!J22:J32)*(1+'F) Remuneraciones'!$M$7))*(1+'F) Remuneraciones'!$M$8)/4</f>
        <v>0</v>
      </c>
      <c r="F11" s="254">
        <v>0</v>
      </c>
      <c r="G11" s="254">
        <v>0</v>
      </c>
      <c r="H11" s="254">
        <v>0</v>
      </c>
      <c r="I11" s="254">
        <v>0</v>
      </c>
      <c r="J11" s="254">
        <v>0</v>
      </c>
      <c r="K11" s="254">
        <v>0</v>
      </c>
      <c r="L11" s="254">
        <v>0</v>
      </c>
      <c r="M11" s="254">
        <v>0</v>
      </c>
      <c r="N11" s="254">
        <f>(SUM('F) Remuneraciones'!S22:S32)*(1+'F) Remuneraciones'!$M$7))*(1+'F) Remuneraciones'!$M$8)/4</f>
        <v>0</v>
      </c>
      <c r="O11" s="425">
        <f t="shared" si="0"/>
        <v>0</v>
      </c>
      <c r="P11" s="422">
        <f>IF(Q10=12,C11+D11+E11+F11+G11+H11+I11+J11+K11+L11+M11+N11,IF(Q10=11,C11+D11+E11+F11+G11+H11+I11+J11+K11+L11+M11,IF(Q10=10,C11+D11+E11+F11+G11+H11+I11+J11+K11+L11,IF(Q10=9,C11+D11+E11+F11+G11+H11+I11+J11+K11,IF(Q10=8,C11+D11+E11+F11+G11+H11+I11+J11,IF(Q10=7,C11+D11+E11+F11+G11+H11+I11,IF(Q10=6,C11+D11+E11+F11+G11+H11,IF(Q10=5,C11+D11+E11+F11+G11,0))))))))</f>
        <v>0</v>
      </c>
      <c r="Q11" s="1499"/>
    </row>
    <row r="12" spans="2:18" x14ac:dyDescent="0.35">
      <c r="B12" s="431" t="s">
        <v>251</v>
      </c>
      <c r="C12" s="254">
        <f>SUM('F) Remuneraciones'!I11:I21)/2</f>
        <v>1159428</v>
      </c>
      <c r="D12" s="254">
        <v>0</v>
      </c>
      <c r="E12" s="254">
        <v>0</v>
      </c>
      <c r="F12" s="254">
        <v>0</v>
      </c>
      <c r="G12" s="254">
        <v>0</v>
      </c>
      <c r="H12" s="254">
        <v>0</v>
      </c>
      <c r="I12" s="254">
        <v>0</v>
      </c>
      <c r="J12" s="254">
        <v>0</v>
      </c>
      <c r="K12" s="254">
        <f>SUM('F) Remuneraciones'!J11:J21)/2</f>
        <v>522202</v>
      </c>
      <c r="L12" s="254">
        <v>0</v>
      </c>
      <c r="M12" s="254"/>
      <c r="N12" s="254">
        <f>C12+K12</f>
        <v>1681630</v>
      </c>
      <c r="O12" s="425">
        <f t="shared" si="0"/>
        <v>3363260</v>
      </c>
      <c r="P12" s="316">
        <f>IF(Q12=12,C12+D12+E12+F12+G12+H12+I12+J12+K12+L12+M12+N12,IF(Q12=11,C12+D12+E12+F12+G12+H12+I12+J12+K12+L12+M12,IF(Q12=10,C12+D12+E12+F12+G12+H12+I12+J12+K12+L12,IF(Q12=9,C12+D12+E12+F12+G12+H12+I12+J12+K12,IF(Q12=8,C12+D12+E12+F12+G12+H12+I12+J12,IF(Q12=7,C12+D12+E12+F12+G12+H12+I12,IF(Q12=6,C12+D12+E12+F12+G12+H12,IF(Q12=5,C12+D12+E12+F12+G12,0))))))))</f>
        <v>3363260</v>
      </c>
      <c r="Q12" s="319">
        <f>COUNTA(#REF!,#REF!,#REF!,#REF!,#REF!,#REF!,#REF!,#REF!,#REF!,#REF!,#REF!,#REF!)</f>
        <v>12</v>
      </c>
    </row>
    <row r="13" spans="2:18" x14ac:dyDescent="0.35">
      <c r="B13" s="431" t="s">
        <v>252</v>
      </c>
      <c r="C13" s="254">
        <f>('C) Estimación Costos Directos'!$H$11-'C) Estimación Costos Directos'!$H$12)*'J) ESTRUCTURA ECONÓMICA MENS'!C17</f>
        <v>607027.72763625148</v>
      </c>
      <c r="D13" s="254">
        <f>('C) Estimación Costos Directos'!$H$11-'C) Estimación Costos Directos'!$H$12)*'J) ESTRUCTURA ECONÓMICA MENS'!D17</f>
        <v>1355982.4254386297</v>
      </c>
      <c r="E13" s="254">
        <f>('C) Estimación Costos Directos'!$H$11-'C) Estimación Costos Directos'!$H$12)*'J) ESTRUCTURA ECONÓMICA MENS'!E17</f>
        <v>1636682.9389861072</v>
      </c>
      <c r="F13" s="254">
        <f>('C) Estimación Costos Directos'!$H$11-'C) Estimación Costos Directos'!$H$12)*'J) ESTRUCTURA ECONÓMICA MENS'!F17</f>
        <v>956419.69513545162</v>
      </c>
      <c r="G13" s="254">
        <f>('C) Estimación Costos Directos'!$H$11-'C) Estimación Costos Directos'!$H$12)*'J) ESTRUCTURA ECONÓMICA MENS'!G17</f>
        <v>1757267.3662269013</v>
      </c>
      <c r="H13" s="254">
        <f>('C) Estimación Costos Directos'!$H$11-'C) Estimación Costos Directos'!$H$12)*'J) ESTRUCTURA ECONÓMICA MENS'!H17</f>
        <v>1587375.2609769581</v>
      </c>
      <c r="I13" s="254">
        <f>('C) Estimación Costos Directos'!$H$11-'C) Estimación Costos Directos'!$H$12)*'J) ESTRUCTURA ECONÓMICA MENS'!I17</f>
        <v>1893592.2034357684</v>
      </c>
      <c r="J13" s="254">
        <f>('C) Estimación Costos Directos'!$H$11-'C) Estimación Costos Directos'!$H$12)*'J) ESTRUCTURA ECONÓMICA MENS'!J17</f>
        <v>1422825.9673353692</v>
      </c>
      <c r="K13" s="254">
        <f>('C) Estimación Costos Directos'!$H$11-'C) Estimación Costos Directos'!$H$12)*'J) ESTRUCTURA ECONÓMICA MENS'!K17</f>
        <v>1852245.2949275447</v>
      </c>
      <c r="L13" s="254">
        <f>('C) Estimación Costos Directos'!$H$11-'C) Estimación Costos Directos'!$H$12)*'J) ESTRUCTURA ECONÓMICA MENS'!L17</f>
        <v>513317.70217204816</v>
      </c>
      <c r="M13" s="254">
        <f>('C) Estimación Costos Directos'!$H$11-'C) Estimación Costos Directos'!$H$12)*'J) ESTRUCTURA ECONÓMICA MENS'!M17</f>
        <v>980253.50460732484</v>
      </c>
      <c r="N13" s="254">
        <f>('C) Estimación Costos Directos'!$H$11-'C) Estimación Costos Directos'!$H$12)*'J) ESTRUCTURA ECONÓMICA MENS'!N17</f>
        <v>3579769.8881216468</v>
      </c>
      <c r="O13" s="425">
        <f t="shared" si="0"/>
        <v>18142759.975000001</v>
      </c>
      <c r="P13" s="316">
        <f>IF(Q13=12,C13+D13+E13+F13+G13+H13+I13+J13+K13+L13+M13+N13,IF(Q13=11,C13+D13+E13+F13+G13+H13+I13+J13+K13+L13+M13,IF(Q13=10,C13+D13+E13+F13+G13+H13+I13+J13+K13+L13,IF(Q13=9,C13+D13+E13+F13+G13+H13+I13+J13+K13,IF(Q13=8,C13+D13+E13+F13+G13+H13+I13+J13,IF(Q13=7,C13+D13+E13+F13+G13+H13+I13,IF(Q13=6,C13+D13+E13+F13+G13+H13,IF(Q13=5,C13+D13+E13+F13+G13,0))))))))</f>
        <v>18142759.975000001</v>
      </c>
      <c r="Q13" s="319">
        <f>COUNTA(#REF!,#REF!,#REF!,#REF!,#REF!,#REF!,#REF!,#REF!,#REF!,#REF!,#REF!,#REF!)</f>
        <v>12</v>
      </c>
    </row>
    <row r="14" spans="2:18" ht="15" thickBot="1" x14ac:dyDescent="0.4">
      <c r="B14" s="433" t="s">
        <v>310</v>
      </c>
      <c r="C14" s="434">
        <f>'C) Estimación Costos Directos'!$H$39*C18</f>
        <v>512625.12944391934</v>
      </c>
      <c r="D14" s="434">
        <f>'C) Estimación Costos Directos'!$H$39*D18</f>
        <v>1145105.2970362625</v>
      </c>
      <c r="E14" s="434">
        <f>'C) Estimación Costos Directos'!$H$39*E18</f>
        <v>1382152.3552531416</v>
      </c>
      <c r="F14" s="434">
        <f>'C) Estimación Costos Directos'!$H$39*F18</f>
        <v>807681.01307444321</v>
      </c>
      <c r="G14" s="434">
        <f>'C) Estimación Costos Directos'!$H$39*G18</f>
        <v>1483983.9599871414</v>
      </c>
      <c r="H14" s="434">
        <f>'C) Estimación Costos Directos'!$H$39*H18</f>
        <v>1340512.8161163635</v>
      </c>
      <c r="I14" s="434">
        <f>'C) Estimación Costos Directos'!$H$39*I18</f>
        <v>1599108.087171152</v>
      </c>
      <c r="J14" s="434">
        <f>'C) Estimación Costos Directos'!$H$39*J18</f>
        <v>1201553.5905116459</v>
      </c>
      <c r="K14" s="434">
        <f>'C) Estimación Costos Directos'!$H$39*K18</f>
        <v>1564191.2895338042</v>
      </c>
      <c r="L14" s="434">
        <f>'C) Estimación Costos Directos'!$H$39*L18</f>
        <v>433488.52373920259</v>
      </c>
      <c r="M14" s="434">
        <f>'C) Estimación Costos Directos'!$H$39*M18</f>
        <v>827808.28092304128</v>
      </c>
      <c r="N14" s="434">
        <f>'C) Estimación Costos Directos'!$H$39*N18</f>
        <v>3023057.9572098833</v>
      </c>
      <c r="O14" s="426">
        <f t="shared" si="0"/>
        <v>15321268.299999999</v>
      </c>
      <c r="P14" s="316">
        <f>IF(Q14=12,C14+D14+E14+F14+G14+H14+I14+J14+K14+L14+M14+N14,IF(Q14=11,C14+D14+E14+F14+G14+H14+I14+J14+K14+L14+M14,IF(Q14=10,C14+D14+E14+F14+G14+H14+I14+J14+K14+L14,IF(Q14=9,C14+D14+E14+F14+G14+H14+I14+J14+K14,IF(Q14=8,C14+D14+E14+F14+G14+H14+I14+J14,IF(Q14=7,C14+D14+E14+F14+G14+H14+I14,IF(Q14=6,C14+D14+E14+F14+G14+H14,IF(Q14=5,C14+D14+E14+F14+G14,0))))))))</f>
        <v>15321268.299999999</v>
      </c>
      <c r="Q14" s="319">
        <f>COUNTA(#REF!,#REF!,#REF!,#REF!,#REF!,#REF!,#REF!,#REF!,#REF!,#REF!,#REF!,#REF!)</f>
        <v>12</v>
      </c>
    </row>
    <row r="15" spans="2:18" ht="15" thickBot="1" x14ac:dyDescent="0.4">
      <c r="B15" s="435" t="s">
        <v>253</v>
      </c>
      <c r="C15" s="436">
        <f>C9-(C10+C11+C12+C13+C14)</f>
        <v>2344384.404760005</v>
      </c>
      <c r="D15" s="436">
        <f t="shared" ref="D15:N15" si="1">D9-(D10+D11+D12+D13+D14)</f>
        <v>1318112.9710384011</v>
      </c>
      <c r="E15" s="436">
        <f t="shared" si="1"/>
        <v>275097.35892874934</v>
      </c>
      <c r="F15" s="436">
        <f t="shared" si="1"/>
        <v>4692833.2892687116</v>
      </c>
      <c r="G15" s="436">
        <f t="shared" si="1"/>
        <v>-820238.53573551588</v>
      </c>
      <c r="H15" s="436">
        <f t="shared" si="1"/>
        <v>-695643.38030455075</v>
      </c>
      <c r="I15" s="436">
        <f t="shared" si="1"/>
        <v>1848085.3908857107</v>
      </c>
      <c r="J15" s="436">
        <f t="shared" si="1"/>
        <v>1575037.1559282029</v>
      </c>
      <c r="K15" s="436">
        <f t="shared" si="1"/>
        <v>-650979.20795808081</v>
      </c>
      <c r="L15" s="436">
        <f t="shared" si="1"/>
        <v>3184678.8731519859</v>
      </c>
      <c r="M15" s="436">
        <f t="shared" si="1"/>
        <v>2731340.1826429609</v>
      </c>
      <c r="N15" s="436">
        <f t="shared" si="1"/>
        <v>-6366663.0476065837</v>
      </c>
      <c r="O15" s="437">
        <f t="shared" si="0"/>
        <v>9436045.4549999982</v>
      </c>
      <c r="P15" s="316"/>
      <c r="Q15" s="319"/>
      <c r="R15" s="874"/>
    </row>
    <row r="16" spans="2:18" x14ac:dyDescent="0.35">
      <c r="B16" s="942" t="s">
        <v>254</v>
      </c>
      <c r="C16" s="943">
        <v>9.1700887031171088E-2</v>
      </c>
      <c r="D16" s="943">
        <v>8.2940359956792276E-2</v>
      </c>
      <c r="E16" s="943">
        <v>7.7218828672225501E-2</v>
      </c>
      <c r="F16" s="943">
        <v>0.11167211681194053</v>
      </c>
      <c r="G16" s="943">
        <v>6.7710467379171468E-2</v>
      </c>
      <c r="H16" s="943">
        <v>6.565429325354985E-2</v>
      </c>
      <c r="I16" s="943">
        <v>9.9514366829793754E-2</v>
      </c>
      <c r="J16" s="943">
        <v>8.7081898538488633E-2</v>
      </c>
      <c r="K16" s="943">
        <v>7.7150496419095466E-2</v>
      </c>
      <c r="L16" s="943">
        <v>8.6341947068130309E-2</v>
      </c>
      <c r="M16" s="943">
        <v>9.0785219738178297E-2</v>
      </c>
      <c r="N16" s="943">
        <v>6.2229118301462841E-2</v>
      </c>
      <c r="O16" s="955">
        <f>SUM(C16:N16)</f>
        <v>1</v>
      </c>
    </row>
    <row r="17" spans="2:18" x14ac:dyDescent="0.35">
      <c r="B17" s="944" t="s">
        <v>334</v>
      </c>
      <c r="C17" s="945">
        <v>3.3458400401742153E-2</v>
      </c>
      <c r="D17" s="945">
        <v>7.4739589087168615E-2</v>
      </c>
      <c r="E17" s="945">
        <v>9.021135379850645E-2</v>
      </c>
      <c r="F17" s="945">
        <v>5.271632852186546E-2</v>
      </c>
      <c r="G17" s="945">
        <v>9.6857775148232433E-2</v>
      </c>
      <c r="H17" s="945">
        <v>8.7493593210972193E-2</v>
      </c>
      <c r="I17" s="945">
        <v>0.10437178279628143</v>
      </c>
      <c r="J17" s="945">
        <v>7.8423898530100525E-2</v>
      </c>
      <c r="K17" s="945">
        <v>0.10209280712966851</v>
      </c>
      <c r="L17" s="945">
        <v>2.8293253224943693E-2</v>
      </c>
      <c r="M17" s="945">
        <v>5.4030010095381026E-2</v>
      </c>
      <c r="N17" s="945">
        <v>0.19731120805513752</v>
      </c>
      <c r="O17" s="955">
        <f t="shared" ref="O17:O18" si="2">SUM(C17:N17)</f>
        <v>1</v>
      </c>
    </row>
    <row r="18" spans="2:18" ht="15" thickBot="1" x14ac:dyDescent="0.4">
      <c r="B18" s="944" t="s">
        <v>311</v>
      </c>
      <c r="C18" s="945">
        <v>3.3458400401742153E-2</v>
      </c>
      <c r="D18" s="945">
        <v>7.4739589087168615E-2</v>
      </c>
      <c r="E18" s="945">
        <v>9.021135379850645E-2</v>
      </c>
      <c r="F18" s="945">
        <v>5.271632852186546E-2</v>
      </c>
      <c r="G18" s="945">
        <v>9.6857775148232433E-2</v>
      </c>
      <c r="H18" s="945">
        <v>8.7493593210972193E-2</v>
      </c>
      <c r="I18" s="945">
        <v>0.10437178279628143</v>
      </c>
      <c r="J18" s="945">
        <v>7.8423898530100525E-2</v>
      </c>
      <c r="K18" s="945">
        <v>0.10209280712966851</v>
      </c>
      <c r="L18" s="945">
        <v>2.8293253224943693E-2</v>
      </c>
      <c r="M18" s="945">
        <v>5.4030010095381026E-2</v>
      </c>
      <c r="N18" s="945">
        <v>0.19731120805513752</v>
      </c>
      <c r="O18" s="955">
        <f t="shared" si="2"/>
        <v>1</v>
      </c>
    </row>
    <row r="19" spans="2:18" ht="29" x14ac:dyDescent="0.35">
      <c r="B19" s="427" t="s">
        <v>256</v>
      </c>
      <c r="C19" s="428" t="s">
        <v>235</v>
      </c>
      <c r="D19" s="428" t="s">
        <v>236</v>
      </c>
      <c r="E19" s="428" t="s">
        <v>237</v>
      </c>
      <c r="F19" s="428" t="s">
        <v>238</v>
      </c>
      <c r="G19" s="428" t="s">
        <v>239</v>
      </c>
      <c r="H19" s="428" t="s">
        <v>240</v>
      </c>
      <c r="I19" s="428" t="s">
        <v>241</v>
      </c>
      <c r="J19" s="429" t="s">
        <v>242</v>
      </c>
      <c r="K19" s="428" t="s">
        <v>243</v>
      </c>
      <c r="L19" s="428" t="s">
        <v>244</v>
      </c>
      <c r="M19" s="428" t="s">
        <v>245</v>
      </c>
      <c r="N19" s="428" t="s">
        <v>246</v>
      </c>
      <c r="O19" s="430" t="s">
        <v>331</v>
      </c>
      <c r="P19" s="316"/>
      <c r="Q19" s="318" t="s">
        <v>332</v>
      </c>
    </row>
    <row r="20" spans="2:18" x14ac:dyDescent="0.35">
      <c r="B20" s="431" t="s">
        <v>248</v>
      </c>
      <c r="C20" s="254">
        <f>'A) Resumen Ingresos y Egresos'!$D$10*C27</f>
        <v>95591112.419303983</v>
      </c>
      <c r="D20" s="254">
        <f>'A) Resumen Ingresos y Egresos'!$D$10*D27</f>
        <v>112395731.94709107</v>
      </c>
      <c r="E20" s="254">
        <f>'A) Resumen Ingresos y Egresos'!$D$10*E27</f>
        <v>54582135.787236594</v>
      </c>
      <c r="F20" s="254">
        <f>'A) Resumen Ingresos y Egresos'!$D$10*F27</f>
        <v>60005447.292026177</v>
      </c>
      <c r="G20" s="254">
        <f>'A) Resumen Ingresos y Egresos'!$D$10*G27</f>
        <v>35170327.78012763</v>
      </c>
      <c r="H20" s="254">
        <f>'A) Resumen Ingresos y Egresos'!$D$10*H27</f>
        <v>37987526.630572021</v>
      </c>
      <c r="I20" s="254">
        <f>'A) Resumen Ingresos y Egresos'!$D$10*I27</f>
        <v>90772803.537721604</v>
      </c>
      <c r="J20" s="254">
        <f>'A) Resumen Ingresos y Egresos'!$D$10*J27</f>
        <v>60755241.731311947</v>
      </c>
      <c r="K20" s="254">
        <f>'A) Resumen Ingresos y Egresos'!$D$10*K27</f>
        <v>61744729.530850008</v>
      </c>
      <c r="L20" s="254">
        <f>'A) Resumen Ingresos y Egresos'!$D$10*L27</f>
        <v>37303341.955412619</v>
      </c>
      <c r="M20" s="254">
        <f>'A) Resumen Ingresos y Egresos'!$D$10*M27</f>
        <v>37258266.222556345</v>
      </c>
      <c r="N20" s="254">
        <f>'A) Resumen Ingresos y Egresos'!$D$10*N27</f>
        <v>31215595.165789973</v>
      </c>
      <c r="O20" s="438">
        <f t="shared" ref="O20:O26" si="3">SUM(C20:N20)</f>
        <v>714782260</v>
      </c>
      <c r="P20" s="316">
        <f>IF(Q20=12,C20+D20+E20+F20+G20+H20+I20+J20+K20+L20+M20+N20,IF(Q20=11,C20+D20+E20+F20+G20+H20+I20+J20+K20+L20+M20,IF(Q20=10,C20+D20+E20+F20+G20+H20+I20+J20+K20+L20,IF(Q20=9,C20+D20+E20+F20+G20+H20+I20+J20+K20,IF(Q20=8,C20+D20+E20+F20+G20+H20+I20+J20,IF(Q20=7,C20+D20+E20+F20+G20+H20+I20,IF(Q20=6,C20+D20+E20+F20+G20+H20,IF(Q20=5,C20+D20+E20+F20+G20,0))))))))</f>
        <v>714782260</v>
      </c>
      <c r="Q20" s="319">
        <f>COUNTA(#REF!,#REF!,#REF!,#REF!,#REF!,#REF!,#REF!,#REF!,#REF!,#REF!,#REF!,#REF!)</f>
        <v>12</v>
      </c>
    </row>
    <row r="21" spans="2:18" x14ac:dyDescent="0.35">
      <c r="B21" s="431" t="s">
        <v>249</v>
      </c>
      <c r="C21" s="254">
        <f>(SUM('F) Remuneraciones'!$L$33:$L$56)-SUM('F) Remuneraciones'!$I$33:$J$56))/12</f>
        <v>16618048.755000001</v>
      </c>
      <c r="D21" s="254">
        <f>(SUM('F) Remuneraciones'!$L$33:$L$56)-SUM('F) Remuneraciones'!$I$33:$J$56))/12</f>
        <v>16618048.755000001</v>
      </c>
      <c r="E21" s="254">
        <f>(SUM('F) Remuneraciones'!$L$33:$L$56)-SUM('F) Remuneraciones'!$I$33:$J$56))/12</f>
        <v>16618048.755000001</v>
      </c>
      <c r="F21" s="254">
        <f>(SUM('F) Remuneraciones'!$L$33:$L$56)-SUM('F) Remuneraciones'!$I$33:$J$56))/12</f>
        <v>16618048.755000001</v>
      </c>
      <c r="G21" s="254">
        <f>(SUM('F) Remuneraciones'!$L$33:$L$56)-SUM('F) Remuneraciones'!$I$33:$J$56))/12</f>
        <v>16618048.755000001</v>
      </c>
      <c r="H21" s="254">
        <f>(SUM('F) Remuneraciones'!$L$33:$L$56)-SUM('F) Remuneraciones'!$I$33:$J$56))/12</f>
        <v>16618048.755000001</v>
      </c>
      <c r="I21" s="254">
        <f>(SUM('F) Remuneraciones'!$L$33:$L$56)-SUM('F) Remuneraciones'!$I$33:$J$56))/12</f>
        <v>16618048.755000001</v>
      </c>
      <c r="J21" s="254">
        <f>(SUM('F) Remuneraciones'!$L$33:$L$56)-SUM('F) Remuneraciones'!$I$33:$J$56))/12</f>
        <v>16618048.755000001</v>
      </c>
      <c r="K21" s="254">
        <f>(SUM('F) Remuneraciones'!$L$33:$L$56)-SUM('F) Remuneraciones'!$I$33:$J$56))/12</f>
        <v>16618048.755000001</v>
      </c>
      <c r="L21" s="254">
        <f>(SUM('F) Remuneraciones'!$L$33:$L$56)-SUM('F) Remuneraciones'!$I$33:$J$56))/12</f>
        <v>16618048.755000001</v>
      </c>
      <c r="M21" s="254">
        <f>(SUM('F) Remuneraciones'!$L$33:$L$56)-SUM('F) Remuneraciones'!$I$33:$J$56))/12</f>
        <v>16618048.755000001</v>
      </c>
      <c r="N21" s="254">
        <f>(SUM('F) Remuneraciones'!$L$33:$L$56)-SUM('F) Remuneraciones'!$I$33:$J$56))/12</f>
        <v>16618048.755000001</v>
      </c>
      <c r="O21" s="438">
        <f t="shared" si="3"/>
        <v>199416585.05999997</v>
      </c>
      <c r="P21" s="422">
        <f>IF(Q21=12,C21+D21+E21+F21+G21+H21+I21+J21+K21+L21+M21+N21,IF(Q21=11,C21+D21+E21+F21+G21+H21+I21+J21+K21+L21+M21,IF(Q21=10,C21+D21+E21+F21+G21+H21+I21+J21+K21+L21,IF(Q21=9,C21+D21+E21+F21+G21+H21+I21+J21+K21,IF(Q21=8,C21+D21+E21+F21+G21+H21+I21+J21,IF(Q21=7,C21+D21+E21+F21+G21+H21+I21,IF(Q21=6,C21+D21+E21+F21+G21+H21,IF(Q21=5,C21+D21+E21+F21+G21,0))))))))</f>
        <v>199416585.05999997</v>
      </c>
      <c r="Q21" s="1499">
        <f>COUNTA(#REF!,#REF!,#REF!,#REF!,#REF!,#REF!,#REF!,#REF!,#REF!,#REF!,#REF!,#REF!)</f>
        <v>12</v>
      </c>
    </row>
    <row r="22" spans="2:18" x14ac:dyDescent="0.35">
      <c r="B22" s="431" t="s">
        <v>250</v>
      </c>
      <c r="C22" s="254">
        <f>SUM('F) Remuneraciones'!$L$57:$L$69)/4</f>
        <v>6456251.9182812497</v>
      </c>
      <c r="D22" s="254">
        <f>SUM('F) Remuneraciones'!$L$57:$L$69)/4</f>
        <v>6456251.9182812497</v>
      </c>
      <c r="E22" s="254">
        <f>SUM('F) Remuneraciones'!$L$57:$L$69)/4</f>
        <v>6456251.9182812497</v>
      </c>
      <c r="F22" s="254">
        <v>0</v>
      </c>
      <c r="G22" s="254">
        <v>0</v>
      </c>
      <c r="H22" s="254">
        <f>(SUM('F) Remuneraciones'!M57:M69)*(1+'F) Remuneraciones'!$M$7))*(1+'F) Remuneraciones'!$M$8)/12</f>
        <v>0</v>
      </c>
      <c r="I22" s="254">
        <f>(SUM('F) Remuneraciones'!N57:N69)*(1+'F) Remuneraciones'!$M$7))*(1+'F) Remuneraciones'!$M$8)/12</f>
        <v>0</v>
      </c>
      <c r="J22" s="254">
        <f>(SUM('F) Remuneraciones'!O57:O69)*(1+'F) Remuneraciones'!$M$7))*(1+'F) Remuneraciones'!$M$8)/12</f>
        <v>0</v>
      </c>
      <c r="K22" s="254">
        <f>(SUM('F) Remuneraciones'!P57:P69)*(1+'F) Remuneraciones'!$M$7))*(1+'F) Remuneraciones'!$M$8)/12</f>
        <v>0</v>
      </c>
      <c r="L22" s="254">
        <f>(SUM('F) Remuneraciones'!Q57:Q69)*(1+'F) Remuneraciones'!$M$7))*(1+'F) Remuneraciones'!$M$8)/12</f>
        <v>0</v>
      </c>
      <c r="M22" s="254">
        <f>(SUM('F) Remuneraciones'!R57:R69)*(1+'F) Remuneraciones'!$M$7))*(1+'F) Remuneraciones'!$M$8)/12</f>
        <v>0</v>
      </c>
      <c r="N22" s="254">
        <f>SUM('F) Remuneraciones'!$L$57:$L$69)/4</f>
        <v>6456251.9182812497</v>
      </c>
      <c r="O22" s="438">
        <f t="shared" si="3"/>
        <v>25825007.673124999</v>
      </c>
      <c r="P22" s="422">
        <f>IF(Q21=12,C22+D22+E22+F22+G22+H22+I22+J22+K22+L22+M22+N22,IF(Q21=11,C22+D22+E22+F22+G22+H22+I22+J22+K22+L22+M22,IF(Q21=10,C22+D22+E22+F22+G22+H22+I22+J22+K22+L22,IF(Q21=9,C22+D22+E22+F22+G22+H22+I22+J22+K22,IF(Q21=8,C22+D22+E22+F22+G22+H22+I22+J22,IF(Q21=7,C22+D22+E22+F22+G22+H22+I22,IF(Q21=6,C22+D22+E22+F22+G22+H22,IF(Q21=5,C22+D22+E22+F22+G22,0))))))))</f>
        <v>25825007.673124999</v>
      </c>
      <c r="Q22" s="1499"/>
    </row>
    <row r="23" spans="2:18" x14ac:dyDescent="0.35">
      <c r="B23" s="431" t="s">
        <v>251</v>
      </c>
      <c r="C23" s="254">
        <f>SUM('F) Remuneraciones'!I33:I56)/2</f>
        <v>3586856.5</v>
      </c>
      <c r="D23" s="254">
        <v>0</v>
      </c>
      <c r="E23" s="254">
        <v>0</v>
      </c>
      <c r="F23" s="254">
        <v>0</v>
      </c>
      <c r="G23" s="254">
        <v>0</v>
      </c>
      <c r="H23" s="254">
        <v>0</v>
      </c>
      <c r="I23" s="254">
        <v>0</v>
      </c>
      <c r="J23" s="254">
        <v>0</v>
      </c>
      <c r="K23" s="254">
        <f>SUM('F) Remuneraciones'!J33:J56)/2</f>
        <v>1657847</v>
      </c>
      <c r="L23" s="254">
        <v>0</v>
      </c>
      <c r="M23" s="254">
        <v>0</v>
      </c>
      <c r="N23" s="254">
        <f>+C23+K23</f>
        <v>5244703.5</v>
      </c>
      <c r="O23" s="438">
        <f t="shared" si="3"/>
        <v>10489407</v>
      </c>
      <c r="P23" s="316">
        <f>IF(Q23=12,C23+D23+E23+F23+G23+H23+I23+J23+K23+L23+M23+N23,IF(Q23=11,C23+D23+E23+F23+G23+H23+I23+J23+K23+L23+M23,IF(Q23=10,C23+D23+E23+F23+G23+H23+I23+J23+K23+L23,IF(Q23=9,C23+D23+E23+F23+G23+H23+I23+J23+K23,IF(Q23=8,C23+D23+E23+F23+G23+H23+I23+J23,IF(Q23=7,C23+D23+E23+F23+G23+H23+I23,IF(Q23=6,C23+D23+E23+F23+G23+H23,IF(Q23=5,C23+D23+E23+F23+G23,0))))))))</f>
        <v>10489407</v>
      </c>
      <c r="Q23" s="319">
        <f>COUNTA(#REF!,#REF!,#REF!,#REF!,#REF!,#REF!,#REF!,#REF!,#REF!,#REF!,#REF!,#REF!)</f>
        <v>12</v>
      </c>
    </row>
    <row r="24" spans="2:18" x14ac:dyDescent="0.35">
      <c r="B24" s="431" t="s">
        <v>252</v>
      </c>
      <c r="C24" s="254">
        <f>SUM('C) Estimación Costos Directos'!$H$89+'C) Estimación Costos Directos'!$H$91)*C28</f>
        <v>16562424.504435806</v>
      </c>
      <c r="D24" s="254">
        <f>SUM('C) Estimación Costos Directos'!$H$89+'C) Estimación Costos Directos'!$H$91)*D28</f>
        <v>17236408.593976643</v>
      </c>
      <c r="E24" s="254">
        <f>SUM('C) Estimación Costos Directos'!$H$89+'C) Estimación Costos Directos'!$H$91)*E28</f>
        <v>14998007.378352946</v>
      </c>
      <c r="F24" s="254">
        <f>SUM('C) Estimación Costos Directos'!$H$89+'C) Estimación Costos Directos'!$H$91)*F28</f>
        <v>11851613.261277685</v>
      </c>
      <c r="G24" s="254">
        <f>SUM('C) Estimación Costos Directos'!$H$89+'C) Estimación Costos Directos'!$H$91)*G28</f>
        <v>15044049.207444776</v>
      </c>
      <c r="H24" s="254">
        <f>SUM('C) Estimación Costos Directos'!$H$89+'C) Estimación Costos Directos'!$H$91)*H28</f>
        <v>9068484.9659674987</v>
      </c>
      <c r="I24" s="254">
        <f>SUM('C) Estimación Costos Directos'!$H$89+'C) Estimación Costos Directos'!$H$91)*I28</f>
        <v>10474083.490792204</v>
      </c>
      <c r="J24" s="254">
        <f>SUM('C) Estimación Costos Directos'!$H$89+'C) Estimación Costos Directos'!$H$91)*J28</f>
        <v>9351861.4801805448</v>
      </c>
      <c r="K24" s="254">
        <f>SUM('C) Estimación Costos Directos'!$H$89+'C) Estimación Costos Directos'!$H$91)*K28</f>
        <v>11761824.005117329</v>
      </c>
      <c r="L24" s="254">
        <f>SUM('C) Estimación Costos Directos'!$H$89+'C) Estimación Costos Directos'!$H$91)*L28</f>
        <v>9073622.127437409</v>
      </c>
      <c r="M24" s="254">
        <f>SUM('C) Estimación Costos Directos'!$H$89+'C) Estimación Costos Directos'!$H$91)*M28</f>
        <v>7201806.3931074264</v>
      </c>
      <c r="N24" s="254">
        <f>SUM('C) Estimación Costos Directos'!$H$89+'C) Estimación Costos Directos'!$H$91)*N28</f>
        <v>24376315.841909733</v>
      </c>
      <c r="O24" s="438">
        <f t="shared" si="3"/>
        <v>157000501.25</v>
      </c>
      <c r="P24" s="316">
        <f>IF(Q24=12,C24+D24+E24+F24+G24+H24+I24+J24+K24+L24+M24+N24,IF(Q24=11,C24+D24+E24+F24+G24+H24+I24+J24+K24+L24+M24,IF(Q24=10,C24+D24+E24+F24+G24+H24+I24+J24+K24+L24,IF(Q24=9,C24+D24+E24+F24+G24+H24+I24+J24+K24,IF(Q24=8,C24+D24+E24+F24+G24+H24+I24+J24,IF(Q24=7,C24+D24+E24+F24+G24+H24+I24,IF(Q24=6,C24+D24+E24+F24+G24+H24,IF(Q24=5,C24+D24+E24+F24+G24,0))))))))</f>
        <v>157000501.25</v>
      </c>
      <c r="Q24" s="319">
        <f>COUNTA(#REF!,#REF!,#REF!,#REF!,#REF!,#REF!,#REF!,#REF!,#REF!,#REF!,#REF!,#REF!)</f>
        <v>12</v>
      </c>
    </row>
    <row r="25" spans="2:18" ht="15" thickBot="1" x14ac:dyDescent="0.4">
      <c r="B25" s="433" t="s">
        <v>310</v>
      </c>
      <c r="C25" s="434">
        <f>'C) Estimación Costos Directos'!$H$111*C29</f>
        <v>8271430.0408178326</v>
      </c>
      <c r="D25" s="434">
        <f>'C) Estimación Costos Directos'!$H$111*D29</f>
        <v>8608024.0125378706</v>
      </c>
      <c r="E25" s="434">
        <f>'C) Estimación Costos Directos'!$H$111*E29</f>
        <v>7490145.4644210599</v>
      </c>
      <c r="F25" s="434">
        <f>'C) Estimación Costos Directos'!$H$111*F29</f>
        <v>5918806.7504991535</v>
      </c>
      <c r="G25" s="434">
        <f>'C) Estimación Costos Directos'!$H$111*G29</f>
        <v>7513139.1854298627</v>
      </c>
      <c r="H25" s="434">
        <f>'C) Estimación Costos Directos'!$H$111*H29</f>
        <v>4528886.3929383755</v>
      </c>
      <c r="I25" s="434">
        <f>'C) Estimación Costos Directos'!$H$111*I29</f>
        <v>5230855.47122462</v>
      </c>
      <c r="J25" s="434">
        <f>'C) Estimación Costos Directos'!$H$111*J29</f>
        <v>4670407.2802877054</v>
      </c>
      <c r="K25" s="434">
        <f>'C) Estimación Costos Directos'!$H$111*K29</f>
        <v>5873965.1543579279</v>
      </c>
      <c r="L25" s="434">
        <f>'C) Estimación Costos Directos'!$H$111*L29</f>
        <v>4531451.9395282101</v>
      </c>
      <c r="M25" s="434">
        <f>'C) Estimación Costos Directos'!$H$111*M29</f>
        <v>3596649.6168570397</v>
      </c>
      <c r="N25" s="434">
        <f>'C) Estimación Costos Directos'!$H$111*N29</f>
        <v>12173760.616100339</v>
      </c>
      <c r="O25" s="440">
        <f t="shared" si="3"/>
        <v>78407521.924999997</v>
      </c>
      <c r="P25" s="316">
        <f>IF(Q25=12,C25+D25+E25+F25+G25+H25+I25+J25+K25+L25+M25+N25,IF(Q25=11,C25+D25+E25+F25+G25+H25+I25+J25+K25+L25+M25,IF(Q25=10,C25+D25+E25+F25+G25+H25+I25+J25+K25+L25,IF(Q25=9,C25+D25+E25+F25+G25+H25+I25+J25+K25,IF(Q25=8,C25+D25+E25+F25+G25+H25+I25+J25,IF(Q25=7,C25+D25+E25+F25+G25+H25+I25,IF(Q25=6,C25+D25+E25+F25+G25+H25,IF(Q25=5,C25+D25+E25+F25+G25,0))))))))</f>
        <v>78407521.924999997</v>
      </c>
      <c r="Q25" s="319">
        <f>COUNTA(#REF!,#REF!,#REF!,#REF!,#REF!,#REF!,#REF!,#REF!,#REF!,#REF!,#REF!,#REF!)</f>
        <v>12</v>
      </c>
    </row>
    <row r="26" spans="2:18" ht="15" thickBot="1" x14ac:dyDescent="0.4">
      <c r="B26" s="946" t="s">
        <v>253</v>
      </c>
      <c r="C26" s="947">
        <f>C20-(C21+C22+C23+C24+C25)</f>
        <v>44096100.700769089</v>
      </c>
      <c r="D26" s="947">
        <f t="shared" ref="D26:M26" si="4">D20-(D21+D22+D23+D24+D25)</f>
        <v>63476998.667295307</v>
      </c>
      <c r="E26" s="947">
        <f t="shared" si="4"/>
        <v>9019682.2711813375</v>
      </c>
      <c r="F26" s="947">
        <f t="shared" si="4"/>
        <v>25616978.52524934</v>
      </c>
      <c r="G26" s="947">
        <f t="shared" si="4"/>
        <v>-4004909.3677470088</v>
      </c>
      <c r="H26" s="947">
        <f t="shared" si="4"/>
        <v>7772106.5166661441</v>
      </c>
      <c r="I26" s="947">
        <f t="shared" si="4"/>
        <v>58449815.820704781</v>
      </c>
      <c r="J26" s="947">
        <f t="shared" si="4"/>
        <v>30114924.215843696</v>
      </c>
      <c r="K26" s="947">
        <f t="shared" si="4"/>
        <v>25833044.616374753</v>
      </c>
      <c r="L26" s="947">
        <f t="shared" si="4"/>
        <v>7080219.1334469989</v>
      </c>
      <c r="M26" s="947">
        <f t="shared" si="4"/>
        <v>9841761.4575918764</v>
      </c>
      <c r="N26" s="948">
        <f>N20-(N21+N22+N23+N24+N25)</f>
        <v>-33653485.465501353</v>
      </c>
      <c r="O26" s="949">
        <f t="shared" si="3"/>
        <v>243643237.09187496</v>
      </c>
      <c r="P26" s="950"/>
      <c r="Q26" s="318"/>
      <c r="R26" s="951"/>
    </row>
    <row r="27" spans="2:18" x14ac:dyDescent="0.35">
      <c r="B27" s="952" t="s">
        <v>254</v>
      </c>
      <c r="C27" s="943">
        <v>0.13373458991456222</v>
      </c>
      <c r="D27" s="943">
        <v>0.15724471386166058</v>
      </c>
      <c r="E27" s="943">
        <v>7.636190605407106E-2</v>
      </c>
      <c r="F27" s="943">
        <v>8.3949267700105176E-2</v>
      </c>
      <c r="G27" s="943">
        <v>4.920425386624401E-2</v>
      </c>
      <c r="H27" s="943">
        <v>5.3145592380219431E-2</v>
      </c>
      <c r="I27" s="943">
        <v>0.12699364354358991</v>
      </c>
      <c r="J27" s="943">
        <v>8.4998250699887187E-2</v>
      </c>
      <c r="K27" s="943">
        <v>8.6382571289402188E-2</v>
      </c>
      <c r="L27" s="943">
        <v>5.218839924120755E-2</v>
      </c>
      <c r="M27" s="943">
        <v>5.2125337053771238E-2</v>
      </c>
      <c r="N27" s="943">
        <v>4.3671474395279443E-2</v>
      </c>
      <c r="O27" s="955">
        <f>SUM(C27:N27)</f>
        <v>1</v>
      </c>
    </row>
    <row r="28" spans="2:18" x14ac:dyDescent="0.35">
      <c r="B28" s="953" t="s">
        <v>334</v>
      </c>
      <c r="C28" s="945">
        <v>0.10549281290549896</v>
      </c>
      <c r="D28" s="945">
        <v>0.10978569148980116</v>
      </c>
      <c r="E28" s="945">
        <v>9.5528404425096997E-2</v>
      </c>
      <c r="F28" s="945">
        <v>7.5487741548071557E-2</v>
      </c>
      <c r="G28" s="945">
        <v>9.5821663546725624E-2</v>
      </c>
      <c r="H28" s="945">
        <v>5.7760866326963388E-2</v>
      </c>
      <c r="I28" s="945">
        <v>6.6713694589508224E-2</v>
      </c>
      <c r="J28" s="945">
        <v>5.9565806514777261E-2</v>
      </c>
      <c r="K28" s="945">
        <v>7.4915837283782746E-2</v>
      </c>
      <c r="L28" s="945">
        <v>5.7793586996190617E-2</v>
      </c>
      <c r="M28" s="945">
        <v>4.5871231848104856E-2</v>
      </c>
      <c r="N28" s="945">
        <v>0.1552626625254786</v>
      </c>
      <c r="O28" s="955">
        <f t="shared" ref="O28:O29" si="5">SUM(C28:N28)</f>
        <v>1</v>
      </c>
    </row>
    <row r="29" spans="2:18" ht="15" thickBot="1" x14ac:dyDescent="0.4">
      <c r="B29" s="953" t="s">
        <v>311</v>
      </c>
      <c r="C29" s="945">
        <v>0.10549281290549896</v>
      </c>
      <c r="D29" s="945">
        <v>0.10978569148980116</v>
      </c>
      <c r="E29" s="945">
        <v>9.5528404425096997E-2</v>
      </c>
      <c r="F29" s="945">
        <v>7.5487741548071557E-2</v>
      </c>
      <c r="G29" s="945">
        <v>9.5821663546725624E-2</v>
      </c>
      <c r="H29" s="945">
        <v>5.7760866326963388E-2</v>
      </c>
      <c r="I29" s="945">
        <v>6.6713694589508224E-2</v>
      </c>
      <c r="J29" s="945">
        <v>5.9565806514777261E-2</v>
      </c>
      <c r="K29" s="945">
        <v>7.4915837283782746E-2</v>
      </c>
      <c r="L29" s="945">
        <v>5.7793586996190617E-2</v>
      </c>
      <c r="M29" s="945">
        <v>4.5871231848104856E-2</v>
      </c>
      <c r="N29" s="945">
        <v>0.1552626625254786</v>
      </c>
      <c r="O29" s="955">
        <f t="shared" si="5"/>
        <v>1</v>
      </c>
    </row>
    <row r="30" spans="2:18" ht="29" x14ac:dyDescent="0.35">
      <c r="B30" s="427" t="s">
        <v>257</v>
      </c>
      <c r="C30" s="428" t="s">
        <v>235</v>
      </c>
      <c r="D30" s="428" t="s">
        <v>236</v>
      </c>
      <c r="E30" s="428" t="s">
        <v>237</v>
      </c>
      <c r="F30" s="428" t="s">
        <v>238</v>
      </c>
      <c r="G30" s="428" t="s">
        <v>239</v>
      </c>
      <c r="H30" s="428" t="s">
        <v>240</v>
      </c>
      <c r="I30" s="428" t="s">
        <v>241</v>
      </c>
      <c r="J30" s="429" t="s">
        <v>242</v>
      </c>
      <c r="K30" s="428" t="s">
        <v>243</v>
      </c>
      <c r="L30" s="428" t="s">
        <v>244</v>
      </c>
      <c r="M30" s="428" t="s">
        <v>245</v>
      </c>
      <c r="N30" s="428" t="s">
        <v>246</v>
      </c>
      <c r="O30" s="430" t="s">
        <v>331</v>
      </c>
      <c r="P30" s="316"/>
      <c r="Q30" s="318" t="s">
        <v>332</v>
      </c>
    </row>
    <row r="31" spans="2:18" x14ac:dyDescent="0.35">
      <c r="B31" s="431" t="s">
        <v>248</v>
      </c>
      <c r="C31" s="254">
        <f>'A) Resumen Ingresos y Egresos'!$D$11*C38</f>
        <v>10103339.302137231</v>
      </c>
      <c r="D31" s="254">
        <f>'A) Resumen Ingresos y Egresos'!$D$11*D38</f>
        <v>8665217.1841574498</v>
      </c>
      <c r="E31" s="254">
        <f>'A) Resumen Ingresos y Egresos'!$D$11*E38</f>
        <v>4000857.3291933369</v>
      </c>
      <c r="F31" s="254">
        <f>'A) Resumen Ingresos y Egresos'!$D$11*F38</f>
        <v>4489937.1557168756</v>
      </c>
      <c r="G31" s="254">
        <f>'A) Resumen Ingresos y Egresos'!$D$11*G38</f>
        <v>3390133.4470957522</v>
      </c>
      <c r="H31" s="254">
        <f>'A) Resumen Ingresos y Egresos'!$D$11*H38</f>
        <v>3525688.0610690825</v>
      </c>
      <c r="I31" s="254">
        <f>'A) Resumen Ingresos y Egresos'!$D$11*I38</f>
        <v>4947717.4851307161</v>
      </c>
      <c r="J31" s="254">
        <f>'A) Resumen Ingresos y Egresos'!$D$11*J38</f>
        <v>4715945.9534284174</v>
      </c>
      <c r="K31" s="254">
        <f>'A) Resumen Ingresos y Egresos'!$D$11*K38</f>
        <v>6707031.285562437</v>
      </c>
      <c r="L31" s="254">
        <f>'A) Resumen Ingresos y Egresos'!$D$11*L38</f>
        <v>5328497.9110387517</v>
      </c>
      <c r="M31" s="254">
        <f>'A) Resumen Ingresos y Egresos'!$D$11*M38</f>
        <v>989107.3662068944</v>
      </c>
      <c r="N31" s="254">
        <f>'A) Resumen Ingresos y Egresos'!$D$11*N38</f>
        <v>4448162.5192630542</v>
      </c>
      <c r="O31" s="438">
        <f>SUM(C31:N31)</f>
        <v>61311634.999999993</v>
      </c>
      <c r="P31" s="316">
        <f>IF(Q31=12,C31+D31+E31+F31+G31+H31+I31+J31+K31+L31+M31+N31,IF(Q31=11,C31+D31+E31+F31+G31+H31+I31+J31+K31+L31+M31,IF(Q31=10,C31+D31+E31+F31+G31+H31+I31+J31+K31+L31,IF(Q31=9,C31+D31+E31+F31+G31+H31+I31+J31+K31,IF(Q31=8,C31+D31+E31+F31+G31+H31+I31+J31,IF(Q31=7,C31+D31+E31+F31+G31+H31+I31,IF(Q31=6,C31+D31+E31+F31+G31+H31,IF(Q31=5,C31+D31+E31+F31+G31,0))))))))</f>
        <v>61311634.999999993</v>
      </c>
      <c r="Q31" s="319">
        <f>COUNTA(#REF!,#REF!,#REF!,#REF!,#REF!,#REF!,#REF!,#REF!,#REF!,#REF!,#REF!,#REF!)</f>
        <v>12</v>
      </c>
    </row>
    <row r="32" spans="2:18" x14ac:dyDescent="0.35">
      <c r="B32" s="431" t="s">
        <v>249</v>
      </c>
      <c r="C32" s="254">
        <f>(SUM('F) Remuneraciones'!$L$70:$L$80)-SUM('F) Remuneraciones'!$I$70:$J$80))/12</f>
        <v>716694.81010416662</v>
      </c>
      <c r="D32" s="254">
        <f>(SUM('F) Remuneraciones'!$L$70:$L$80)-SUM('F) Remuneraciones'!$I$70:$J$80))/12</f>
        <v>716694.81010416662</v>
      </c>
      <c r="E32" s="254">
        <f>(SUM('F) Remuneraciones'!$L$70:$L$80)-SUM('F) Remuneraciones'!$I$70:$J$80))/12</f>
        <v>716694.81010416662</v>
      </c>
      <c r="F32" s="254">
        <f>(SUM('F) Remuneraciones'!$L$70:$L$80)-SUM('F) Remuneraciones'!$I$70:$J$80))/12</f>
        <v>716694.81010416662</v>
      </c>
      <c r="G32" s="254">
        <f>(SUM('F) Remuneraciones'!$L$70:$L$80)-SUM('F) Remuneraciones'!$I$70:$J$80))/12</f>
        <v>716694.81010416662</v>
      </c>
      <c r="H32" s="254">
        <f>(SUM('F) Remuneraciones'!$L$70:$L$80)-SUM('F) Remuneraciones'!$I$70:$J$80))/12</f>
        <v>716694.81010416662</v>
      </c>
      <c r="I32" s="254">
        <f>(SUM('F) Remuneraciones'!$L$70:$L$80)-SUM('F) Remuneraciones'!$I$70:$J$80))/12</f>
        <v>716694.81010416662</v>
      </c>
      <c r="J32" s="254">
        <f>(SUM('F) Remuneraciones'!$L$70:$L$80)-SUM('F) Remuneraciones'!$I$70:$J$80))/12</f>
        <v>716694.81010416662</v>
      </c>
      <c r="K32" s="254">
        <f>(SUM('F) Remuneraciones'!$L$70:$L$80)-SUM('F) Remuneraciones'!$I$70:$J$80))/12</f>
        <v>716694.81010416662</v>
      </c>
      <c r="L32" s="254">
        <f>(SUM('F) Remuneraciones'!$L$70:$L$80)-SUM('F) Remuneraciones'!$I$70:$J$80))/12</f>
        <v>716694.81010416662</v>
      </c>
      <c r="M32" s="254">
        <f>(SUM('F) Remuneraciones'!$L$70:$L$80)-SUM('F) Remuneraciones'!$I$70:$J$80))/12</f>
        <v>716694.81010416662</v>
      </c>
      <c r="N32" s="254">
        <f>(SUM('F) Remuneraciones'!$L$70:$L$80)-SUM('F) Remuneraciones'!$I$70:$J$80))/12</f>
        <v>716694.81010416662</v>
      </c>
      <c r="O32" s="438">
        <f t="shared" ref="O32:O37" si="6">SUM(C32:N32)</f>
        <v>8600337.7212500013</v>
      </c>
      <c r="P32" s="422">
        <f>IF(Q32=12,C32+D32+E32+F32+G32+H32+I32+J32+K32+L32+M32+N32,IF(Q32=11,C32+D32+E32+F32+G32+H32+I32+J32+K32+L32+M32,IF(Q32=10,C32+D32+E32+F32+G32+H32+I32+J32+K32+L32,IF(Q32=9,C32+D32+E32+F32+G32+H32+I32+J32+K32,IF(Q32=8,C32+D32+E32+F32+G32+H32+I32+J32,IF(Q32=7,C32+D32+E32+F32+G32+H32+I32,IF(Q32=6,C32+D32+E32+F32+G32+H32,IF(Q32=5,C32+D32+E32+F32+G32,0))))))))</f>
        <v>8600337.7212500013</v>
      </c>
      <c r="Q32" s="1499">
        <f>COUNTA(#REF!,#REF!,#REF!,#REF!,#REF!,#REF!,#REF!,#REF!,#REF!,#REF!,#REF!,#REF!)</f>
        <v>12</v>
      </c>
    </row>
    <row r="33" spans="2:18" x14ac:dyDescent="0.35">
      <c r="B33" s="431" t="s">
        <v>250</v>
      </c>
      <c r="C33" s="254">
        <f>SUM('F) Remuneraciones'!H81:H91)*(1+'F) Remuneraciones'!M7)/4</f>
        <v>0</v>
      </c>
      <c r="D33" s="254">
        <f>SUM('F) Remuneraciones'!I81:I91)*(1+'F) Remuneraciones'!N7)/4</f>
        <v>0</v>
      </c>
      <c r="E33" s="254">
        <f>SUM('F) Remuneraciones'!J81:J91)*(1+'F) Remuneraciones'!O7)/4</f>
        <v>0</v>
      </c>
      <c r="F33" s="254">
        <v>0</v>
      </c>
      <c r="G33" s="254">
        <v>0</v>
      </c>
      <c r="H33" s="254">
        <v>0</v>
      </c>
      <c r="I33" s="254">
        <v>0</v>
      </c>
      <c r="J33" s="254">
        <v>0</v>
      </c>
      <c r="K33" s="254">
        <v>0</v>
      </c>
      <c r="L33" s="254">
        <v>0</v>
      </c>
      <c r="M33" s="254">
        <v>0</v>
      </c>
      <c r="N33" s="254">
        <f>SUM('F) Remuneraciones'!S81:S91)*(1+'F) Remuneraciones'!X7)/4</f>
        <v>0</v>
      </c>
      <c r="O33" s="438">
        <f t="shared" si="6"/>
        <v>0</v>
      </c>
      <c r="P33" s="422">
        <f>IF(Q32=12,C33+D33+E33+F33+G33+H33+I33+J33+K33+L33+M33+N33,IF(Q32=11,C33+D33+E33+F33+G33+H33+I33+J33+K33+L33+M33,IF(Q32=10,C33+D33+E33+F33+G33+H33+I33+J33+K33+L33,IF(Q32=9,C33+D33+E33+F33+G33+H33+I33+J33+K33,IF(Q32=8,C33+D33+E33+F33+G33+H33+I33+J33,IF(Q32=7,C33+D33+E33+F33+G33+H33+I33,IF(Q32=6,C33+D33+E33+F33+G33+H33,IF(Q32=5,C33+D33+E33+F33+G33,0))))))))</f>
        <v>0</v>
      </c>
      <c r="Q33" s="1499"/>
      <c r="R33" s="874"/>
    </row>
    <row r="34" spans="2:18" x14ac:dyDescent="0.35">
      <c r="B34" s="431" t="s">
        <v>251</v>
      </c>
      <c r="C34" s="254">
        <f>SUM('F) Remuneraciones'!I70:I80)/2</f>
        <v>193238</v>
      </c>
      <c r="D34" s="254">
        <v>0</v>
      </c>
      <c r="E34" s="254">
        <v>0</v>
      </c>
      <c r="F34" s="254">
        <v>0</v>
      </c>
      <c r="G34" s="254">
        <v>0</v>
      </c>
      <c r="H34" s="254">
        <v>0</v>
      </c>
      <c r="I34" s="254">
        <v>0</v>
      </c>
      <c r="J34" s="254">
        <v>0</v>
      </c>
      <c r="K34" s="254">
        <f>SUM('F) Remuneraciones'!J70:J80)/2</f>
        <v>87236</v>
      </c>
      <c r="L34" s="254">
        <v>0</v>
      </c>
      <c r="M34" s="254">
        <v>0</v>
      </c>
      <c r="N34" s="254">
        <f>+C34+K34</f>
        <v>280474</v>
      </c>
      <c r="O34" s="438">
        <f t="shared" si="6"/>
        <v>560948</v>
      </c>
      <c r="P34" s="316">
        <f>IF(Q34=12,C34+D34+E34+F34+G34+H34+I34+J34+K34+L34+M34+N34,IF(Q34=11,C34+D34+E34+F34+G34+H34+I34+J34+K34+L34+M34,IF(Q34=10,C34+D34+E34+F34+G34+H34+I34+J34+K34+L34,IF(Q34=9,C34+D34+E34+F34+G34+H34+I34+J34+K34,IF(Q34=8,C34+D34+E34+F34+G34+H34+I34+J34,IF(Q34=7,C34+D34+E34+F34+G34+H34+I34,IF(Q34=6,C34+D34+E34+F34+G34+H34,IF(Q34=5,C34+D34+E34+F34+G34,0))))))))</f>
        <v>560948</v>
      </c>
      <c r="Q34" s="319">
        <f>COUNTA(#REF!,#REF!,#REF!,#REF!,#REF!,#REF!,#REF!,#REF!,#REF!,#REF!,#REF!,#REF!)</f>
        <v>12</v>
      </c>
      <c r="R34" s="875"/>
    </row>
    <row r="35" spans="2:18" x14ac:dyDescent="0.35">
      <c r="B35" s="431" t="s">
        <v>252</v>
      </c>
      <c r="C35" s="254">
        <f>SUM('C) Estimación Costos Directos'!$H$161+'C) Estimación Costos Directos'!$H$163)*C39</f>
        <v>1116522.9663653676</v>
      </c>
      <c r="D35" s="254">
        <f>SUM('C) Estimación Costos Directos'!$H$161+'C) Estimación Costos Directos'!$H$163)*D39</f>
        <v>744348.64424357843</v>
      </c>
      <c r="E35" s="254">
        <f>SUM('C) Estimación Costos Directos'!$H$161+'C) Estimación Costos Directos'!$H$163)*E39</f>
        <v>2791307.4159134193</v>
      </c>
      <c r="F35" s="254">
        <f>SUM('C) Estimación Costos Directos'!$H$161+'C) Estimación Costos Directos'!$H$163)*F39</f>
        <v>1674784.4495480515</v>
      </c>
      <c r="G35" s="254">
        <f>SUM('C) Estimación Costos Directos'!$H$161+'C) Estimación Costos Directos'!$H$163)*G39</f>
        <v>1302610.1274262625</v>
      </c>
      <c r="H35" s="254">
        <f>SUM('C) Estimación Costos Directos'!$H$161+'C) Estimación Costos Directos'!$H$163)*H39</f>
        <v>1488697.2884871569</v>
      </c>
      <c r="I35" s="254">
        <f>SUM('C) Estimación Costos Directos'!$H$161+'C) Estimación Costos Directos'!$H$163)*I39</f>
        <v>2233045.9327307353</v>
      </c>
      <c r="J35" s="254">
        <f>SUM('C) Estimación Costos Directos'!$H$161+'C) Estimación Costos Directos'!$H$163)*J39</f>
        <v>558261.48318268382</v>
      </c>
      <c r="K35" s="254">
        <f>SUM('C) Estimación Costos Directos'!$H$161+'C) Estimación Costos Directos'!$H$163)*K39</f>
        <v>372174.32212178921</v>
      </c>
      <c r="L35" s="254">
        <f>SUM('C) Estimación Costos Directos'!$H$161+'C) Estimación Costos Directos'!$H$163)*L39</f>
        <v>558261.48318268382</v>
      </c>
      <c r="M35" s="254">
        <f>SUM('C) Estimación Costos Directos'!$H$161+'C) Estimación Costos Directos'!$H$163)*M39</f>
        <v>1116522.9663653676</v>
      </c>
      <c r="N35" s="254">
        <f>SUM('C) Estimación Costos Directos'!$H$161+'C) Estimación Costos Directos'!$H$163)*N39</f>
        <v>4652179.0265223654</v>
      </c>
      <c r="O35" s="438">
        <f>SUM(C35:N35)</f>
        <v>18608716.106089462</v>
      </c>
      <c r="P35" s="316">
        <f>IF(Q35=12,C35+D35+E35+F35+G35+H35+I35+J35+K35+L35+M35+N35,IF(Q35=11,C35+D35+E35+F35+G35+H35+I35+J35+K35+L35+M35,IF(Q35=10,C35+D35+E35+F35+G35+H35+I35+J35+K35+L35,IF(Q35=9,C35+D35+E35+F35+G35+H35+I35+J35+K35,IF(Q35=8,C35+D35+E35+F35+G35+H35+I35+J35,IF(Q35=7,C35+D35+E35+F35+G35+H35+I35,IF(Q35=6,C35+D35+E35+F35+G35+H35,IF(Q35=5,C35+D35+E35+F35+G35,0))))))))</f>
        <v>18608716.106089462</v>
      </c>
      <c r="Q35" s="319">
        <f>COUNTA(#REF!,#REF!,#REF!,#REF!,#REF!,#REF!,#REF!,#REF!,#REF!,#REF!,#REF!,#REF!)</f>
        <v>12</v>
      </c>
    </row>
    <row r="36" spans="2:18" ht="15" thickBot="1" x14ac:dyDescent="0.4">
      <c r="B36" s="439" t="s">
        <v>310</v>
      </c>
      <c r="C36" s="317">
        <f>'C) Estimación Costos Directos'!$H$183*C40</f>
        <v>871830.4844999999</v>
      </c>
      <c r="D36" s="317">
        <f>'C) Estimación Costos Directos'!$H$183*D40</f>
        <v>581220.32299999997</v>
      </c>
      <c r="E36" s="317">
        <f>'C) Estimación Costos Directos'!$H$183*E40</f>
        <v>2179576.2112499997</v>
      </c>
      <c r="F36" s="317">
        <f>'C) Estimación Costos Directos'!$H$183*F40</f>
        <v>1307745.7267499999</v>
      </c>
      <c r="G36" s="317">
        <f>'C) Estimación Costos Directos'!$H$183*G40</f>
        <v>1017135.5652500001</v>
      </c>
      <c r="H36" s="317">
        <f>'C) Estimación Costos Directos'!$H$183*H40</f>
        <v>1162440.6459999999</v>
      </c>
      <c r="I36" s="317">
        <f>'C) Estimación Costos Directos'!$H$183*I40</f>
        <v>1743660.9689999998</v>
      </c>
      <c r="J36" s="317">
        <f>'C) Estimación Costos Directos'!$H$183*J40</f>
        <v>435915.24224999995</v>
      </c>
      <c r="K36" s="317">
        <f>'C) Estimación Costos Directos'!$H$183*K40</f>
        <v>290610.16149999999</v>
      </c>
      <c r="L36" s="317">
        <f>'C) Estimación Costos Directos'!$H$183*L40</f>
        <v>435915.24224999995</v>
      </c>
      <c r="M36" s="317">
        <f>'C) Estimación Costos Directos'!$H$183*M40</f>
        <v>871830.4844999999</v>
      </c>
      <c r="N36" s="317">
        <f>'C) Estimación Costos Directos'!$H$183*N40</f>
        <v>3632627.0187499998</v>
      </c>
      <c r="O36" s="440">
        <f t="shared" si="6"/>
        <v>14530508.074999999</v>
      </c>
      <c r="P36" s="316">
        <f>IF(Q36=12,C36+D36+E36+F36+G36+H36+I36+J36+K36+L36+M36+N36,IF(Q36=11,C36+D36+E36+F36+G36+H36+I36+J36+K36+L36+M36,IF(Q36=10,C36+D36+E36+F36+G36+H36+I36+J36+K36+L36,IF(Q36=9,C36+D36+E36+F36+G36+H36+I36+J36+K36,IF(Q36=8,C36+D36+E36+F36+G36+H36+I36+J36,IF(Q36=7,C36+D36+E36+F36+G36+H36+I36,IF(Q36=6,C36+D36+E36+F36+G36+H36,IF(Q36=5,C36+D36+E36+F36+G36,0))))))))</f>
        <v>14530508.074999999</v>
      </c>
      <c r="Q36" s="319">
        <f>COUNTA(#REF!,#REF!,#REF!,#REF!,#REF!,#REF!,#REF!,#REF!,#REF!,#REF!,#REF!,#REF!)</f>
        <v>12</v>
      </c>
    </row>
    <row r="37" spans="2:18" ht="15" thickBot="1" x14ac:dyDescent="0.4">
      <c r="B37" s="441" t="s">
        <v>253</v>
      </c>
      <c r="C37" s="442">
        <f>C31-(C32+C33+C34+C35+C36)</f>
        <v>7205053.0411676969</v>
      </c>
      <c r="D37" s="442">
        <f t="shared" ref="D37:N37" si="7">D31-(D32+D33+D34+D35+D36)</f>
        <v>6622953.4068097044</v>
      </c>
      <c r="E37" s="442">
        <f t="shared" si="7"/>
        <v>-1686721.1080742488</v>
      </c>
      <c r="F37" s="442">
        <f t="shared" si="7"/>
        <v>790712.1693146578</v>
      </c>
      <c r="G37" s="442">
        <f t="shared" si="7"/>
        <v>353692.94431532314</v>
      </c>
      <c r="H37" s="442">
        <f t="shared" si="7"/>
        <v>157855.31647775881</v>
      </c>
      <c r="I37" s="442">
        <f t="shared" si="7"/>
        <v>254315.77329581417</v>
      </c>
      <c r="J37" s="442">
        <f t="shared" si="7"/>
        <v>3005074.4178915671</v>
      </c>
      <c r="K37" s="442">
        <f t="shared" si="7"/>
        <v>5240315.9918364808</v>
      </c>
      <c r="L37" s="442">
        <f t="shared" si="7"/>
        <v>3617626.3755019014</v>
      </c>
      <c r="M37" s="442">
        <f t="shared" si="7"/>
        <v>-1715940.8947626397</v>
      </c>
      <c r="N37" s="453">
        <f t="shared" si="7"/>
        <v>-4833812.3361134762</v>
      </c>
      <c r="O37" s="262">
        <f t="shared" si="6"/>
        <v>19011125.097660545</v>
      </c>
      <c r="P37" s="316"/>
      <c r="Q37" s="319"/>
      <c r="R37" s="874"/>
    </row>
    <row r="38" spans="2:18" x14ac:dyDescent="0.35">
      <c r="B38" s="952" t="s">
        <v>254</v>
      </c>
      <c r="C38" s="943">
        <v>0.16478665594445868</v>
      </c>
      <c r="D38" s="943">
        <v>0.14133071453986587</v>
      </c>
      <c r="E38" s="943">
        <v>6.525445503440476E-2</v>
      </c>
      <c r="F38" s="943">
        <v>7.3231404703477165E-2</v>
      </c>
      <c r="G38" s="943">
        <v>5.5293476468141034E-2</v>
      </c>
      <c r="H38" s="943">
        <v>5.7504388213902344E-2</v>
      </c>
      <c r="I38" s="943">
        <v>8.069785588217826E-2</v>
      </c>
      <c r="J38" s="943">
        <v>7.6917634857208053E-2</v>
      </c>
      <c r="K38" s="943">
        <v>0.10939247151967872</v>
      </c>
      <c r="L38" s="943">
        <v>8.6908429550749247E-2</v>
      </c>
      <c r="M38" s="943">
        <v>1.6132457831321809E-2</v>
      </c>
      <c r="N38" s="943">
        <v>7.2550055454614029E-2</v>
      </c>
      <c r="O38" s="959">
        <f>SUM(C38:N38)</f>
        <v>0.99999999999999989</v>
      </c>
      <c r="R38" s="875"/>
    </row>
    <row r="39" spans="2:18" x14ac:dyDescent="0.35">
      <c r="B39" s="953" t="s">
        <v>334</v>
      </c>
      <c r="C39" s="945">
        <v>0.06</v>
      </c>
      <c r="D39" s="945">
        <v>0.04</v>
      </c>
      <c r="E39" s="945">
        <v>0.15</v>
      </c>
      <c r="F39" s="945">
        <v>0.09</v>
      </c>
      <c r="G39" s="945">
        <v>7.0000000000000007E-2</v>
      </c>
      <c r="H39" s="945">
        <v>0.08</v>
      </c>
      <c r="I39" s="945">
        <v>0.12</v>
      </c>
      <c r="J39" s="945">
        <v>0.03</v>
      </c>
      <c r="K39" s="945">
        <v>0.02</v>
      </c>
      <c r="L39" s="945">
        <v>0.03</v>
      </c>
      <c r="M39" s="945">
        <v>0.06</v>
      </c>
      <c r="N39" s="945">
        <v>0.25</v>
      </c>
      <c r="O39" s="959">
        <f t="shared" ref="O39:O40" si="8">SUM(C39:N39)</f>
        <v>1</v>
      </c>
    </row>
    <row r="40" spans="2:18" ht="15" thickBot="1" x14ac:dyDescent="0.4">
      <c r="B40" s="953" t="s">
        <v>311</v>
      </c>
      <c r="C40" s="945">
        <v>0.06</v>
      </c>
      <c r="D40" s="945">
        <v>0.04</v>
      </c>
      <c r="E40" s="945">
        <v>0.15</v>
      </c>
      <c r="F40" s="945">
        <v>0.09</v>
      </c>
      <c r="G40" s="945">
        <v>7.0000000000000007E-2</v>
      </c>
      <c r="H40" s="945">
        <v>0.08</v>
      </c>
      <c r="I40" s="945">
        <v>0.12</v>
      </c>
      <c r="J40" s="945">
        <v>0.03</v>
      </c>
      <c r="K40" s="945">
        <v>0.02</v>
      </c>
      <c r="L40" s="945">
        <v>0.03</v>
      </c>
      <c r="M40" s="945">
        <v>0.06</v>
      </c>
      <c r="N40" s="945">
        <v>0.25</v>
      </c>
      <c r="O40" s="959">
        <f t="shared" si="8"/>
        <v>1</v>
      </c>
      <c r="R40" s="875"/>
    </row>
    <row r="41" spans="2:18" ht="29" x14ac:dyDescent="0.35">
      <c r="B41" s="427" t="s">
        <v>258</v>
      </c>
      <c r="C41" s="428" t="s">
        <v>235</v>
      </c>
      <c r="D41" s="428" t="s">
        <v>236</v>
      </c>
      <c r="E41" s="428" t="s">
        <v>237</v>
      </c>
      <c r="F41" s="428" t="s">
        <v>238</v>
      </c>
      <c r="G41" s="428" t="s">
        <v>239</v>
      </c>
      <c r="H41" s="428" t="s">
        <v>240</v>
      </c>
      <c r="I41" s="428" t="s">
        <v>241</v>
      </c>
      <c r="J41" s="429" t="s">
        <v>242</v>
      </c>
      <c r="K41" s="428" t="s">
        <v>243</v>
      </c>
      <c r="L41" s="428" t="s">
        <v>244</v>
      </c>
      <c r="M41" s="428" t="s">
        <v>245</v>
      </c>
      <c r="N41" s="428" t="s">
        <v>246</v>
      </c>
      <c r="O41" s="430" t="s">
        <v>331</v>
      </c>
      <c r="P41" s="316"/>
      <c r="Q41" s="318" t="s">
        <v>332</v>
      </c>
    </row>
    <row r="42" spans="2:18" x14ac:dyDescent="0.35">
      <c r="B42" s="431" t="s">
        <v>248</v>
      </c>
      <c r="C42" s="254">
        <f>'A) Resumen Ingresos y Egresos'!$D$12*C49</f>
        <v>570024</v>
      </c>
      <c r="D42" s="254">
        <f>'A) Resumen Ingresos y Egresos'!$D$12*D49</f>
        <v>570024</v>
      </c>
      <c r="E42" s="254">
        <f>'A) Resumen Ingresos y Egresos'!$D$12*E49</f>
        <v>244296</v>
      </c>
      <c r="F42" s="254">
        <f>'A) Resumen Ingresos y Egresos'!$D$12*F49</f>
        <v>0</v>
      </c>
      <c r="G42" s="254">
        <f>'A) Resumen Ingresos y Egresos'!$D$12*G49</f>
        <v>0</v>
      </c>
      <c r="H42" s="254">
        <f>'A) Resumen Ingresos y Egresos'!$D$12*H49</f>
        <v>0</v>
      </c>
      <c r="I42" s="254">
        <f>'A) Resumen Ingresos y Egresos'!$D$12*I49</f>
        <v>0</v>
      </c>
      <c r="J42" s="254">
        <f>'A) Resumen Ingresos y Egresos'!$D$12*J49</f>
        <v>0</v>
      </c>
      <c r="K42" s="254">
        <f>'A) Resumen Ingresos y Egresos'!$D$12*K49</f>
        <v>0</v>
      </c>
      <c r="L42" s="254">
        <f>'A) Resumen Ingresos y Egresos'!$D$12*L49</f>
        <v>0</v>
      </c>
      <c r="M42" s="254">
        <f>'A) Resumen Ingresos y Egresos'!$D$12*M49</f>
        <v>0</v>
      </c>
      <c r="N42" s="254">
        <f>'A) Resumen Ingresos y Egresos'!$D$12*N49</f>
        <v>244296</v>
      </c>
      <c r="O42" s="438">
        <f>SUM(C42:N42)</f>
        <v>1628640</v>
      </c>
      <c r="P42" s="316">
        <f>IF(Q42=12,C42+D42+E42+F42+G42+H42+I42+J42+K42+L42+M42+N42,IF(Q42=11,C42+D42+E42+F42+G42+H42+I42+J42+K42+L42+M42,IF(Q42=10,C42+D42+E42+F42+G42+H42+I42+J42+K42+L42,IF(Q42=9,C42+D42+E42+F42+G42+H42+I42+J42+K42,IF(Q42=8,C42+D42+E42+F42+G42+H42+I42+J42,IF(Q42=7,C42+D42+E42+F42+G42+H42+I42,IF(Q42=6,C42+D42+E42+F42+G42+H42,IF(Q42=5,C42+D42+E42+F42+G42,0))))))))</f>
        <v>1628640</v>
      </c>
      <c r="Q42" s="319">
        <f>COUNTA(#REF!,#REF!,#REF!,#REF!,#REF!,#REF!,#REF!,#REF!,#REF!,#REF!,#REF!,#REF!)</f>
        <v>12</v>
      </c>
    </row>
    <row r="43" spans="2:18" x14ac:dyDescent="0.35">
      <c r="B43" s="431" t="s">
        <v>249</v>
      </c>
      <c r="C43" s="254">
        <f>(SUM('F) Remuneraciones'!$L$92:$L$102)-SUM('F) Remuneraciones'!$I$92:$J$102))/12</f>
        <v>0</v>
      </c>
      <c r="D43" s="254">
        <f>(SUM('F) Remuneraciones'!$L$92:$L$102)-SUM('F) Remuneraciones'!$I$92:$J$102))/12</f>
        <v>0</v>
      </c>
      <c r="E43" s="254">
        <f>(SUM('F) Remuneraciones'!$L$92:$L$102)-SUM('F) Remuneraciones'!$I$92:$J$102))/12</f>
        <v>0</v>
      </c>
      <c r="F43" s="254">
        <f>(SUM('F) Remuneraciones'!$L$92:$L$102)-SUM('F) Remuneraciones'!$I$92:$J$102))/12</f>
        <v>0</v>
      </c>
      <c r="G43" s="254">
        <f>(SUM('F) Remuneraciones'!$L$92:$L$102)-SUM('F) Remuneraciones'!$I$92:$J$102))/12</f>
        <v>0</v>
      </c>
      <c r="H43" s="254">
        <f>(SUM('F) Remuneraciones'!$L$92:$L$102)-SUM('F) Remuneraciones'!$I$92:$J$102))/12</f>
        <v>0</v>
      </c>
      <c r="I43" s="254">
        <f>(SUM('F) Remuneraciones'!$L$92:$L$102)-SUM('F) Remuneraciones'!$I$92:$J$102))/12</f>
        <v>0</v>
      </c>
      <c r="J43" s="254">
        <f>(SUM('F) Remuneraciones'!$L$92:$L$102)-SUM('F) Remuneraciones'!$I$92:$J$102))/12</f>
        <v>0</v>
      </c>
      <c r="K43" s="254">
        <f>(SUM('F) Remuneraciones'!$L$92:$L$102)-SUM('F) Remuneraciones'!$I$92:$J$102))/12</f>
        <v>0</v>
      </c>
      <c r="L43" s="254">
        <f>(SUM('F) Remuneraciones'!$L$92:$L$102)-SUM('F) Remuneraciones'!$I$92:$J$102))/12</f>
        <v>0</v>
      </c>
      <c r="M43" s="254">
        <f>(SUM('F) Remuneraciones'!$L$92:$L$102)-SUM('F) Remuneraciones'!$I$92:$J$102))/12</f>
        <v>0</v>
      </c>
      <c r="N43" s="254">
        <f>(SUM('F) Remuneraciones'!$L$92:$L$102)-SUM('F) Remuneraciones'!$I$92:$J$102))/12</f>
        <v>0</v>
      </c>
      <c r="O43" s="438">
        <f t="shared" ref="O43:O45" si="9">SUM(C43:N43)</f>
        <v>0</v>
      </c>
      <c r="P43" s="422">
        <f>IF(Q43=12,C43+D43+E43+F43+G43+H43+I43+J43+K43+L43+M43+N43,IF(Q43=11,C43+D43+E43+F43+G43+H43+I43+J43+K43+L43+M43,IF(Q43=10,C43+D43+E43+F43+G43+H43+I43+J43+K43+L43,IF(Q43=9,C43+D43+E43+F43+G43+H43+I43+J43+K43,IF(Q43=8,C43+D43+E43+F43+G43+H43+I43+J43,IF(Q43=7,C43+D43+E43+F43+G43+H43+I43,IF(Q43=6,C43+D43+E43+F43+G43+H43,IF(Q43=5,C43+D43+E43+F43+G43,0))))))))</f>
        <v>0</v>
      </c>
      <c r="Q43" s="1499">
        <f>COUNTA(#REF!,#REF!,#REF!,#REF!,#REF!,#REF!,#REF!,#REF!,#REF!,#REF!,#REF!,#REF!)</f>
        <v>12</v>
      </c>
    </row>
    <row r="44" spans="2:18" x14ac:dyDescent="0.35">
      <c r="B44" s="431" t="s">
        <v>250</v>
      </c>
      <c r="C44" s="254">
        <f>SUM('F) Remuneraciones'!$L$103:$L$113)/4</f>
        <v>3961203.125</v>
      </c>
      <c r="D44" s="254">
        <f>SUM('F) Remuneraciones'!$L$103:$L$113)/4</f>
        <v>3961203.125</v>
      </c>
      <c r="E44" s="254">
        <f>SUM('F) Remuneraciones'!$L$103:$L$113)/4</f>
        <v>3961203.125</v>
      </c>
      <c r="F44" s="254">
        <v>0</v>
      </c>
      <c r="G44" s="254">
        <v>0</v>
      </c>
      <c r="H44" s="254">
        <v>0</v>
      </c>
      <c r="I44" s="254">
        <v>0</v>
      </c>
      <c r="J44" s="254">
        <v>0</v>
      </c>
      <c r="K44" s="254">
        <v>0</v>
      </c>
      <c r="L44" s="254">
        <v>0</v>
      </c>
      <c r="M44" s="254">
        <v>0</v>
      </c>
      <c r="N44" s="254">
        <f>SUM('F) Remuneraciones'!$L$103:$L$113)/4</f>
        <v>3961203.125</v>
      </c>
      <c r="O44" s="438">
        <f t="shared" si="9"/>
        <v>15844812.5</v>
      </c>
      <c r="P44" s="422">
        <f>IF(Q43=12,C44+D44+E44+F44+G44+H44+I44+J44+K44+L44+M44+N44,IF(Q43=11,C44+D44+E44+F44+G44+H44+I44+J44+K44+L44+M44,IF(Q43=10,C44+D44+E44+F44+G44+H44+I44+J44+K44+L44,IF(Q43=9,C44+D44+E44+F44+G44+H44+I44+J44+K44,IF(Q43=8,C44+D44+E44+F44+G44+H44+I44+J44,IF(Q43=7,C44+D44+E44+F44+G44+H44+I44,IF(Q43=6,C44+D44+E44+F44+G44+H44,IF(Q43=5,C44+D44+E44+F44+G44,0))))))))</f>
        <v>15844812.5</v>
      </c>
      <c r="Q44" s="1499"/>
    </row>
    <row r="45" spans="2:18" x14ac:dyDescent="0.35">
      <c r="B45" s="431" t="s">
        <v>251</v>
      </c>
      <c r="C45" s="254">
        <f>SUM('F) Remuneraciones'!I92:I102)/2</f>
        <v>0</v>
      </c>
      <c r="D45" s="254">
        <v>0</v>
      </c>
      <c r="E45" s="254">
        <v>0</v>
      </c>
      <c r="F45" s="254">
        <v>0</v>
      </c>
      <c r="G45" s="254">
        <v>0</v>
      </c>
      <c r="H45" s="254">
        <v>0</v>
      </c>
      <c r="I45" s="254">
        <v>0</v>
      </c>
      <c r="J45" s="254">
        <v>0</v>
      </c>
      <c r="K45" s="254">
        <f>SUM('F) Remuneraciones'!J92:J102)/2</f>
        <v>0</v>
      </c>
      <c r="L45" s="254">
        <v>0</v>
      </c>
      <c r="M45" s="254">
        <v>0</v>
      </c>
      <c r="N45" s="254">
        <f>+C45+K45</f>
        <v>0</v>
      </c>
      <c r="O45" s="438">
        <f t="shared" si="9"/>
        <v>0</v>
      </c>
      <c r="P45" s="316">
        <f>IF(Q45=12,C45+D45+E45+F45+G45+H45+I45+J45+K45+L45+M45+N45,IF(Q45=11,C45+D45+E45+F45+G45+H45+I45+J45+K45+L45+M45,IF(Q45=10,C45+D45+E45+F45+G45+H45+I45+J45+K45+L45,IF(Q45=9,C45+D45+E45+F45+G45+H45+I45+J45+K45,IF(Q45=8,C45+D45+E45+F45+G45+H45+I45+J45,IF(Q45=7,C45+D45+E45+F45+G45+H45+I45,IF(Q45=6,C45+D45+E45+F45+G45+H45,IF(Q45=5,C45+D45+E45+F45+G45,0))))))))</f>
        <v>0</v>
      </c>
      <c r="Q45" s="319">
        <f>COUNTA(#REF!,#REF!,#REF!,#REF!,#REF!,#REF!,#REF!,#REF!,#REF!,#REF!,#REF!,#REF!)</f>
        <v>12</v>
      </c>
    </row>
    <row r="46" spans="2:18" x14ac:dyDescent="0.35">
      <c r="B46" s="431" t="s">
        <v>252</v>
      </c>
      <c r="C46" s="454">
        <f>(+'C) Estimación Costos Directos'!$H$227-'C) Estimación Costos Directos'!$H$229)*C50</f>
        <v>3689301.4164999989</v>
      </c>
      <c r="D46" s="454">
        <f>(+'C) Estimación Costos Directos'!$H$227-'C) Estimación Costos Directos'!$H$229)*D50</f>
        <v>3689301.4164999989</v>
      </c>
      <c r="E46" s="454">
        <f>(+'C) Estimación Costos Directos'!$H$227-'C) Estimación Costos Directos'!$H$229)*E50</f>
        <v>1581129.1784999997</v>
      </c>
      <c r="F46" s="454">
        <f>(+'C) Estimación Costos Directos'!$H$227-'C) Estimación Costos Directos'!$H$229)*F50</f>
        <v>0</v>
      </c>
      <c r="G46" s="454">
        <f>(+'C) Estimación Costos Directos'!$H$227-'C) Estimación Costos Directos'!$H$229)*G50</f>
        <v>0</v>
      </c>
      <c r="H46" s="454">
        <f>(+'C) Estimación Costos Directos'!$H$227-'C) Estimación Costos Directos'!$H$229)*H50</f>
        <v>0</v>
      </c>
      <c r="I46" s="454">
        <f>(+'C) Estimación Costos Directos'!$H$227-'C) Estimación Costos Directos'!$H$229)*I50</f>
        <v>0</v>
      </c>
      <c r="J46" s="454">
        <f>(+'C) Estimación Costos Directos'!$H$227-'C) Estimación Costos Directos'!$H$229)*J50</f>
        <v>0</v>
      </c>
      <c r="K46" s="454">
        <f>(+'C) Estimación Costos Directos'!$H$227-'C) Estimación Costos Directos'!$H$229)*K50</f>
        <v>0</v>
      </c>
      <c r="L46" s="454">
        <f>(+'C) Estimación Costos Directos'!$H$227-'C) Estimación Costos Directos'!$H$229)*L50</f>
        <v>0</v>
      </c>
      <c r="M46" s="454">
        <f>(+'C) Estimación Costos Directos'!$H$227-'C) Estimación Costos Directos'!$H$229)*M50</f>
        <v>0</v>
      </c>
      <c r="N46" s="454">
        <f>(+'C) Estimación Costos Directos'!$H$227-'C) Estimación Costos Directos'!$H$229)*N50</f>
        <v>1581129.1784999997</v>
      </c>
      <c r="O46" s="438">
        <f>SUM(C46:N46)</f>
        <v>10540861.189999998</v>
      </c>
      <c r="P46" s="316">
        <f>IF(Q46=12,C46+D46+E46+F46+G46+H46+I46+J46+K46+L46+M46+N46,IF(Q46=11,C46+D46+E46+F46+G46+H46+I46+J46+K46+L46+M46,IF(Q46=10,C46+D46+E46+F46+G46+H46+I46+J46+K46+L46,IF(Q46=9,C46+D46+E46+F46+G46+H46+I46+J46+K46,IF(Q46=8,C46+D46+E46+F46+G46+H46+I46+J46,IF(Q46=7,C46+D46+E46+F46+G46+H46+I46,IF(Q46=6,C46+D46+E46+F46+G46+H46,IF(Q46=5,C46+D46+E46+F46+G46,0))))))))</f>
        <v>10540861.189999998</v>
      </c>
      <c r="Q46" s="319">
        <f>COUNTA(#REF!,#REF!,#REF!,#REF!,#REF!,#REF!,#REF!,#REF!,#REF!,#REF!,#REF!,#REF!)</f>
        <v>12</v>
      </c>
    </row>
    <row r="47" spans="2:18" ht="15" thickBot="1" x14ac:dyDescent="0.4">
      <c r="B47" s="439" t="s">
        <v>310</v>
      </c>
      <c r="C47" s="317">
        <f>+'C) Estimación Costos Directos'!$H$255*C51</f>
        <v>1147569.5279999999</v>
      </c>
      <c r="D47" s="317">
        <f>+'C) Estimación Costos Directos'!$H$255*D51</f>
        <v>1147569.5279999999</v>
      </c>
      <c r="E47" s="317">
        <f>+'C) Estimación Costos Directos'!$H$255*E51</f>
        <v>491815.51199999999</v>
      </c>
      <c r="F47" s="317">
        <f>+'C) Estimación Costos Directos'!$H$255*F51</f>
        <v>0</v>
      </c>
      <c r="G47" s="317">
        <f>+'C) Estimación Costos Directos'!$H$255*G51</f>
        <v>0</v>
      </c>
      <c r="H47" s="317">
        <f>+'C) Estimación Costos Directos'!$H$255*H51</f>
        <v>0</v>
      </c>
      <c r="I47" s="317">
        <f>+'C) Estimación Costos Directos'!$H$255*I51</f>
        <v>0</v>
      </c>
      <c r="J47" s="317">
        <f>+'C) Estimación Costos Directos'!$H$255*J51</f>
        <v>0</v>
      </c>
      <c r="K47" s="317">
        <f>+'C) Estimación Costos Directos'!$H$255*K51</f>
        <v>0</v>
      </c>
      <c r="L47" s="317">
        <f>+'C) Estimación Costos Directos'!$H$255*L51</f>
        <v>0</v>
      </c>
      <c r="M47" s="317">
        <f>+'C) Estimación Costos Directos'!$H$255*M51</f>
        <v>0</v>
      </c>
      <c r="N47" s="317">
        <f>+'C) Estimación Costos Directos'!$H$255*N51</f>
        <v>491815.51199999999</v>
      </c>
      <c r="O47" s="440">
        <f>SUM(C47:N47)</f>
        <v>3278770.08</v>
      </c>
      <c r="P47" s="316">
        <f>IF(Q47=12,C47+D47+E47+F47+G47+H47+I47+J47+K47+L47+M47+N47,IF(Q47=11,C47+D47+E47+F47+G47+H47+I47+J47+K47+L47+M47,IF(Q47=10,C47+D47+E47+F47+G47+H47+I47+J47+K47+L47,IF(Q47=9,C47+D47+E47+F47+G47+H47+I47+J47+K47,IF(Q47=8,C47+D47+E47+F47+G47+H47+I47+J47,IF(Q47=7,C47+D47+E47+F47+G47+H47+I47,IF(Q47=6,C47+D47+E47+F47+G47+H47,IF(Q47=5,C47+D47+E47+F47+G47,0))))))))</f>
        <v>3278770.08</v>
      </c>
      <c r="Q47" s="319">
        <f>COUNTA(#REF!,#REF!,#REF!,#REF!,#REF!,#REF!,#REF!,#REF!,#REF!,#REF!,#REF!,#REF!)</f>
        <v>12</v>
      </c>
    </row>
    <row r="48" spans="2:18" s="445" customFormat="1" ht="15" thickBot="1" x14ac:dyDescent="0.4">
      <c r="B48" s="447" t="s">
        <v>253</v>
      </c>
      <c r="C48" s="442">
        <f>C42-(C43+C44+C45+C46+C47)</f>
        <v>-8228050.0694999993</v>
      </c>
      <c r="D48" s="442">
        <f t="shared" ref="D48:N48" si="10">D42-(D43+D44+D45+D46+D47)</f>
        <v>-8228050.0694999993</v>
      </c>
      <c r="E48" s="442">
        <f t="shared" si="10"/>
        <v>-5789851.8154999996</v>
      </c>
      <c r="F48" s="442">
        <f t="shared" si="10"/>
        <v>0</v>
      </c>
      <c r="G48" s="442">
        <f t="shared" si="10"/>
        <v>0</v>
      </c>
      <c r="H48" s="442">
        <f t="shared" si="10"/>
        <v>0</v>
      </c>
      <c r="I48" s="442">
        <f t="shared" si="10"/>
        <v>0</v>
      </c>
      <c r="J48" s="442">
        <f t="shared" si="10"/>
        <v>0</v>
      </c>
      <c r="K48" s="442">
        <f t="shared" si="10"/>
        <v>0</v>
      </c>
      <c r="L48" s="442">
        <f t="shared" si="10"/>
        <v>0</v>
      </c>
      <c r="M48" s="442">
        <f t="shared" si="10"/>
        <v>0</v>
      </c>
      <c r="N48" s="442">
        <f t="shared" si="10"/>
        <v>-5789851.8154999996</v>
      </c>
      <c r="O48" s="262">
        <f>SUM(C48:N48)</f>
        <v>-28035803.769999996</v>
      </c>
      <c r="P48" s="443"/>
      <c r="Q48" s="444"/>
      <c r="R48" s="876"/>
    </row>
    <row r="49" spans="2:18" x14ac:dyDescent="0.35">
      <c r="B49" s="952" t="s">
        <v>254</v>
      </c>
      <c r="C49" s="943">
        <v>0.35</v>
      </c>
      <c r="D49" s="943">
        <v>0.35</v>
      </c>
      <c r="E49" s="943">
        <v>0.15</v>
      </c>
      <c r="F49" s="943">
        <v>0</v>
      </c>
      <c r="G49" s="943">
        <v>0</v>
      </c>
      <c r="H49" s="943">
        <v>0</v>
      </c>
      <c r="I49" s="943">
        <v>0</v>
      </c>
      <c r="J49" s="943">
        <v>0</v>
      </c>
      <c r="K49" s="943">
        <v>0</v>
      </c>
      <c r="L49" s="943">
        <v>0</v>
      </c>
      <c r="M49" s="943">
        <v>0</v>
      </c>
      <c r="N49" s="943">
        <v>0.15</v>
      </c>
      <c r="O49" s="959">
        <f t="shared" ref="O49:O51" si="11">SUM(C49:N49)</f>
        <v>1</v>
      </c>
      <c r="R49" s="875"/>
    </row>
    <row r="50" spans="2:18" x14ac:dyDescent="0.35">
      <c r="B50" s="953" t="s">
        <v>334</v>
      </c>
      <c r="C50" s="943">
        <v>0.35</v>
      </c>
      <c r="D50" s="943">
        <v>0.35</v>
      </c>
      <c r="E50" s="943">
        <v>0.15</v>
      </c>
      <c r="F50" s="943">
        <v>0</v>
      </c>
      <c r="G50" s="943">
        <v>0</v>
      </c>
      <c r="H50" s="943">
        <v>0</v>
      </c>
      <c r="I50" s="943">
        <v>0</v>
      </c>
      <c r="J50" s="943">
        <v>0</v>
      </c>
      <c r="K50" s="943">
        <v>0</v>
      </c>
      <c r="L50" s="943">
        <v>0</v>
      </c>
      <c r="M50" s="943">
        <v>0</v>
      </c>
      <c r="N50" s="943">
        <v>0.15</v>
      </c>
      <c r="O50" s="959">
        <f t="shared" si="11"/>
        <v>1</v>
      </c>
    </row>
    <row r="51" spans="2:18" ht="15" thickBot="1" x14ac:dyDescent="0.4">
      <c r="B51" s="953" t="s">
        <v>311</v>
      </c>
      <c r="C51" s="943">
        <v>0.35</v>
      </c>
      <c r="D51" s="943">
        <v>0.35</v>
      </c>
      <c r="E51" s="943">
        <v>0.15</v>
      </c>
      <c r="F51" s="943">
        <v>0</v>
      </c>
      <c r="G51" s="943">
        <v>0</v>
      </c>
      <c r="H51" s="943">
        <v>0</v>
      </c>
      <c r="I51" s="943">
        <v>0</v>
      </c>
      <c r="J51" s="943">
        <v>0</v>
      </c>
      <c r="K51" s="943">
        <v>0</v>
      </c>
      <c r="L51" s="943">
        <v>0</v>
      </c>
      <c r="M51" s="943">
        <v>0</v>
      </c>
      <c r="N51" s="943">
        <v>0.15</v>
      </c>
      <c r="O51" s="959">
        <f t="shared" si="11"/>
        <v>1</v>
      </c>
    </row>
    <row r="52" spans="2:18" ht="29" x14ac:dyDescent="0.35">
      <c r="B52" s="427" t="s">
        <v>259</v>
      </c>
      <c r="C52" s="428" t="s">
        <v>235</v>
      </c>
      <c r="D52" s="428" t="s">
        <v>236</v>
      </c>
      <c r="E52" s="428" t="s">
        <v>237</v>
      </c>
      <c r="F52" s="428" t="s">
        <v>238</v>
      </c>
      <c r="G52" s="428" t="s">
        <v>239</v>
      </c>
      <c r="H52" s="428" t="s">
        <v>240</v>
      </c>
      <c r="I52" s="428" t="s">
        <v>241</v>
      </c>
      <c r="J52" s="429" t="s">
        <v>242</v>
      </c>
      <c r="K52" s="428" t="s">
        <v>243</v>
      </c>
      <c r="L52" s="428" t="s">
        <v>244</v>
      </c>
      <c r="M52" s="428" t="s">
        <v>245</v>
      </c>
      <c r="N52" s="428" t="s">
        <v>246</v>
      </c>
      <c r="O52" s="430" t="s">
        <v>331</v>
      </c>
      <c r="P52" s="316"/>
      <c r="Q52" s="318" t="s">
        <v>332</v>
      </c>
    </row>
    <row r="53" spans="2:18" x14ac:dyDescent="0.35">
      <c r="B53" s="431" t="s">
        <v>248</v>
      </c>
      <c r="C53" s="254">
        <f>'A) Resumen Ingresos y Egresos'!$D$13*C60</f>
        <v>0</v>
      </c>
      <c r="D53" s="254">
        <f>'A) Resumen Ingresos y Egresos'!$D$13*D60</f>
        <v>0</v>
      </c>
      <c r="E53" s="254">
        <f>'A) Resumen Ingresos y Egresos'!$D$13*E60</f>
        <v>0</v>
      </c>
      <c r="F53" s="254">
        <f>'A) Resumen Ingresos y Egresos'!$D$13*F60</f>
        <v>0</v>
      </c>
      <c r="G53" s="254">
        <f>'A) Resumen Ingresos y Egresos'!$D$13*G60</f>
        <v>0</v>
      </c>
      <c r="H53" s="254">
        <f>'A) Resumen Ingresos y Egresos'!$D$13*H60</f>
        <v>0</v>
      </c>
      <c r="I53" s="254">
        <f>'A) Resumen Ingresos y Egresos'!$D$13*I60</f>
        <v>0</v>
      </c>
      <c r="J53" s="254">
        <f>'A) Resumen Ingresos y Egresos'!$D$13*J60</f>
        <v>0</v>
      </c>
      <c r="K53" s="254">
        <f>'A) Resumen Ingresos y Egresos'!$D$13*K60</f>
        <v>0</v>
      </c>
      <c r="L53" s="254">
        <f>'A) Resumen Ingresos y Egresos'!$D$13*L60</f>
        <v>0</v>
      </c>
      <c r="M53" s="254">
        <f>'A) Resumen Ingresos y Egresos'!$D$13*M60</f>
        <v>0</v>
      </c>
      <c r="N53" s="254">
        <f>'A) Resumen Ingresos y Egresos'!$D$13*N60</f>
        <v>0</v>
      </c>
      <c r="O53" s="438">
        <f>SUM(C53:N53)</f>
        <v>0</v>
      </c>
      <c r="P53" s="316">
        <f>IF(Q53=12,C53+D53+E53+F53+G53+H53+I53+J53+K53+L53+M53+N53,IF(Q53=11,C53+D53+E53+F53+G53+H53+I53+J53+K53+L53+M53,IF(Q53=10,C53+D53+E53+F53+G53+H53+I53+J53+K53+L53,IF(Q53=9,C53+D53+E53+F53+G53+H53+I53+J53+K53,IF(Q53=8,C53+D53+E53+F53+G53+H53+I53+J53,IF(Q53=7,C53+D53+E53+F53+G53+H53+I53,IF(Q53=6,C53+D53+E53+F53+G53+H53,IF(Q53=5,C53+D53+E53+F53+G53,0))))))))</f>
        <v>0</v>
      </c>
      <c r="Q53" s="319">
        <f>COUNTA(#REF!,#REF!,#REF!,#REF!,#REF!,#REF!,#REF!,#REF!,#REF!,#REF!,#REF!,#REF!)</f>
        <v>12</v>
      </c>
    </row>
    <row r="54" spans="2:18" x14ac:dyDescent="0.35">
      <c r="B54" s="431" t="s">
        <v>249</v>
      </c>
      <c r="C54" s="254">
        <f>(SUM('F) Remuneraciones'!$L$114:$L$124)-SUM('F) Remuneraciones'!$I$114:$J$124))/12</f>
        <v>0</v>
      </c>
      <c r="D54" s="254">
        <f>(SUM('F) Remuneraciones'!$L$114:$L$124)-SUM('F) Remuneraciones'!$I$114:$J$124))/12</f>
        <v>0</v>
      </c>
      <c r="E54" s="254">
        <f>(SUM('F) Remuneraciones'!$L$114:$L$124)-SUM('F) Remuneraciones'!$I$114:$J$124))/12</f>
        <v>0</v>
      </c>
      <c r="F54" s="254">
        <f>(SUM('F) Remuneraciones'!$L$114:$L$124)-SUM('F) Remuneraciones'!$I$114:$J$124))/12</f>
        <v>0</v>
      </c>
      <c r="G54" s="254">
        <f>(SUM('F) Remuneraciones'!$L$114:$L$124)-SUM('F) Remuneraciones'!$I$114:$J$124))/12</f>
        <v>0</v>
      </c>
      <c r="H54" s="254">
        <f>(SUM('F) Remuneraciones'!$L$114:$L$124)-SUM('F) Remuneraciones'!$I$114:$J$124))/12</f>
        <v>0</v>
      </c>
      <c r="I54" s="254">
        <f>(SUM('F) Remuneraciones'!$L$114:$L$124)-SUM('F) Remuneraciones'!$I$114:$J$124))/12</f>
        <v>0</v>
      </c>
      <c r="J54" s="254">
        <f>(SUM('F) Remuneraciones'!$L$114:$L$124)-SUM('F) Remuneraciones'!$I$114:$J$124))/12</f>
        <v>0</v>
      </c>
      <c r="K54" s="254">
        <f>(SUM('F) Remuneraciones'!$L$114:$L$124)-SUM('F) Remuneraciones'!$I$114:$J$124))/12</f>
        <v>0</v>
      </c>
      <c r="L54" s="254">
        <f>(SUM('F) Remuneraciones'!$L$114:$L$124)-SUM('F) Remuneraciones'!$I$114:$J$124))/12</f>
        <v>0</v>
      </c>
      <c r="M54" s="254">
        <f>(SUM('F) Remuneraciones'!$L$114:$L$124)-SUM('F) Remuneraciones'!$I$114:$J$124))/12</f>
        <v>0</v>
      </c>
      <c r="N54" s="254">
        <f>(SUM('F) Remuneraciones'!$L$114:$L$124)-SUM('F) Remuneraciones'!$I$114:$J$124))/12</f>
        <v>0</v>
      </c>
      <c r="O54" s="438">
        <f t="shared" ref="O54:O59" si="12">SUM(C54:N54)</f>
        <v>0</v>
      </c>
      <c r="P54" s="422">
        <f>IF(Q54=12,C54+D54+E54+F54+G54+H54+I54+J54+K54+L54+M54+N54,IF(Q54=11,C54+D54+E54+F54+G54+H54+I54+J54+K54+L54+M54,IF(Q54=10,C54+D54+E54+F54+G54+H54+I54+J54+K54+L54,IF(Q54=9,C54+D54+E54+F54+G54+H54+I54+J54+K54,IF(Q54=8,C54+D54+E54+F54+G54+H54+I54+J54,IF(Q54=7,C54+D54+E54+F54+G54+H54+I54,IF(Q54=6,C54+D54+E54+F54+G54+H54,IF(Q54=5,C54+D54+E54+F54+G54,0))))))))</f>
        <v>0</v>
      </c>
      <c r="Q54" s="1499">
        <f>COUNTA(#REF!,#REF!,#REF!,#REF!,#REF!,#REF!,#REF!,#REF!,#REF!,#REF!,#REF!,#REF!)</f>
        <v>12</v>
      </c>
    </row>
    <row r="55" spans="2:18" x14ac:dyDescent="0.35">
      <c r="B55" s="431" t="s">
        <v>250</v>
      </c>
      <c r="C55" s="254">
        <f>(SUM('F) Remuneraciones'!$H$125:$H$135)*(1+'F) Remuneraciones'!$M$7))*(1+'F) Remuneraciones'!$M$8)/4</f>
        <v>0</v>
      </c>
      <c r="D55" s="254">
        <f>(SUM('F) Remuneraciones'!$H$125:$H$135)*(1+'F) Remuneraciones'!$M$7))*(1+'F) Remuneraciones'!$M$8)/4</f>
        <v>0</v>
      </c>
      <c r="E55" s="254">
        <f>(SUM('F) Remuneraciones'!$H$125:$H$135)*(1+'F) Remuneraciones'!$M$7))*(1+'F) Remuneraciones'!$M$8)/4</f>
        <v>0</v>
      </c>
      <c r="F55" s="254">
        <v>0</v>
      </c>
      <c r="G55" s="254">
        <v>0</v>
      </c>
      <c r="H55" s="254">
        <v>0</v>
      </c>
      <c r="I55" s="254">
        <v>0</v>
      </c>
      <c r="J55" s="254">
        <v>0</v>
      </c>
      <c r="K55" s="254">
        <v>0</v>
      </c>
      <c r="L55" s="254">
        <v>0</v>
      </c>
      <c r="M55" s="254">
        <v>0</v>
      </c>
      <c r="N55" s="254">
        <f>(SUM('F) Remuneraciones'!$H$125:$H$135)*(1+'F) Remuneraciones'!$M$7))*(1+'F) Remuneraciones'!$M$8)/4</f>
        <v>0</v>
      </c>
      <c r="O55" s="438">
        <f t="shared" si="12"/>
        <v>0</v>
      </c>
      <c r="P55" s="422">
        <f>IF(Q54=12,C55+D55+E55+F55+G55+H55+I55+J55+K55+L55+M55+N55,IF(Q54=11,C55+D55+E55+F55+G55+H55+I55+J55+K55+L55+M55,IF(Q54=10,C55+D55+E55+F55+G55+H55+I55+J55+K55+L55,IF(Q54=9,C55+D55+E55+F55+G55+H55+I55+J55+K55,IF(Q54=8,C55+D55+E55+F55+G55+H55+I55+J55,IF(Q54=7,C55+D55+E55+F55+G55+H55+I55,IF(Q54=6,C55+D55+E55+F55+G55+H55,IF(Q54=5,C55+D55+E55+F55+G55,0))))))))</f>
        <v>0</v>
      </c>
      <c r="Q55" s="1499"/>
    </row>
    <row r="56" spans="2:18" x14ac:dyDescent="0.35">
      <c r="B56" s="431" t="s">
        <v>251</v>
      </c>
      <c r="C56" s="254">
        <f>SUM('F) Remuneraciones'!I114:I124)/2</f>
        <v>0</v>
      </c>
      <c r="D56" s="254">
        <v>0</v>
      </c>
      <c r="E56" s="254">
        <v>0</v>
      </c>
      <c r="F56" s="254">
        <v>0</v>
      </c>
      <c r="G56" s="254">
        <v>0</v>
      </c>
      <c r="H56" s="254">
        <v>0</v>
      </c>
      <c r="I56" s="254">
        <v>0</v>
      </c>
      <c r="J56" s="254">
        <v>0</v>
      </c>
      <c r="K56" s="254">
        <f>SUM('F) Remuneraciones'!J114:J124)/2</f>
        <v>0</v>
      </c>
      <c r="L56" s="254">
        <v>0</v>
      </c>
      <c r="M56" s="254">
        <v>0</v>
      </c>
      <c r="N56" s="254">
        <f>+C56+K56</f>
        <v>0</v>
      </c>
      <c r="O56" s="438">
        <f t="shared" si="12"/>
        <v>0</v>
      </c>
      <c r="P56" s="316">
        <f>IF(Q56=12,C56+D56+E56+F56+G56+H56+I56+J56+K56+L56+M56+N56,IF(Q56=11,C56+D56+E56+F56+G56+H56+I56+J56+K56+L56+M56,IF(Q56=10,C56+D56+E56+F56+G56+H56+I56+J56+K56+L56,IF(Q56=9,C56+D56+E56+F56+G56+H56+I56+J56+K56,IF(Q56=8,C56+D56+E56+F56+G56+H56+I56+J56,IF(Q56=7,C56+D56+E56+F56+G56+H56+I56,IF(Q56=6,C56+D56+E56+F56+G56+H56,IF(Q56=5,C56+D56+E56+F56+G56,0))))))))</f>
        <v>0</v>
      </c>
      <c r="Q56" s="319">
        <f>COUNTA(#REF!,#REF!,#REF!,#REF!,#REF!,#REF!,#REF!,#REF!,#REF!,#REF!,#REF!,#REF!)</f>
        <v>12</v>
      </c>
    </row>
    <row r="57" spans="2:18" x14ac:dyDescent="0.35">
      <c r="B57" s="431" t="s">
        <v>252</v>
      </c>
      <c r="C57" s="446">
        <f>('C) Estimación Costos Directos'!$H$299-'C) Estimación Costos Directos'!$H$300)*C61</f>
        <v>144357.02688544965</v>
      </c>
      <c r="D57" s="446">
        <f>('C) Estimación Costos Directos'!$H$299-'C) Estimación Costos Directos'!$H$300)*D61</f>
        <v>129944.69904027974</v>
      </c>
      <c r="E57" s="446">
        <f>('C) Estimación Costos Directos'!$H$299-'C) Estimación Costos Directos'!$H$300)*E61</f>
        <v>86669.461254754046</v>
      </c>
      <c r="F57" s="446">
        <f>('C) Estimación Costos Directos'!$H$299-'C) Estimación Costos Directos'!$H$300)*F61</f>
        <v>89033.206492806145</v>
      </c>
      <c r="G57" s="446">
        <f>('C) Estimación Costos Directos'!$H$299-'C) Estimación Costos Directos'!$H$300)*G61</f>
        <v>103267.70675156663</v>
      </c>
      <c r="H57" s="446">
        <f>('C) Estimación Costos Directos'!$H$299-'C) Estimación Costos Directos'!$H$300)*H61</f>
        <v>72665.605893529981</v>
      </c>
      <c r="I57" s="446">
        <f>('C) Estimación Costos Directos'!$H$299-'C) Estimación Costos Directos'!$H$300)*I61</f>
        <v>104503.53650612116</v>
      </c>
      <c r="J57" s="446">
        <f>('C) Estimación Costos Directos'!$H$299-'C) Estimación Costos Directos'!$H$300)*J61</f>
        <v>86809.684168494685</v>
      </c>
      <c r="K57" s="446">
        <f>('C) Estimación Costos Directos'!$H$299-'C) Estimación Costos Directos'!$H$300)*K61</f>
        <v>89327.997493818752</v>
      </c>
      <c r="L57" s="446">
        <f>('C) Estimación Costos Directos'!$H$299-'C) Estimación Costos Directos'!$H$300)*L61</f>
        <v>64034.335318564226</v>
      </c>
      <c r="M57" s="446">
        <f>('C) Estimación Costos Directos'!$H$299-'C) Estimación Costos Directos'!$H$300)*M61</f>
        <v>81634.075201513057</v>
      </c>
      <c r="N57" s="446">
        <f>('C) Estimación Costos Directos'!$H$299-'C) Estimación Costos Directos'!$H$300)*N61</f>
        <v>50273.139993101991</v>
      </c>
      <c r="O57" s="438">
        <f t="shared" si="12"/>
        <v>1102520.4750000001</v>
      </c>
      <c r="P57" s="316">
        <f>IF(Q57=12,C57+D57+E57+F57+G57+H57+I57+J57+K57+L57+M57+N57,IF(Q57=11,C57+D57+E57+F57+G57+H57+I57+J57+K57+L57+M57,IF(Q57=10,C57+D57+E57+F57+G57+H57+I57+J57+K57+L57,IF(Q57=9,C57+D57+E57+F57+G57+H57+I57+J57+K57,IF(Q57=8,C57+D57+E57+F57+G57+H57+I57+J57,IF(Q57=7,C57+D57+E57+F57+G57+H57+I57,IF(Q57=6,C57+D57+E57+F57+G57+H57,IF(Q57=5,C57+D57+E57+F57+G57,0))))))))</f>
        <v>1102520.4750000001</v>
      </c>
      <c r="Q57" s="319">
        <f>COUNTA(#REF!,#REF!,#REF!,#REF!,#REF!,#REF!,#REF!,#REF!,#REF!,#REF!,#REF!,#REF!)</f>
        <v>12</v>
      </c>
    </row>
    <row r="58" spans="2:18" ht="15" thickBot="1" x14ac:dyDescent="0.4">
      <c r="B58" s="439" t="s">
        <v>310</v>
      </c>
      <c r="C58" s="448">
        <f>'C) Estimación Costos Directos'!$H$327*C62</f>
        <v>0</v>
      </c>
      <c r="D58" s="317">
        <f>'C) Estimación Costos Directos'!$H$327*D62</f>
        <v>0</v>
      </c>
      <c r="E58" s="317">
        <f>'C) Estimación Costos Directos'!$H$327*E62</f>
        <v>0</v>
      </c>
      <c r="F58" s="317">
        <f>'C) Estimación Costos Directos'!$H$327*F62</f>
        <v>0</v>
      </c>
      <c r="G58" s="317">
        <f>'C) Estimación Costos Directos'!$H$327*G62</f>
        <v>0</v>
      </c>
      <c r="H58" s="317">
        <f>'C) Estimación Costos Directos'!$H$327*H62</f>
        <v>0</v>
      </c>
      <c r="I58" s="317">
        <f>'C) Estimación Costos Directos'!$H$327*I62</f>
        <v>0</v>
      </c>
      <c r="J58" s="317">
        <f>'C) Estimación Costos Directos'!$H$327*J62</f>
        <v>0</v>
      </c>
      <c r="K58" s="317">
        <f>'C) Estimación Costos Directos'!$H$327*K62</f>
        <v>0</v>
      </c>
      <c r="L58" s="317">
        <f>'C) Estimación Costos Directos'!$H$327*L62</f>
        <v>0</v>
      </c>
      <c r="M58" s="317">
        <f>'C) Estimación Costos Directos'!$H$327*M62</f>
        <v>0</v>
      </c>
      <c r="N58" s="317">
        <f>'C) Estimación Costos Directos'!$H$327*N62</f>
        <v>0</v>
      </c>
      <c r="O58" s="440">
        <f t="shared" si="12"/>
        <v>0</v>
      </c>
      <c r="P58" s="316">
        <f>IF(Q58=12,C58+D58+E58+F58+G58+H58+I58+J58+K58+L58+M58+N58,IF(Q58=11,C58+D58+E58+F58+G58+H58+I58+J58+K58+L58+M58,IF(Q58=10,C58+D58+E58+F58+G58+H58+I58+J58+K58+L58,IF(Q58=9,C58+D58+E58+F58+G58+H58+I58+J58+K58,IF(Q58=8,C58+D58+E58+F58+G58+H58+I58+J58,IF(Q58=7,C58+D58+E58+F58+G58+H58+I58,IF(Q58=6,C58+D58+E58+F58+G58+H58,IF(Q58=5,C58+D58+E58+F58+G58,0))))))))</f>
        <v>0</v>
      </c>
      <c r="Q58" s="319">
        <f>COUNTA(#REF!,#REF!,#REF!,#REF!,#REF!,#REF!,#REF!,#REF!,#REF!,#REF!,#REF!,#REF!)</f>
        <v>12</v>
      </c>
    </row>
    <row r="59" spans="2:18" s="445" customFormat="1" ht="15" thickBot="1" x14ac:dyDescent="0.4">
      <c r="B59" s="447" t="s">
        <v>253</v>
      </c>
      <c r="C59" s="442">
        <f>C53-(C54+C55+C56+C57+C58)</f>
        <v>-144357.02688544965</v>
      </c>
      <c r="D59" s="442">
        <f t="shared" ref="D59:N59" si="13">D53-(D54+D55+D56+D57+D58)</f>
        <v>-129944.69904027974</v>
      </c>
      <c r="E59" s="442">
        <f t="shared" si="13"/>
        <v>-86669.461254754046</v>
      </c>
      <c r="F59" s="442">
        <f t="shared" si="13"/>
        <v>-89033.206492806145</v>
      </c>
      <c r="G59" s="442">
        <f t="shared" si="13"/>
        <v>-103267.70675156663</v>
      </c>
      <c r="H59" s="442">
        <f t="shared" si="13"/>
        <v>-72665.605893529981</v>
      </c>
      <c r="I59" s="442">
        <f t="shared" si="13"/>
        <v>-104503.53650612116</v>
      </c>
      <c r="J59" s="442">
        <f t="shared" si="13"/>
        <v>-86809.684168494685</v>
      </c>
      <c r="K59" s="442">
        <f t="shared" si="13"/>
        <v>-89327.997493818752</v>
      </c>
      <c r="L59" s="442">
        <f t="shared" si="13"/>
        <v>-64034.335318564226</v>
      </c>
      <c r="M59" s="442">
        <f t="shared" si="13"/>
        <v>-81634.075201513057</v>
      </c>
      <c r="N59" s="442">
        <f t="shared" si="13"/>
        <v>-50273.139993101991</v>
      </c>
      <c r="O59" s="262">
        <f t="shared" si="12"/>
        <v>-1102520.4750000001</v>
      </c>
      <c r="P59" s="443"/>
      <c r="Q59" s="444"/>
      <c r="R59" s="874"/>
    </row>
    <row r="60" spans="2:18" x14ac:dyDescent="0.35">
      <c r="B60" s="952" t="s">
        <v>254</v>
      </c>
      <c r="C60" s="943">
        <v>0.13093364718278783</v>
      </c>
      <c r="D60" s="943">
        <v>0.11786148374276653</v>
      </c>
      <c r="E60" s="943">
        <v>7.8610296334636356E-2</v>
      </c>
      <c r="F60" s="943">
        <v>8.0754243128959707E-2</v>
      </c>
      <c r="G60" s="943">
        <v>9.3665114701444993E-2</v>
      </c>
      <c r="H60" s="943">
        <v>6.5908622598169861E-2</v>
      </c>
      <c r="I60" s="943">
        <v>9.4786027902222098E-2</v>
      </c>
      <c r="J60" s="943">
        <v>7.8737480288966682E-2</v>
      </c>
      <c r="K60" s="943">
        <v>8.1021622291249276E-2</v>
      </c>
      <c r="L60" s="943">
        <v>5.8079951139741168E-2</v>
      </c>
      <c r="M60" s="943">
        <v>7.4043137567593065E-2</v>
      </c>
      <c r="N60" s="943">
        <v>4.5598373121462428E-2</v>
      </c>
      <c r="O60" s="959">
        <f t="shared" ref="O60:O62" si="14">SUM(C60:N60)</f>
        <v>1.0000000000000002</v>
      </c>
    </row>
    <row r="61" spans="2:18" x14ac:dyDescent="0.35">
      <c r="B61" s="953" t="s">
        <v>334</v>
      </c>
      <c r="C61" s="945">
        <v>0.13093364718278783</v>
      </c>
      <c r="D61" s="945">
        <v>0.11786148374276653</v>
      </c>
      <c r="E61" s="945">
        <v>7.8610296334636356E-2</v>
      </c>
      <c r="F61" s="945">
        <v>8.0754243128959707E-2</v>
      </c>
      <c r="G61" s="945">
        <v>9.3665114701444993E-2</v>
      </c>
      <c r="H61" s="945">
        <v>6.5908622598169861E-2</v>
      </c>
      <c r="I61" s="945">
        <v>9.4786027902222098E-2</v>
      </c>
      <c r="J61" s="945">
        <v>7.8737480288966682E-2</v>
      </c>
      <c r="K61" s="945">
        <v>8.1021622291249276E-2</v>
      </c>
      <c r="L61" s="945">
        <v>5.8079951139741168E-2</v>
      </c>
      <c r="M61" s="945">
        <v>7.4043137567593065E-2</v>
      </c>
      <c r="N61" s="945">
        <v>4.5598373121462428E-2</v>
      </c>
      <c r="O61" s="959">
        <f t="shared" si="14"/>
        <v>1.0000000000000002</v>
      </c>
    </row>
    <row r="62" spans="2:18" ht="15" thickBot="1" x14ac:dyDescent="0.4">
      <c r="B62" s="953" t="s">
        <v>311</v>
      </c>
      <c r="C62" s="945">
        <v>0.13093364718278783</v>
      </c>
      <c r="D62" s="945">
        <v>0.11786148374276653</v>
      </c>
      <c r="E62" s="945">
        <v>7.8610296334636356E-2</v>
      </c>
      <c r="F62" s="945">
        <v>8.0754243128959707E-2</v>
      </c>
      <c r="G62" s="945">
        <v>9.3665114701444993E-2</v>
      </c>
      <c r="H62" s="945">
        <v>6.5908622598169861E-2</v>
      </c>
      <c r="I62" s="945">
        <v>9.4786027902222098E-2</v>
      </c>
      <c r="J62" s="945">
        <v>7.8737480288966682E-2</v>
      </c>
      <c r="K62" s="945">
        <v>8.1021622291249276E-2</v>
      </c>
      <c r="L62" s="945">
        <v>5.8079951139741168E-2</v>
      </c>
      <c r="M62" s="945">
        <v>7.4043137567593065E-2</v>
      </c>
      <c r="N62" s="945">
        <v>4.5598373121462428E-2</v>
      </c>
      <c r="O62" s="959">
        <f t="shared" si="14"/>
        <v>1.0000000000000002</v>
      </c>
    </row>
    <row r="63" spans="2:18" ht="29" x14ac:dyDescent="0.35">
      <c r="B63" s="456" t="s">
        <v>260</v>
      </c>
      <c r="C63" s="428" t="s">
        <v>235</v>
      </c>
      <c r="D63" s="428" t="s">
        <v>236</v>
      </c>
      <c r="E63" s="428" t="s">
        <v>237</v>
      </c>
      <c r="F63" s="428" t="s">
        <v>238</v>
      </c>
      <c r="G63" s="428" t="s">
        <v>239</v>
      </c>
      <c r="H63" s="428" t="s">
        <v>240</v>
      </c>
      <c r="I63" s="428" t="s">
        <v>241</v>
      </c>
      <c r="J63" s="429" t="s">
        <v>242</v>
      </c>
      <c r="K63" s="428" t="s">
        <v>243</v>
      </c>
      <c r="L63" s="428" t="s">
        <v>244</v>
      </c>
      <c r="M63" s="428" t="s">
        <v>245</v>
      </c>
      <c r="N63" s="428" t="s">
        <v>246</v>
      </c>
      <c r="O63" s="430" t="s">
        <v>331</v>
      </c>
      <c r="P63" s="316"/>
      <c r="Q63" s="318" t="s">
        <v>332</v>
      </c>
    </row>
    <row r="64" spans="2:18" x14ac:dyDescent="0.35">
      <c r="B64" s="457" t="s">
        <v>248</v>
      </c>
      <c r="C64" s="254">
        <f>'A) Resumen Ingresos y Egresos'!$D$14*C71</f>
        <v>11470732.799999999</v>
      </c>
      <c r="D64" s="254">
        <f>'A) Resumen Ingresos y Egresos'!$D$14*D71</f>
        <v>10514838.4</v>
      </c>
      <c r="E64" s="254">
        <f>'A) Resumen Ingresos y Egresos'!$D$14*E71</f>
        <v>8603049.5999999996</v>
      </c>
      <c r="F64" s="254">
        <f>'A) Resumen Ingresos y Egresos'!$D$14*F71</f>
        <v>6691260.8000000007</v>
      </c>
      <c r="G64" s="254">
        <f>'A) Resumen Ingresos y Egresos'!$D$14*G71</f>
        <v>7647155.2000000002</v>
      </c>
      <c r="H64" s="254">
        <f>'A) Resumen Ingresos y Egresos'!$D$14*H71</f>
        <v>8603049.5999999996</v>
      </c>
      <c r="I64" s="254">
        <f>'A) Resumen Ingresos y Egresos'!$D$14*I71</f>
        <v>10514838.4</v>
      </c>
      <c r="J64" s="254">
        <f>'A) Resumen Ingresos y Egresos'!$D$14*J71</f>
        <v>6691260.8000000007</v>
      </c>
      <c r="K64" s="254">
        <f>'A) Resumen Ingresos y Egresos'!$D$14*K71</f>
        <v>7647155.2000000002</v>
      </c>
      <c r="L64" s="254">
        <f>'A) Resumen Ingresos y Egresos'!$D$14*L71</f>
        <v>4779472</v>
      </c>
      <c r="M64" s="254">
        <f>'A) Resumen Ingresos y Egresos'!$D$14*M71</f>
        <v>7647155.2000000002</v>
      </c>
      <c r="N64" s="254">
        <f>'A) Resumen Ingresos y Egresos'!$D$14*N71</f>
        <v>4779472</v>
      </c>
      <c r="O64" s="438">
        <f>SUM(C64:N64)</f>
        <v>95589440</v>
      </c>
      <c r="P64" s="316">
        <f>IF(Q64=12,C64+D64+E64+F64+G64+H64+I64+J64+K64+L64+M64+N64,IF(Q64=11,C64+D64+E64+F64+G64+H64+I64+J64+K64+L64+M64,IF(Q64=10,C64+D64+E64+F64+G64+H64+I64+J64+K64+L64,IF(Q64=9,C64+D64+E64+F64+G64+H64+I64+J64+K64,IF(Q64=8,C64+D64+E64+F64+G64+H64+I64+J64,IF(Q64=7,C64+D64+E64+F64+G64+H64+I64,IF(Q64=6,C64+D64+E64+F64+G64+H64,IF(Q64=5,C64+D64+E64+F64+G64,0))))))))</f>
        <v>95589440</v>
      </c>
      <c r="Q64" s="319">
        <f>COUNTA(#REF!,#REF!,#REF!,#REF!,#REF!,#REF!,#REF!,#REF!,#REF!,#REF!,#REF!,#REF!)</f>
        <v>12</v>
      </c>
    </row>
    <row r="65" spans="2:18" x14ac:dyDescent="0.35">
      <c r="B65" s="457" t="s">
        <v>249</v>
      </c>
      <c r="C65" s="254">
        <f>(SUM('F) Remuneraciones'!$L$136:$L$146)-SUM('F) Remuneraciones'!$I$136:$J$146))/12</f>
        <v>716694.78833333321</v>
      </c>
      <c r="D65" s="254">
        <f>(SUM('F) Remuneraciones'!$L$136:$L$146)-SUM('F) Remuneraciones'!$I$136:$J$146))/12</f>
        <v>716694.78833333321</v>
      </c>
      <c r="E65" s="254">
        <f>(SUM('F) Remuneraciones'!$L$136:$L$146)-SUM('F) Remuneraciones'!$I$136:$J$146))/12</f>
        <v>716694.78833333321</v>
      </c>
      <c r="F65" s="254">
        <f>(SUM('F) Remuneraciones'!$L$136:$L$146)-SUM('F) Remuneraciones'!$I$136:$J$146))/12</f>
        <v>716694.78833333321</v>
      </c>
      <c r="G65" s="254">
        <f>(SUM('F) Remuneraciones'!$L$136:$L$146)-SUM('F) Remuneraciones'!$I$136:$J$146))/12</f>
        <v>716694.78833333321</v>
      </c>
      <c r="H65" s="254">
        <f>(SUM('F) Remuneraciones'!$L$136:$L$146)-SUM('F) Remuneraciones'!$I$136:$J$146))/12</f>
        <v>716694.78833333321</v>
      </c>
      <c r="I65" s="254">
        <f>(SUM('F) Remuneraciones'!$L$136:$L$146)-SUM('F) Remuneraciones'!$I$136:$J$146))/12</f>
        <v>716694.78833333321</v>
      </c>
      <c r="J65" s="254">
        <f>(SUM('F) Remuneraciones'!$L$136:$L$146)-SUM('F) Remuneraciones'!$I$136:$J$146))/12</f>
        <v>716694.78833333321</v>
      </c>
      <c r="K65" s="254">
        <f>(SUM('F) Remuneraciones'!$L$136:$L$146)-SUM('F) Remuneraciones'!$I$136:$J$146))/12</f>
        <v>716694.78833333321</v>
      </c>
      <c r="L65" s="254">
        <f>(SUM('F) Remuneraciones'!$L$136:$L$146)-SUM('F) Remuneraciones'!$I$136:$J$146))/12</f>
        <v>716694.78833333321</v>
      </c>
      <c r="M65" s="254">
        <f>(SUM('F) Remuneraciones'!$L$136:$L$146)-SUM('F) Remuneraciones'!$I$136:$J$146))/12</f>
        <v>716694.78833333321</v>
      </c>
      <c r="N65" s="254">
        <f>(SUM('F) Remuneraciones'!$L$136:$L$146)-SUM('F) Remuneraciones'!$I$136:$J$146))/12</f>
        <v>716694.78833333321</v>
      </c>
      <c r="O65" s="438">
        <f t="shared" ref="O65:O70" si="15">SUM(C65:N65)</f>
        <v>8600337.459999999</v>
      </c>
      <c r="P65" s="422">
        <f>IF(Q65=12,C65+D65+E65+F65+G65+H65+I65+J65+K65+L65+M65+N65,IF(Q65=11,C65+D65+E65+F65+G65+H65+I65+J65+K65+L65+M65,IF(Q65=10,C65+D65+E65+F65+G65+H65+I65+J65+K65+L65,IF(Q65=9,C65+D65+E65+F65+G65+H65+I65+J65+K65,IF(Q65=8,C65+D65+E65+F65+G65+H65+I65+J65,IF(Q65=7,C65+D65+E65+F65+G65+H65+I65,IF(Q65=6,C65+D65+E65+F65+G65+H65,IF(Q65=5,C65+D65+E65+F65+G65,0))))))))</f>
        <v>8600337.459999999</v>
      </c>
      <c r="Q65" s="1499">
        <f>COUNTA(#REF!,#REF!,#REF!,#REF!,#REF!,#REF!,#REF!,#REF!,#REF!,#REF!,#REF!,#REF!)</f>
        <v>12</v>
      </c>
    </row>
    <row r="66" spans="2:18" x14ac:dyDescent="0.35">
      <c r="B66" s="457" t="s">
        <v>250</v>
      </c>
      <c r="C66" s="254">
        <f>SUM('F) Remuneraciones'!$L$147:$L$157)/4</f>
        <v>0</v>
      </c>
      <c r="D66" s="254">
        <f>SUM('F) Remuneraciones'!$L$147:$L$157)/4</f>
        <v>0</v>
      </c>
      <c r="E66" s="254">
        <f>SUM('F) Remuneraciones'!$L$147:$L$157)/4</f>
        <v>0</v>
      </c>
      <c r="F66" s="254">
        <v>0</v>
      </c>
      <c r="G66" s="254">
        <v>0</v>
      </c>
      <c r="H66" s="254">
        <v>0</v>
      </c>
      <c r="I66" s="254">
        <v>0</v>
      </c>
      <c r="J66" s="254">
        <v>0</v>
      </c>
      <c r="K66" s="254">
        <v>0</v>
      </c>
      <c r="L66" s="254">
        <v>0</v>
      </c>
      <c r="M66" s="254">
        <v>0</v>
      </c>
      <c r="N66" s="254">
        <f>SUM('F) Remuneraciones'!$L$147:$L$157)/4</f>
        <v>0</v>
      </c>
      <c r="O66" s="438">
        <f t="shared" si="15"/>
        <v>0</v>
      </c>
      <c r="P66" s="422">
        <f>IF(Q65=12,C66+D66+E66+F66+G66+H66+I66+J66+K66+L66+M66+N66,IF(Q65=11,C66+D66+E66+F66+G66+H66+I66+J66+K66+L66+M66,IF(Q65=10,C66+D66+E66+F66+G66+H66+I66+J66+K66+L66,IF(Q65=9,C66+D66+E66+F66+G66+H66+I66+J66+K66,IF(Q65=8,C66+D66+E66+F66+G66+H66+I66+J66,IF(Q65=7,C66+D66+E66+F66+G66+H66+I66,IF(Q65=6,C66+D66+E66+F66+G66+H66,IF(Q65=5,C66+D66+E66+F66+G66,0))))))))</f>
        <v>0</v>
      </c>
      <c r="Q66" s="1499"/>
    </row>
    <row r="67" spans="2:18" x14ac:dyDescent="0.35">
      <c r="B67" s="457" t="s">
        <v>251</v>
      </c>
      <c r="C67" s="254">
        <f>SUM('F) Remuneraciones'!I136:I146)/2</f>
        <v>193238</v>
      </c>
      <c r="D67" s="254">
        <v>0</v>
      </c>
      <c r="E67" s="254">
        <v>0</v>
      </c>
      <c r="F67" s="254">
        <v>0</v>
      </c>
      <c r="G67" s="254">
        <v>0</v>
      </c>
      <c r="H67" s="254">
        <v>0</v>
      </c>
      <c r="I67" s="254">
        <v>0</v>
      </c>
      <c r="J67" s="254">
        <v>0</v>
      </c>
      <c r="K67" s="254">
        <f>SUM('F) Remuneraciones'!J136:J146)/2</f>
        <v>87236</v>
      </c>
      <c r="L67" s="254">
        <v>0</v>
      </c>
      <c r="M67" s="254">
        <v>0</v>
      </c>
      <c r="N67" s="254">
        <f>+C67+K67</f>
        <v>280474</v>
      </c>
      <c r="O67" s="438">
        <f t="shared" si="15"/>
        <v>560948</v>
      </c>
      <c r="P67" s="316">
        <f>IF(Q67=12,C67+D67+E67+F67+G67+H67+I67+J67+K67+L67+M67+N67,IF(Q67=11,C67+D67+E67+F67+G67+H67+I67+J67+K67+L67+M67,IF(Q67=10,C67+D67+E67+F67+G67+H67+I67+J67+K67+L67,IF(Q67=9,C67+D67+E67+F67+G67+H67+I67+J67+K67,IF(Q67=8,C67+D67+E67+F67+G67+H67+I67+J67,IF(Q67=7,C67+D67+E67+F67+G67+H67+I67,IF(Q67=6,C67+D67+E67+F67+G67+H67,IF(Q67=5,C67+D67+E67+F67+G67,0))))))))</f>
        <v>560948</v>
      </c>
      <c r="Q67" s="319">
        <f>COUNTA(#REF!,#REF!,#REF!,#REF!,#REF!,#REF!,#REF!,#REF!,#REF!,#REF!,#REF!,#REF!)</f>
        <v>12</v>
      </c>
    </row>
    <row r="68" spans="2:18" x14ac:dyDescent="0.35">
      <c r="B68" s="457" t="s">
        <v>252</v>
      </c>
      <c r="C68" s="446">
        <f>('C) Estimación Costos Directos'!$H$371-'C) Estimación Costos Directos'!$H$372)*C72</f>
        <v>3915355.6229999997</v>
      </c>
      <c r="D68" s="446">
        <f>('C) Estimación Costos Directos'!$H$371-'C) Estimación Costos Directos'!$H$372)*D72</f>
        <v>978838.90574999992</v>
      </c>
      <c r="E68" s="446">
        <f>('C) Estimación Costos Directos'!$H$371-'C) Estimación Costos Directos'!$H$372)*E72</f>
        <v>3262796.3525</v>
      </c>
      <c r="F68" s="446">
        <f>('C) Estimación Costos Directos'!$H$371-'C) Estimación Costos Directos'!$H$372)*F72</f>
        <v>2283957.4467500001</v>
      </c>
      <c r="G68" s="446">
        <f>('C) Estimación Costos Directos'!$H$371-'C) Estimación Costos Directos'!$H$372)*G72</f>
        <v>5873033.4344999995</v>
      </c>
      <c r="H68" s="446">
        <f>('C) Estimación Costos Directos'!$H$371-'C) Estimación Costos Directos'!$H$372)*H72</f>
        <v>2283957.4467500001</v>
      </c>
      <c r="I68" s="446">
        <f>('C) Estimación Costos Directos'!$H$371-'C) Estimación Costos Directos'!$H$372)*I72</f>
        <v>2610237.0819999999</v>
      </c>
      <c r="J68" s="446">
        <f>('C) Estimación Costos Directos'!$H$371-'C) Estimación Costos Directos'!$H$372)*J72</f>
        <v>1631398.17625</v>
      </c>
      <c r="K68" s="446">
        <f>('C) Estimación Costos Directos'!$H$371-'C) Estimación Costos Directos'!$H$372)*K72</f>
        <v>1305118.541</v>
      </c>
      <c r="L68" s="446">
        <f>('C) Estimación Costos Directos'!$H$371-'C) Estimación Costos Directos'!$H$372)*L72</f>
        <v>652559.27049999998</v>
      </c>
      <c r="M68" s="446">
        <f>('C) Estimación Costos Directos'!$H$371-'C) Estimación Costos Directos'!$H$372)*M72</f>
        <v>1305118.541</v>
      </c>
      <c r="N68" s="446">
        <f>('C) Estimación Costos Directos'!$H$371-'C) Estimación Costos Directos'!$H$372)*N72</f>
        <v>6525592.7050000001</v>
      </c>
      <c r="O68" s="438">
        <f t="shared" si="15"/>
        <v>32627963.524999999</v>
      </c>
      <c r="P68" s="316">
        <f>IF(Q68=12,C68+D68+E68+F68+G68+H68+I68+J68+K68+L68+M68+N68,IF(Q68=11,C68+D68+E68+F68+G68+H68+I68+J68+K68+L68+M68,IF(Q68=10,C68+D68+E68+F68+G68+H68+I68+J68+K68+L68,IF(Q68=9,C68+D68+E68+F68+G68+H68+I68+J68+K68,IF(Q68=8,C68+D68+E68+F68+G68+H68+I68+J68,IF(Q68=7,C68+D68+E68+F68+G68+H68+I68,IF(Q68=6,C68+D68+E68+F68+G68+H68,IF(Q68=5,C68+D68+E68+F68+G68,0))))))))</f>
        <v>32627963.524999999</v>
      </c>
      <c r="Q68" s="319">
        <f>COUNTA(#REF!,#REF!,#REF!,#REF!,#REF!,#REF!,#REF!,#REF!,#REF!,#REF!,#REF!,#REF!)</f>
        <v>12</v>
      </c>
    </row>
    <row r="69" spans="2:18" ht="15" thickBot="1" x14ac:dyDescent="0.4">
      <c r="B69" s="458" t="s">
        <v>310</v>
      </c>
      <c r="C69" s="448">
        <f>'C) Estimación Costos Directos'!$H$399*C73</f>
        <v>2012306.943</v>
      </c>
      <c r="D69" s="317">
        <f>'C) Estimación Costos Directos'!$H$399*D73</f>
        <v>503076.73574999999</v>
      </c>
      <c r="E69" s="317">
        <f>'C) Estimación Costos Directos'!$H$399*E73</f>
        <v>1676922.4525000001</v>
      </c>
      <c r="F69" s="317">
        <f>'C) Estimación Costos Directos'!$H$399*F73</f>
        <v>1173845.7167500001</v>
      </c>
      <c r="G69" s="317">
        <f>'C) Estimación Costos Directos'!$H$399*G73</f>
        <v>3018460.4145</v>
      </c>
      <c r="H69" s="317">
        <f>'C) Estimación Costos Directos'!$H$399*H73</f>
        <v>1173845.7167500001</v>
      </c>
      <c r="I69" s="317">
        <f>'C) Estimación Costos Directos'!$H$399*I73</f>
        <v>1341537.9620000001</v>
      </c>
      <c r="J69" s="317">
        <f>'C) Estimación Costos Directos'!$H$399*J73</f>
        <v>838461.22625000007</v>
      </c>
      <c r="K69" s="317">
        <f>'C) Estimación Costos Directos'!$H$399*K73</f>
        <v>670768.98100000003</v>
      </c>
      <c r="L69" s="317">
        <f>'C) Estimación Costos Directos'!$H$399*L73</f>
        <v>335384.49050000001</v>
      </c>
      <c r="M69" s="317">
        <f>'C) Estimación Costos Directos'!$H$399*M73</f>
        <v>670768.98100000003</v>
      </c>
      <c r="N69" s="317">
        <f>'C) Estimación Costos Directos'!$H$399*N73</f>
        <v>3353844.9050000003</v>
      </c>
      <c r="O69" s="440">
        <f t="shared" si="15"/>
        <v>16769224.525000002</v>
      </c>
      <c r="P69" s="316">
        <f>IF(Q69=12,C69+D69+E69+F69+G69+H69+I69+J69+K69+L69+M69+N69,IF(Q69=11,C69+D69+E69+F69+G69+H69+I69+J69+K69+L69+M69,IF(Q69=10,C69+D69+E69+F69+G69+H69+I69+J69+K69+L69,IF(Q69=9,C69+D69+E69+F69+G69+H69+I69+J69+K69,IF(Q69=8,C69+D69+E69+F69+G69+H69+I69+J69,IF(Q69=7,C69+D69+E69+F69+G69+H69+I69,IF(Q69=6,C69+D69+E69+F69+G69+H69,IF(Q69=5,C69+D69+E69+F69+G69,0))))))))</f>
        <v>16769224.525000002</v>
      </c>
      <c r="Q69" s="319">
        <f>COUNTA(#REF!,#REF!,#REF!,#REF!,#REF!,#REF!,#REF!,#REF!,#REF!,#REF!,#REF!,#REF!)</f>
        <v>12</v>
      </c>
    </row>
    <row r="70" spans="2:18" s="445" customFormat="1" ht="15" thickBot="1" x14ac:dyDescent="0.4">
      <c r="B70" s="459" t="s">
        <v>253</v>
      </c>
      <c r="C70" s="442">
        <f>C64-(C65+C66+C67+C68+C69)</f>
        <v>4633137.4456666661</v>
      </c>
      <c r="D70" s="442">
        <f t="shared" ref="D70:N70" si="16">D64-(D65+D66+D67+D68+D69)</f>
        <v>8316227.9701666674</v>
      </c>
      <c r="E70" s="442">
        <f t="shared" si="16"/>
        <v>2946636.0066666659</v>
      </c>
      <c r="F70" s="442">
        <f t="shared" si="16"/>
        <v>2516762.8481666674</v>
      </c>
      <c r="G70" s="442">
        <f t="shared" si="16"/>
        <v>-1961033.4373333333</v>
      </c>
      <c r="H70" s="442">
        <f t="shared" si="16"/>
        <v>4428551.6481666658</v>
      </c>
      <c r="I70" s="442">
        <f t="shared" si="16"/>
        <v>5846368.5676666675</v>
      </c>
      <c r="J70" s="442">
        <f t="shared" si="16"/>
        <v>3504706.6091666678</v>
      </c>
      <c r="K70" s="442">
        <f t="shared" si="16"/>
        <v>4867336.8896666672</v>
      </c>
      <c r="L70" s="442">
        <f t="shared" si="16"/>
        <v>3074833.450666667</v>
      </c>
      <c r="M70" s="442">
        <f t="shared" si="16"/>
        <v>4954572.8896666672</v>
      </c>
      <c r="N70" s="442">
        <f t="shared" si="16"/>
        <v>-6097134.3983333334</v>
      </c>
      <c r="O70" s="262">
        <f t="shared" si="15"/>
        <v>37030966.490000002</v>
      </c>
      <c r="P70" s="443"/>
      <c r="Q70" s="444"/>
      <c r="R70" s="874"/>
    </row>
    <row r="71" spans="2:18" x14ac:dyDescent="0.35">
      <c r="B71" s="952" t="s">
        <v>254</v>
      </c>
      <c r="C71" s="943">
        <v>0.12</v>
      </c>
      <c r="D71" s="943">
        <v>0.11</v>
      </c>
      <c r="E71" s="943">
        <v>0.09</v>
      </c>
      <c r="F71" s="943">
        <v>7.0000000000000007E-2</v>
      </c>
      <c r="G71" s="943">
        <v>0.08</v>
      </c>
      <c r="H71" s="943">
        <v>0.09</v>
      </c>
      <c r="I71" s="943">
        <v>0.11</v>
      </c>
      <c r="J71" s="943">
        <v>7.0000000000000007E-2</v>
      </c>
      <c r="K71" s="943">
        <v>0.08</v>
      </c>
      <c r="L71" s="943">
        <v>0.05</v>
      </c>
      <c r="M71" s="943">
        <v>0.08</v>
      </c>
      <c r="N71" s="943">
        <v>0.05</v>
      </c>
      <c r="O71" s="959">
        <f t="shared" ref="O71:O73" si="17">SUM(C71:N71)</f>
        <v>1</v>
      </c>
      <c r="R71" s="875"/>
    </row>
    <row r="72" spans="2:18" x14ac:dyDescent="0.35">
      <c r="B72" s="953" t="s">
        <v>334</v>
      </c>
      <c r="C72" s="945">
        <v>0.12</v>
      </c>
      <c r="D72" s="945">
        <v>0.03</v>
      </c>
      <c r="E72" s="945">
        <v>0.1</v>
      </c>
      <c r="F72" s="945">
        <v>7.0000000000000007E-2</v>
      </c>
      <c r="G72" s="945">
        <v>0.18</v>
      </c>
      <c r="H72" s="945">
        <v>7.0000000000000007E-2</v>
      </c>
      <c r="I72" s="945">
        <v>0.08</v>
      </c>
      <c r="J72" s="945">
        <v>0.05</v>
      </c>
      <c r="K72" s="945">
        <v>0.04</v>
      </c>
      <c r="L72" s="945">
        <v>0.02</v>
      </c>
      <c r="M72" s="945">
        <v>0.04</v>
      </c>
      <c r="N72" s="945">
        <v>0.2</v>
      </c>
      <c r="O72" s="959">
        <f t="shared" si="17"/>
        <v>1.0000000000000002</v>
      </c>
    </row>
    <row r="73" spans="2:18" ht="15" thickBot="1" x14ac:dyDescent="0.4">
      <c r="B73" s="953" t="s">
        <v>311</v>
      </c>
      <c r="C73" s="945">
        <v>0.12</v>
      </c>
      <c r="D73" s="945">
        <v>0.03</v>
      </c>
      <c r="E73" s="945">
        <v>0.1</v>
      </c>
      <c r="F73" s="945">
        <v>7.0000000000000007E-2</v>
      </c>
      <c r="G73" s="945">
        <v>0.18</v>
      </c>
      <c r="H73" s="945">
        <v>7.0000000000000007E-2</v>
      </c>
      <c r="I73" s="945">
        <v>0.08</v>
      </c>
      <c r="J73" s="945">
        <v>0.05</v>
      </c>
      <c r="K73" s="945">
        <v>0.04</v>
      </c>
      <c r="L73" s="945">
        <v>0.02</v>
      </c>
      <c r="M73" s="945">
        <v>0.04</v>
      </c>
      <c r="N73" s="945">
        <v>0.2</v>
      </c>
      <c r="O73" s="959">
        <f t="shared" si="17"/>
        <v>1.0000000000000002</v>
      </c>
    </row>
    <row r="74" spans="2:18" ht="29" x14ac:dyDescent="0.35">
      <c r="B74" s="427" t="s">
        <v>261</v>
      </c>
      <c r="C74" s="428" t="s">
        <v>235</v>
      </c>
      <c r="D74" s="428" t="s">
        <v>236</v>
      </c>
      <c r="E74" s="428" t="s">
        <v>237</v>
      </c>
      <c r="F74" s="428" t="s">
        <v>238</v>
      </c>
      <c r="G74" s="428" t="s">
        <v>239</v>
      </c>
      <c r="H74" s="428" t="s">
        <v>240</v>
      </c>
      <c r="I74" s="428" t="s">
        <v>241</v>
      </c>
      <c r="J74" s="429" t="s">
        <v>242</v>
      </c>
      <c r="K74" s="428" t="s">
        <v>243</v>
      </c>
      <c r="L74" s="428" t="s">
        <v>244</v>
      </c>
      <c r="M74" s="428" t="s">
        <v>245</v>
      </c>
      <c r="N74" s="428" t="s">
        <v>246</v>
      </c>
      <c r="O74" s="430" t="s">
        <v>331</v>
      </c>
      <c r="P74" s="316"/>
      <c r="Q74" s="318" t="s">
        <v>332</v>
      </c>
    </row>
    <row r="75" spans="2:18" x14ac:dyDescent="0.35">
      <c r="B75" s="431" t="s">
        <v>248</v>
      </c>
      <c r="C75" s="254">
        <f>'A) Resumen Ingresos y Egresos'!$D$15*C82</f>
        <v>2312756.25</v>
      </c>
      <c r="D75" s="254">
        <f>'A) Resumen Ingresos y Egresos'!$D$15*D82</f>
        <v>2312756.25</v>
      </c>
      <c r="E75" s="254">
        <f>'A) Resumen Ingresos y Egresos'!$D$15*E82</f>
        <v>991181.25</v>
      </c>
      <c r="F75" s="254">
        <f>'A) Resumen Ingresos y Egresos'!$D$15*F82</f>
        <v>0</v>
      </c>
      <c r="G75" s="254">
        <f>'A) Resumen Ingresos y Egresos'!$D$15*G82</f>
        <v>0</v>
      </c>
      <c r="H75" s="254">
        <f>'A) Resumen Ingresos y Egresos'!$D$15*H82</f>
        <v>0</v>
      </c>
      <c r="I75" s="254">
        <f>'A) Resumen Ingresos y Egresos'!$D$15*I82</f>
        <v>0</v>
      </c>
      <c r="J75" s="254">
        <f>'A) Resumen Ingresos y Egresos'!$D$15*J82</f>
        <v>0</v>
      </c>
      <c r="K75" s="254">
        <f>'A) Resumen Ingresos y Egresos'!$D$15*K82</f>
        <v>0</v>
      </c>
      <c r="L75" s="254">
        <f>'A) Resumen Ingresos y Egresos'!$D$15*L82</f>
        <v>0</v>
      </c>
      <c r="M75" s="254">
        <f>'A) Resumen Ingresos y Egresos'!$D$15*M82</f>
        <v>0</v>
      </c>
      <c r="N75" s="254">
        <f>'A) Resumen Ingresos y Egresos'!$D$15*N82</f>
        <v>991181.25</v>
      </c>
      <c r="O75" s="438">
        <f t="shared" ref="O75:O81" si="18">SUM(C75:N75)</f>
        <v>6607875</v>
      </c>
      <c r="P75" s="316">
        <f>IF(Q75=12,C75+D75+E75+F75+G75+H75+I75+J75+K75+L75+M75+N75,IF(Q75=11,C75+D75+E75+F75+G75+H75+I75+J75+K75+L75+M75,IF(Q75=10,C75+D75+E75+F75+G75+H75+I75+J75+K75+L75,IF(Q75=9,C75+D75+E75+F75+G75+H75+I75+J75+K75,IF(Q75=8,C75+D75+E75+F75+G75+H75+I75+J75,IF(Q75=7,C75+D75+E75+F75+G75+H75+I75,IF(Q75=6,C75+D75+E75+F75+G75+H75,IF(Q75=5,C75+D75+E75+F75+G75,0))))))))</f>
        <v>6607875</v>
      </c>
      <c r="Q75" s="319">
        <f>COUNTA(#REF!,#REF!,#REF!,#REF!,#REF!,#REF!,#REF!,#REF!,#REF!,#REF!,#REF!,#REF!)</f>
        <v>12</v>
      </c>
    </row>
    <row r="76" spans="2:18" x14ac:dyDescent="0.35">
      <c r="B76" s="431" t="s">
        <v>249</v>
      </c>
      <c r="C76" s="254">
        <f>(SUM('F) Remuneraciones'!$L$158:$L$168)-SUM('F) Remuneraciones'!$I$158:$J$168))/12</f>
        <v>0</v>
      </c>
      <c r="D76" s="254">
        <f>(SUM('F) Remuneraciones'!$L$158:$L$168)-SUM('F) Remuneraciones'!$I$158:$J$168))/12</f>
        <v>0</v>
      </c>
      <c r="E76" s="254">
        <f>(SUM('F) Remuneraciones'!$L$158:$L$168)-SUM('F) Remuneraciones'!$I$158:$J$168))/12</f>
        <v>0</v>
      </c>
      <c r="F76" s="254">
        <f>(SUM('F) Remuneraciones'!$L$158:$L$168)-SUM('F) Remuneraciones'!$I$158:$J$168))/12</f>
        <v>0</v>
      </c>
      <c r="G76" s="254">
        <f>(SUM('F) Remuneraciones'!$L$158:$L$168)-SUM('F) Remuneraciones'!$I$158:$J$168))/12</f>
        <v>0</v>
      </c>
      <c r="H76" s="254">
        <f>(SUM('F) Remuneraciones'!$L$158:$L$168)-SUM('F) Remuneraciones'!$I$158:$J$168))/12</f>
        <v>0</v>
      </c>
      <c r="I76" s="254">
        <f>(SUM('F) Remuneraciones'!$L$158:$L$168)-SUM('F) Remuneraciones'!$I$158:$J$168))/12</f>
        <v>0</v>
      </c>
      <c r="J76" s="254">
        <f>(SUM('F) Remuneraciones'!$L$158:$L$168)-SUM('F) Remuneraciones'!$I$158:$J$168))/12</f>
        <v>0</v>
      </c>
      <c r="K76" s="254">
        <f>(SUM('F) Remuneraciones'!$L$158:$L$168)-SUM('F) Remuneraciones'!$I$158:$J$168))/12</f>
        <v>0</v>
      </c>
      <c r="L76" s="254">
        <f>(SUM('F) Remuneraciones'!$L$158:$L$168)-SUM('F) Remuneraciones'!$I$158:$J$168))/12</f>
        <v>0</v>
      </c>
      <c r="M76" s="254">
        <f>(SUM('F) Remuneraciones'!$L$158:$L$168)-SUM('F) Remuneraciones'!$I$158:$J$168))/12</f>
        <v>0</v>
      </c>
      <c r="N76" s="254">
        <f>(SUM('F) Remuneraciones'!$L$158:$L$168)-SUM('F) Remuneraciones'!$I$158:$J$168))/12</f>
        <v>0</v>
      </c>
      <c r="O76" s="438">
        <f t="shared" si="18"/>
        <v>0</v>
      </c>
      <c r="P76" s="422">
        <f>IF(Q76=12,C76+D76+E76+F76+G76+H76+I76+J76+K76+L76+M76+N76,IF(Q76=11,C76+D76+E76+F76+G76+H76+I76+J76+K76+L76+M76,IF(Q76=10,C76+D76+E76+F76+G76+H76+I76+J76+K76+L76,IF(Q76=9,C76+D76+E76+F76+G76+H76+I76+J76+K76,IF(Q76=8,C76+D76+E76+F76+G76+H76+I76+J76,IF(Q76=7,C76+D76+E76+F76+G76+H76+I76,IF(Q76=6,C76+D76+E76+F76+G76+H76,IF(Q76=5,C76+D76+E76+F76+G76,0))))))))</f>
        <v>0</v>
      </c>
      <c r="Q76" s="1499">
        <f>COUNTA(#REF!,#REF!,#REF!,#REF!,#REF!,#REF!,#REF!,#REF!,#REF!,#REF!,#REF!,#REF!)</f>
        <v>12</v>
      </c>
    </row>
    <row r="77" spans="2:18" x14ac:dyDescent="0.35">
      <c r="B77" s="431" t="s">
        <v>250</v>
      </c>
      <c r="C77" s="254">
        <f>SUM('F) Remuneraciones'!$L$169:$L$179)/4</f>
        <v>5449021.875</v>
      </c>
      <c r="D77" s="254">
        <f>SUM('F) Remuneraciones'!$L$169:$L$179)/4</f>
        <v>5449021.875</v>
      </c>
      <c r="E77" s="254">
        <f>SUM('F) Remuneraciones'!$L$169:$L$179)/4</f>
        <v>5449021.875</v>
      </c>
      <c r="F77" s="254">
        <v>0</v>
      </c>
      <c r="G77" s="254">
        <v>0</v>
      </c>
      <c r="H77" s="254">
        <v>0</v>
      </c>
      <c r="I77" s="254">
        <v>0</v>
      </c>
      <c r="J77" s="254">
        <v>0</v>
      </c>
      <c r="K77" s="254">
        <v>0</v>
      </c>
      <c r="L77" s="254">
        <v>0</v>
      </c>
      <c r="M77" s="254">
        <v>0</v>
      </c>
      <c r="N77" s="254">
        <f>SUM('F) Remuneraciones'!$L$169:$L$179)/4</f>
        <v>5449021.875</v>
      </c>
      <c r="O77" s="438">
        <f t="shared" si="18"/>
        <v>21796087.5</v>
      </c>
      <c r="P77" s="422">
        <f>IF(Q76=12,C77+D77+E77+F77+G77+H77+I77+J77+K77+L77+M77+N77,IF(Q76=11,C77+D77+E77+F77+G77+H77+I77+J77+K77+L77+M77,IF(Q76=10,C77+D77+E77+F77+G77+H77+I77+J77+K77+L77,IF(Q76=9,C77+D77+E77+F77+G77+H77+I77+J77+K77,IF(Q76=8,C77+D77+E77+F77+G77+H77+I77+J77,IF(Q76=7,C77+D77+E77+F77+G77+H77+I77,IF(Q76=6,C77+D77+E77+F77+G77+H77,IF(Q76=5,C77+D77+E77+F77+G77,0))))))))</f>
        <v>21796087.5</v>
      </c>
      <c r="Q77" s="1499"/>
    </row>
    <row r="78" spans="2:18" x14ac:dyDescent="0.35">
      <c r="B78" s="431" t="s">
        <v>251</v>
      </c>
      <c r="C78" s="254">
        <f>SUM('F) Remuneraciones'!I158:I168)/2</f>
        <v>0</v>
      </c>
      <c r="D78" s="254">
        <v>0</v>
      </c>
      <c r="E78" s="254">
        <v>0</v>
      </c>
      <c r="F78" s="254">
        <v>0</v>
      </c>
      <c r="G78" s="254">
        <v>0</v>
      </c>
      <c r="H78" s="254">
        <v>0</v>
      </c>
      <c r="I78" s="254">
        <v>0</v>
      </c>
      <c r="J78" s="254">
        <v>0</v>
      </c>
      <c r="K78" s="254">
        <f>SUM('F) Remuneraciones'!J158:J168)/2</f>
        <v>0</v>
      </c>
      <c r="L78" s="254">
        <v>0</v>
      </c>
      <c r="M78" s="254">
        <v>0</v>
      </c>
      <c r="N78" s="254">
        <f>+C78+K78</f>
        <v>0</v>
      </c>
      <c r="O78" s="438">
        <f t="shared" si="18"/>
        <v>0</v>
      </c>
      <c r="P78" s="316">
        <f>IF(Q78=12,C78+D78+E78+F78+G78+H78+I78+J78+K78+L78+M78+N78,IF(Q78=11,C78+D78+E78+F78+G78+H78+I78+J78+K78+L78+M78,IF(Q78=10,C78+D78+E78+F78+G78+H78+I78+J78+K78+L78,IF(Q78=9,C78+D78+E78+F78+G78+H78+I78+J78+K78,IF(Q78=8,C78+D78+E78+F78+G78+H78+I78+J78,IF(Q78=7,C78+D78+E78+F78+G78+H78+I78,IF(Q78=6,C78+D78+E78+F78+G78+H78,IF(Q78=5,C78+D78+E78+F78+G78,0))))))))</f>
        <v>0</v>
      </c>
      <c r="Q78" s="319">
        <f>COUNTA(#REF!,#REF!,#REF!,#REF!,#REF!,#REF!,#REF!,#REF!,#REF!,#REF!,#REF!,#REF!)</f>
        <v>12</v>
      </c>
    </row>
    <row r="79" spans="2:18" x14ac:dyDescent="0.35">
      <c r="B79" s="431" t="s">
        <v>252</v>
      </c>
      <c r="C79" s="254">
        <f>('C) Estimación Costos Directos'!$H$443-'C) Estimación Costos Directos'!$H$444)*C83</f>
        <v>5228023.6260000011</v>
      </c>
      <c r="D79" s="254">
        <f>('C) Estimación Costos Directos'!$H$443-'C) Estimación Costos Directos'!$H$444)*D83</f>
        <v>5228023.6260000011</v>
      </c>
      <c r="E79" s="254">
        <f>('C) Estimación Costos Directos'!$H$443-'C) Estimación Costos Directos'!$H$444)*E83</f>
        <v>2240581.5540000005</v>
      </c>
      <c r="F79" s="254">
        <f>('C) Estimación Costos Directos'!$H$443-'C) Estimación Costos Directos'!$H$444)*F83</f>
        <v>0</v>
      </c>
      <c r="G79" s="254">
        <f>('C) Estimación Costos Directos'!$H$443-'C) Estimación Costos Directos'!$H$444)*G83</f>
        <v>0</v>
      </c>
      <c r="H79" s="254">
        <f>('C) Estimación Costos Directos'!$H$443-'C) Estimación Costos Directos'!$H$444)*H83</f>
        <v>0</v>
      </c>
      <c r="I79" s="254">
        <f>('C) Estimación Costos Directos'!$H$443-'C) Estimación Costos Directos'!$H$444)*I83</f>
        <v>0</v>
      </c>
      <c r="J79" s="254">
        <f>('C) Estimación Costos Directos'!$H$443-'C) Estimación Costos Directos'!$H$444)*J83</f>
        <v>0</v>
      </c>
      <c r="K79" s="254">
        <f>('C) Estimación Costos Directos'!$H$443-'C) Estimación Costos Directos'!$H$444)*K83</f>
        <v>0</v>
      </c>
      <c r="L79" s="254">
        <f>('C) Estimación Costos Directos'!$H$443-'C) Estimación Costos Directos'!$H$444)*L83</f>
        <v>0</v>
      </c>
      <c r="M79" s="254">
        <f>('C) Estimación Costos Directos'!$H$443-'C) Estimación Costos Directos'!$H$444)*M83</f>
        <v>0</v>
      </c>
      <c r="N79" s="254">
        <f>('C) Estimación Costos Directos'!$H$443-'C) Estimación Costos Directos'!$H$444)*N83</f>
        <v>2240581.5540000005</v>
      </c>
      <c r="O79" s="438">
        <f t="shared" si="18"/>
        <v>14937210.360000003</v>
      </c>
      <c r="P79" s="316">
        <f>IF(Q79=12,C79+D79+E79+F79+G79+H79+I79+J79+K79+L79+M79+N79,IF(Q79=11,C79+D79+E79+F79+G79+H79+I79+J79+K79+L79+M79,IF(Q79=10,C79+D79+E79+F79+G79+H79+I79+J79+K79+L79,IF(Q79=9,C79+D79+E79+F79+G79+H79+I79+J79+K79,IF(Q79=8,C79+D79+E79+F79+G79+H79+I79+J79,IF(Q79=7,C79+D79+E79+F79+G79+H79+I79,IF(Q79=6,C79+D79+E79+F79+G79+H79,IF(Q79=5,C79+D79+E79+F79+G79,0))))))))</f>
        <v>14937210.360000003</v>
      </c>
      <c r="Q79" s="319">
        <f>COUNTA(#REF!,#REF!,#REF!,#REF!,#REF!,#REF!,#REF!,#REF!,#REF!,#REF!,#REF!,#REF!)</f>
        <v>12</v>
      </c>
    </row>
    <row r="80" spans="2:18" ht="15" thickBot="1" x14ac:dyDescent="0.4">
      <c r="B80" s="439" t="s">
        <v>310</v>
      </c>
      <c r="C80" s="317">
        <f>'C) Estimación Costos Directos'!$H$471*C84</f>
        <v>2867165.1187499999</v>
      </c>
      <c r="D80" s="317">
        <f>'C) Estimación Costos Directos'!$H$471*D84</f>
        <v>2867165.1187499999</v>
      </c>
      <c r="E80" s="317">
        <f>'C) Estimación Costos Directos'!$H$471*E84</f>
        <v>1228785.0508928571</v>
      </c>
      <c r="F80" s="317">
        <f>'C) Estimación Costos Directos'!$H$471*F84</f>
        <v>0</v>
      </c>
      <c r="G80" s="317">
        <f>'C) Estimación Costos Directos'!$H$471*G84</f>
        <v>0</v>
      </c>
      <c r="H80" s="317">
        <f>'C) Estimación Costos Directos'!$H$471*H84</f>
        <v>0</v>
      </c>
      <c r="I80" s="317">
        <f>'C) Estimación Costos Directos'!$H$471*I84</f>
        <v>0</v>
      </c>
      <c r="J80" s="317">
        <f>'C) Estimación Costos Directos'!$H$471*J84</f>
        <v>0</v>
      </c>
      <c r="K80" s="317">
        <f>'C) Estimación Costos Directos'!$H$471*K84</f>
        <v>0</v>
      </c>
      <c r="L80" s="317">
        <f>'C) Estimación Costos Directos'!$H$471*L84</f>
        <v>0</v>
      </c>
      <c r="M80" s="317">
        <f>'C) Estimación Costos Directos'!$H$471*M84</f>
        <v>0</v>
      </c>
      <c r="N80" s="317">
        <f>'C) Estimación Costos Directos'!$H$471*N84</f>
        <v>1228785.0508928571</v>
      </c>
      <c r="O80" s="440">
        <f t="shared" si="18"/>
        <v>8191900.3392857136</v>
      </c>
      <c r="P80" s="316">
        <f>IF(Q80=12,C80+D80+E80+F80+G80+H80+I80+J80+K80+L80+M80+N80,IF(Q80=11,C80+D80+E80+F80+G80+H80+I80+J80+K80+L80+M80,IF(Q80=10,C80+D80+E80+F80+G80+H80+I80+J80+K80+L80,IF(Q80=9,C80+D80+E80+F80+G80+H80+I80+J80+K80,IF(Q80=8,C80+D80+E80+F80+G80+H80+I80+J80,IF(Q80=7,C80+D80+E80+F80+G80+H80+I80,IF(Q80=6,C80+D80+E80+F80+G80+H80,IF(Q80=5,C80+D80+E80+F80+G80,0))))))))</f>
        <v>8191900.3392857136</v>
      </c>
      <c r="Q80" s="319">
        <f>COUNTA(#REF!,#REF!,#REF!,#REF!,#REF!,#REF!,#REF!,#REF!,#REF!,#REF!,#REF!,#REF!)</f>
        <v>12</v>
      </c>
    </row>
    <row r="81" spans="2:18" s="445" customFormat="1" ht="15" thickBot="1" x14ac:dyDescent="0.4">
      <c r="B81" s="447" t="s">
        <v>253</v>
      </c>
      <c r="C81" s="460">
        <f>C75-(C76+C77+C78+C79+C80)</f>
        <v>-11231454.369750002</v>
      </c>
      <c r="D81" s="460">
        <f t="shared" ref="D81:M81" si="19">D75-(D76+D77+D78+D79+D80)</f>
        <v>-11231454.369750002</v>
      </c>
      <c r="E81" s="460">
        <f t="shared" si="19"/>
        <v>-7927207.2298928574</v>
      </c>
      <c r="F81" s="460">
        <f t="shared" si="19"/>
        <v>0</v>
      </c>
      <c r="G81" s="460">
        <f t="shared" si="19"/>
        <v>0</v>
      </c>
      <c r="H81" s="460">
        <f t="shared" si="19"/>
        <v>0</v>
      </c>
      <c r="I81" s="460">
        <f t="shared" si="19"/>
        <v>0</v>
      </c>
      <c r="J81" s="460">
        <f t="shared" si="19"/>
        <v>0</v>
      </c>
      <c r="K81" s="460">
        <f t="shared" si="19"/>
        <v>0</v>
      </c>
      <c r="L81" s="460">
        <f t="shared" si="19"/>
        <v>0</v>
      </c>
      <c r="M81" s="460">
        <f t="shared" si="19"/>
        <v>0</v>
      </c>
      <c r="N81" s="461">
        <f>N75-(N76+N77+N78+N79+N80)</f>
        <v>-7927207.2298928574</v>
      </c>
      <c r="O81" s="262">
        <f t="shared" si="18"/>
        <v>-38317323.199285716</v>
      </c>
      <c r="P81" s="443"/>
      <c r="Q81" s="444"/>
      <c r="R81" s="874"/>
    </row>
    <row r="82" spans="2:18" x14ac:dyDescent="0.35">
      <c r="B82" s="952" t="s">
        <v>254</v>
      </c>
      <c r="C82" s="945">
        <v>0.35</v>
      </c>
      <c r="D82" s="945">
        <v>0.35</v>
      </c>
      <c r="E82" s="945">
        <v>0.15</v>
      </c>
      <c r="F82" s="945">
        <v>0</v>
      </c>
      <c r="G82" s="945">
        <v>0</v>
      </c>
      <c r="H82" s="945">
        <v>0</v>
      </c>
      <c r="I82" s="945">
        <v>0</v>
      </c>
      <c r="J82" s="945">
        <v>0</v>
      </c>
      <c r="K82" s="945">
        <v>0</v>
      </c>
      <c r="L82" s="945">
        <v>0</v>
      </c>
      <c r="M82" s="945">
        <v>0</v>
      </c>
      <c r="N82" s="945">
        <v>0.15</v>
      </c>
      <c r="O82" s="959">
        <f t="shared" ref="O82:O84" si="20">SUM(C82:N82)</f>
        <v>1</v>
      </c>
      <c r="R82" s="875"/>
    </row>
    <row r="83" spans="2:18" x14ac:dyDescent="0.35">
      <c r="B83" s="953" t="s">
        <v>334</v>
      </c>
      <c r="C83" s="945">
        <v>0.35</v>
      </c>
      <c r="D83" s="945">
        <v>0.35</v>
      </c>
      <c r="E83" s="945">
        <v>0.15</v>
      </c>
      <c r="F83" s="945">
        <v>0</v>
      </c>
      <c r="G83" s="945">
        <v>0</v>
      </c>
      <c r="H83" s="945">
        <v>0</v>
      </c>
      <c r="I83" s="945">
        <v>0</v>
      </c>
      <c r="J83" s="945">
        <v>0</v>
      </c>
      <c r="K83" s="945">
        <v>0</v>
      </c>
      <c r="L83" s="945">
        <v>0</v>
      </c>
      <c r="M83" s="945">
        <v>0</v>
      </c>
      <c r="N83" s="945">
        <v>0.15</v>
      </c>
      <c r="O83" s="959">
        <f t="shared" si="20"/>
        <v>1</v>
      </c>
    </row>
    <row r="84" spans="2:18" ht="15" thickBot="1" x14ac:dyDescent="0.4">
      <c r="B84" s="953" t="s">
        <v>311</v>
      </c>
      <c r="C84" s="945">
        <v>0.35</v>
      </c>
      <c r="D84" s="945">
        <v>0.35</v>
      </c>
      <c r="E84" s="945">
        <v>0.15</v>
      </c>
      <c r="F84" s="945">
        <v>0</v>
      </c>
      <c r="G84" s="945">
        <v>0</v>
      </c>
      <c r="H84" s="945">
        <v>0</v>
      </c>
      <c r="I84" s="945">
        <v>0</v>
      </c>
      <c r="J84" s="945">
        <v>0</v>
      </c>
      <c r="K84" s="945">
        <v>0</v>
      </c>
      <c r="L84" s="945">
        <v>0</v>
      </c>
      <c r="M84" s="945">
        <v>0</v>
      </c>
      <c r="N84" s="945">
        <v>0.15</v>
      </c>
      <c r="O84" s="959">
        <f t="shared" si="20"/>
        <v>1</v>
      </c>
    </row>
    <row r="85" spans="2:18" ht="29" x14ac:dyDescent="0.35">
      <c r="B85" s="427" t="s">
        <v>262</v>
      </c>
      <c r="C85" s="428" t="s">
        <v>235</v>
      </c>
      <c r="D85" s="428" t="s">
        <v>236</v>
      </c>
      <c r="E85" s="428" t="s">
        <v>237</v>
      </c>
      <c r="F85" s="428" t="s">
        <v>238</v>
      </c>
      <c r="G85" s="428" t="s">
        <v>239</v>
      </c>
      <c r="H85" s="428" t="s">
        <v>240</v>
      </c>
      <c r="I85" s="428" t="s">
        <v>241</v>
      </c>
      <c r="J85" s="429" t="s">
        <v>242</v>
      </c>
      <c r="K85" s="428" t="s">
        <v>243</v>
      </c>
      <c r="L85" s="428" t="s">
        <v>244</v>
      </c>
      <c r="M85" s="428" t="s">
        <v>245</v>
      </c>
      <c r="N85" s="428" t="s">
        <v>246</v>
      </c>
      <c r="O85" s="455" t="s">
        <v>331</v>
      </c>
      <c r="P85" s="316"/>
      <c r="Q85" s="318" t="s">
        <v>332</v>
      </c>
    </row>
    <row r="86" spans="2:18" x14ac:dyDescent="0.35">
      <c r="B86" s="462" t="s">
        <v>248</v>
      </c>
      <c r="C86" s="463">
        <f>'A) Resumen Ingresos y Egresos'!$D$16*C93</f>
        <v>1843689.7793455536</v>
      </c>
      <c r="D86" s="463">
        <f>'A) Resumen Ingresos y Egresos'!$D$16*D93</f>
        <v>1659619.3387302698</v>
      </c>
      <c r="E86" s="463">
        <f>'A) Resumen Ingresos y Egresos'!$D$16*E93</f>
        <v>1106919.443717648</v>
      </c>
      <c r="F86" s="463">
        <f>'A) Resumen Ingresos y Egresos'!$D$16*F93</f>
        <v>1137108.5729231946</v>
      </c>
      <c r="G86" s="463">
        <f>'A) Resumen Ingresos y Egresos'!$D$16*G93</f>
        <v>1318907.8466225171</v>
      </c>
      <c r="H86" s="463">
        <f>'A) Resumen Ingresos y Egresos'!$D$16*H93</f>
        <v>928065.90566708962</v>
      </c>
      <c r="I86" s="463">
        <f>'A) Resumen Ingresos y Egresos'!$D$16*I93</f>
        <v>1334691.5374939796</v>
      </c>
      <c r="J86" s="463">
        <f>'A) Resumen Ingresos y Egresos'!$D$16*J93</f>
        <v>1108710.3336969689</v>
      </c>
      <c r="K86" s="463">
        <f>'A) Resumen Ingresos y Egresos'!$D$16*K93</f>
        <v>1140873.5656453101</v>
      </c>
      <c r="L86" s="463">
        <f>'A) Resumen Ingresos y Egresos'!$D$16*L93</f>
        <v>817829.59999380936</v>
      </c>
      <c r="M86" s="463">
        <f>'A) Resumen Ingresos y Egresos'!$D$16*M93</f>
        <v>1042608.8244030348</v>
      </c>
      <c r="N86" s="464">
        <f>'A) Resumen Ingresos y Egresos'!$D$16*N93</f>
        <v>642075.25176062458</v>
      </c>
      <c r="O86" s="465">
        <f t="shared" ref="O86:O92" si="21">SUM(C86:N86)</f>
        <v>14081100.000000002</v>
      </c>
      <c r="P86" s="316">
        <f>IF(Q86=12,C86+D86+E86+F86+G86+H86+I86+J86+K86+L86+M86+N86,IF(Q86=11,C86+D86+E86+F86+G86+H86+I86+J86+K86+L86+M86,IF(Q86=10,C86+D86+E86+F86+G86+H86+I86+J86+K86+L86,IF(Q86=9,C86+D86+E86+F86+G86+H86+I86+J86+K86,IF(Q86=8,C86+D86+E86+F86+G86+H86+I86+J86,IF(Q86=7,C86+D86+E86+F86+G86+H86+I86,IF(Q86=6,C86+D86+E86+F86+G86+H86,IF(Q86=5,C86+D86+E86+F86+G86,0))))))))</f>
        <v>14081100.000000002</v>
      </c>
      <c r="Q86" s="319">
        <f>COUNTA(#REF!,#REF!,#REF!,#REF!,#REF!,#REF!,#REF!,#REF!,#REF!,#REF!,#REF!,#REF!)</f>
        <v>12</v>
      </c>
    </row>
    <row r="87" spans="2:18" x14ac:dyDescent="0.35">
      <c r="B87" s="462" t="s">
        <v>249</v>
      </c>
      <c r="C87" s="463">
        <f>(SUM('F) Remuneraciones'!$L$180:$L$190)-SUM('F) Remuneraciones'!$I$180:$J$190))/12</f>
        <v>2668440.2800171874</v>
      </c>
      <c r="D87" s="463">
        <f>(SUM('F) Remuneraciones'!$L$180:$L$190)-SUM('F) Remuneraciones'!$I$180:$J$190))/12</f>
        <v>2668440.2800171874</v>
      </c>
      <c r="E87" s="463">
        <f>(SUM('F) Remuneraciones'!$L$180:$L$190)-SUM('F) Remuneraciones'!$I$180:$J$190))/12</f>
        <v>2668440.2800171874</v>
      </c>
      <c r="F87" s="463">
        <f>(SUM('F) Remuneraciones'!$L$180:$L$190)-SUM('F) Remuneraciones'!$I$180:$J$190))/12</f>
        <v>2668440.2800171874</v>
      </c>
      <c r="G87" s="463">
        <f>(SUM('F) Remuneraciones'!$L$180:$L$190)-SUM('F) Remuneraciones'!$I$180:$J$190))/12</f>
        <v>2668440.2800171874</v>
      </c>
      <c r="H87" s="463">
        <f>(SUM('F) Remuneraciones'!$L$180:$L$190)-SUM('F) Remuneraciones'!$I$180:$J$190))/12</f>
        <v>2668440.2800171874</v>
      </c>
      <c r="I87" s="463">
        <f>(SUM('F) Remuneraciones'!$L$180:$L$190)-SUM('F) Remuneraciones'!$I$180:$J$190))/12</f>
        <v>2668440.2800171874</v>
      </c>
      <c r="J87" s="463">
        <f>(SUM('F) Remuneraciones'!$L$180:$L$190)-SUM('F) Remuneraciones'!$I$180:$J$190))/12</f>
        <v>2668440.2800171874</v>
      </c>
      <c r="K87" s="463">
        <f>(SUM('F) Remuneraciones'!$L$180:$L$190)-SUM('F) Remuneraciones'!$I$180:$J$190))/12</f>
        <v>2668440.2800171874</v>
      </c>
      <c r="L87" s="463">
        <f>(SUM('F) Remuneraciones'!$L$180:$L$190)-SUM('F) Remuneraciones'!$I$180:$J$190))/12</f>
        <v>2668440.2800171874</v>
      </c>
      <c r="M87" s="463">
        <f>(SUM('F) Remuneraciones'!$L$180:$L$190)-SUM('F) Remuneraciones'!$I$180:$J$190))/12</f>
        <v>2668440.2800171874</v>
      </c>
      <c r="N87" s="463">
        <f>(SUM('F) Remuneraciones'!$L$180:$L$190)-SUM('F) Remuneraciones'!$I$180:$J$190))/12</f>
        <v>2668440.2800171874</v>
      </c>
      <c r="O87" s="465">
        <f t="shared" si="21"/>
        <v>32021283.360206243</v>
      </c>
      <c r="P87" s="422">
        <f>IF(Q87=12,C87+D87+E87+F87+G87+H87+I87+J87+K87+L87+M87+N87,IF(Q87=11,C87+D87+E87+F87+G87+H87+I87+J87+K87+L87+M87,IF(Q87=10,C87+D87+E87+F87+G87+H87+I87+J87+K87+L87,IF(Q87=9,C87+D87+E87+F87+G87+H87+I87+J87+K87,IF(Q87=8,C87+D87+E87+F87+G87+H87+I87+J87,IF(Q87=7,C87+D87+E87+F87+G87+H87+I87,IF(Q87=6,C87+D87+E87+F87+G87+H87,IF(Q87=5,C87+D87+E87+F87+G87,0))))))))</f>
        <v>32021283.360206243</v>
      </c>
      <c r="Q87" s="1499">
        <f>COUNTA(#REF!,#REF!,#REF!,#REF!,#REF!,#REF!,#REF!,#REF!,#REF!,#REF!,#REF!,#REF!)</f>
        <v>12</v>
      </c>
    </row>
    <row r="88" spans="2:18" x14ac:dyDescent="0.35">
      <c r="B88" s="462" t="s">
        <v>250</v>
      </c>
      <c r="C88" s="463">
        <f>(SUM('F) Remuneraciones'!$H$191:$H$201)*(1+'F) Remuneraciones'!$M$7))*(1+'F) Remuneraciones'!$M$8)/4</f>
        <v>0</v>
      </c>
      <c r="D88" s="463">
        <f>(SUM('F) Remuneraciones'!$H$191:$H$201)*(1+'F) Remuneraciones'!$M$7))*(1+'F) Remuneraciones'!$M$8)/4</f>
        <v>0</v>
      </c>
      <c r="E88" s="463">
        <f>(SUM('F) Remuneraciones'!$H$191:$H$201)*(1+'F) Remuneraciones'!$M$7))*(1+'F) Remuneraciones'!$M$8)/4</f>
        <v>0</v>
      </c>
      <c r="F88" s="463">
        <v>0</v>
      </c>
      <c r="G88" s="463">
        <v>0</v>
      </c>
      <c r="H88" s="463">
        <v>0</v>
      </c>
      <c r="I88" s="463">
        <v>0</v>
      </c>
      <c r="J88" s="463">
        <v>0</v>
      </c>
      <c r="K88" s="463">
        <v>0</v>
      </c>
      <c r="L88" s="463">
        <v>0</v>
      </c>
      <c r="M88" s="463">
        <v>0</v>
      </c>
      <c r="N88" s="464">
        <f>(SUM('F) Remuneraciones'!$H$191:$H$201)*(1+'F) Remuneraciones'!$M$7))*(1+'F) Remuneraciones'!$M$8)/4</f>
        <v>0</v>
      </c>
      <c r="O88" s="465">
        <f t="shared" si="21"/>
        <v>0</v>
      </c>
      <c r="P88" s="422">
        <f>IF(Q87=12,C88+D88+E88+F88+G88+H88+I88+J88+K88+L88+M88+N88,IF(Q87=11,C88+D88+E88+F88+G88+H88+I88+J88+K88+L88+M88,IF(Q87=10,C88+D88+E88+F88+G88+H88+I88+J88+K88+L88,IF(Q87=9,C88+D88+E88+F88+G88+H88+I88+J88+K88,IF(Q87=8,C88+D88+E88+F88+G88+H88+I88+J88,IF(Q87=7,C88+D88+E88+F88+G88+H88+I88,IF(Q87=6,C88+D88+E88+F88+G88+H88,IF(Q87=5,C88+D88+E88+F88+G88,0))))))))</f>
        <v>0</v>
      </c>
      <c r="Q88" s="1499"/>
    </row>
    <row r="89" spans="2:18" x14ac:dyDescent="0.35">
      <c r="B89" s="462" t="s">
        <v>251</v>
      </c>
      <c r="C89" s="463">
        <f>SUM('F) Remuneraciones'!I180:I190)/2</f>
        <v>579714</v>
      </c>
      <c r="D89" s="463">
        <v>0</v>
      </c>
      <c r="E89" s="463">
        <v>0</v>
      </c>
      <c r="F89" s="463">
        <v>0</v>
      </c>
      <c r="G89" s="463">
        <v>0</v>
      </c>
      <c r="H89" s="463">
        <v>0</v>
      </c>
      <c r="I89" s="463">
        <v>0</v>
      </c>
      <c r="J89" s="463">
        <v>0</v>
      </c>
      <c r="K89" s="463">
        <f>SUM('F) Remuneraciones'!J180:J190)/2</f>
        <v>261708</v>
      </c>
      <c r="L89" s="463">
        <v>0</v>
      </c>
      <c r="M89" s="463">
        <v>0</v>
      </c>
      <c r="N89" s="464">
        <f>+C89+K89</f>
        <v>841422</v>
      </c>
      <c r="O89" s="465">
        <f t="shared" si="21"/>
        <v>1682844</v>
      </c>
      <c r="P89" s="316">
        <f>IF(Q89=12,C89+D89+E89+F89+G89+H89+I89+J89+K89+L89+M89+N89,IF(Q89=11,C89+D89+E89+F89+G89+H89+I89+J89+K89+L89+M89,IF(Q89=10,C89+D89+E89+F89+G89+H89+I89+J89+K89+L89,IF(Q89=9,C89+D89+E89+F89+G89+H89+I89+J89+K89,IF(Q89=8,C89+D89+E89+F89+G89+H89+I89+J89,IF(Q89=7,C89+D89+E89+F89+G89+H89+I89,IF(Q89=6,C89+D89+E89+F89+G89+H89,IF(Q89=5,C89+D89+E89+F89+G89,0))))))))</f>
        <v>1682844</v>
      </c>
      <c r="Q89" s="319">
        <f>COUNTA(#REF!,#REF!,#REF!,#REF!,#REF!,#REF!,#REF!,#REF!,#REF!,#REF!,#REF!,#REF!)</f>
        <v>12</v>
      </c>
    </row>
    <row r="90" spans="2:18" x14ac:dyDescent="0.35">
      <c r="B90" s="462" t="s">
        <v>252</v>
      </c>
      <c r="C90" s="463">
        <f>('C) Estimación Costos Directos'!$H$515-'C) Estimación Costos Directos'!$H$516)*C94</f>
        <v>1374643.415616038</v>
      </c>
      <c r="D90" s="463">
        <f>('C) Estimación Costos Directos'!$H$515-'C) Estimación Costos Directos'!$H$516)*D94</f>
        <v>1237401.6615877871</v>
      </c>
      <c r="E90" s="463">
        <f>('C) Estimación Costos Directos'!$H$515-'C) Estimación Costos Directos'!$H$516)*E94</f>
        <v>825312.12244608474</v>
      </c>
      <c r="F90" s="463">
        <f>('C) Estimación Costos Directos'!$H$515-'C) Estimación Costos Directos'!$H$516)*F94</f>
        <v>847820.94586664799</v>
      </c>
      <c r="G90" s="463">
        <f>('C) Estimación Costos Directos'!$H$515-'C) Estimación Costos Directos'!$H$516)*G94</f>
        <v>983369.33223523805</v>
      </c>
      <c r="H90" s="463">
        <f>('C) Estimación Costos Directos'!$H$515-'C) Estimación Costos Directos'!$H$516)*H94</f>
        <v>691960.05790944432</v>
      </c>
      <c r="I90" s="463">
        <f>('C) Estimación Costos Directos'!$H$515-'C) Estimación Costos Directos'!$H$516)*I94</f>
        <v>995137.55212431098</v>
      </c>
      <c r="J90" s="463">
        <f>('C) Estimación Costos Directos'!$H$515-'C) Estimación Costos Directos'!$H$516)*J94</f>
        <v>826647.39866540604</v>
      </c>
      <c r="K90" s="463">
        <f>('C) Estimación Costos Directos'!$H$515-'C) Estimación Costos Directos'!$H$516)*K94</f>
        <v>850628.10058067786</v>
      </c>
      <c r="L90" s="463">
        <f>('C) Estimación Costos Directos'!$H$515-'C) Estimación Costos Directos'!$H$516)*L94</f>
        <v>609768.56699094409</v>
      </c>
      <c r="M90" s="463">
        <f>('C) Estimación Costos Directos'!$H$515-'C) Estimación Costos Directos'!$H$516)*M94</f>
        <v>777362.53223552159</v>
      </c>
      <c r="N90" s="464">
        <f>('C) Estimación Costos Directos'!$H$515-'C) Estimación Costos Directos'!$H$516)*N94</f>
        <v>478727.23874189606</v>
      </c>
      <c r="O90" s="465">
        <f t="shared" si="21"/>
        <v>10498778.924999995</v>
      </c>
      <c r="P90" s="316">
        <f>IF(Q90=12,C90+D90+E90+F90+G90+H90+I90+J90+K90+L90+M90+N90,IF(Q90=11,C90+D90+E90+F90+G90+H90+I90+J90+K90+L90+M90,IF(Q90=10,C90+D90+E90+F90+G90+H90+I90+J90+K90+L90,IF(Q90=9,C90+D90+E90+F90+G90+H90+I90+J90+K90,IF(Q90=8,C90+D90+E90+F90+G90+H90+I90+J90,IF(Q90=7,C90+D90+E90+F90+G90+H90+I90,IF(Q90=6,C90+D90+E90+F90+G90+H90,IF(Q90=5,C90+D90+E90+F90+G90,0))))))))</f>
        <v>10498778.924999995</v>
      </c>
      <c r="Q90" s="319">
        <f>COUNTA(#REF!,#REF!,#REF!,#REF!,#REF!,#REF!,#REF!,#REF!,#REF!,#REF!,#REF!,#REF!)</f>
        <v>12</v>
      </c>
    </row>
    <row r="91" spans="2:18" ht="15" thickBot="1" x14ac:dyDescent="0.4">
      <c r="B91" s="468" t="s">
        <v>310</v>
      </c>
      <c r="C91" s="469">
        <f>'C) Estimación Costos Directos'!$H$543*C95</f>
        <v>795958.07664730842</v>
      </c>
      <c r="D91" s="469">
        <f>'C) Estimación Costos Directos'!$H$543*D95</f>
        <v>716491.15356669633</v>
      </c>
      <c r="E91" s="469">
        <f>'C) Estimación Costos Directos'!$H$543*E95</f>
        <v>477879.45743114885</v>
      </c>
      <c r="F91" s="469">
        <f>'C) Estimación Costos Directos'!$H$543*F95</f>
        <v>490912.71361518727</v>
      </c>
      <c r="G91" s="469">
        <f>'C) Estimación Costos Directos'!$H$543*G95</f>
        <v>569399.12811435293</v>
      </c>
      <c r="H91" s="469">
        <f>'C) Estimación Costos Directos'!$H$543*H95</f>
        <v>400664.77644570591</v>
      </c>
      <c r="I91" s="469">
        <f>'C) Estimación Costos Directos'!$H$543*I95</f>
        <v>576213.26592060819</v>
      </c>
      <c r="J91" s="469">
        <f>'C) Estimación Costos Directos'!$H$543*J95</f>
        <v>478652.62076881895</v>
      </c>
      <c r="K91" s="469">
        <f>'C) Estimación Costos Directos'!$H$543*K95</f>
        <v>492538.13693708152</v>
      </c>
      <c r="L91" s="469">
        <f>'C) Estimación Costos Directos'!$H$543*L95</f>
        <v>353073.53912184609</v>
      </c>
      <c r="M91" s="469">
        <f>'C) Estimación Costos Directos'!$H$543*M95</f>
        <v>450115.26552038878</v>
      </c>
      <c r="N91" s="470">
        <f>'C) Estimación Costos Directos'!$H$543*N95</f>
        <v>277196.84091085731</v>
      </c>
      <c r="O91" s="471">
        <f t="shared" si="21"/>
        <v>6079094.9750000015</v>
      </c>
      <c r="P91" s="316">
        <f>IF(Q91=12,C91+D91+E91+F91+G91+H91+I91+J91+K91+L91+M91+N91,IF(Q91=11,C91+D91+E91+F91+G91+H91+I91+J91+K91+L91+M91,IF(Q91=10,C91+D91+E91+F91+G91+H91+I91+J91+K91+L91,IF(Q91=9,C91+D91+E91+F91+G91+H91+I91+J91+K91,IF(Q91=8,C91+D91+E91+F91+G91+H91+I91+J91,IF(Q91=7,C91+D91+E91+F91+G91+H91+I91,IF(Q91=6,C91+D91+E91+F91+G91+H91,IF(Q91=5,C91+D91+E91+F91+G91,0))))))))</f>
        <v>6079094.9750000015</v>
      </c>
      <c r="Q91" s="319">
        <f>COUNTA(#REF!,#REF!,#REF!,#REF!,#REF!,#REF!,#REF!,#REF!,#REF!,#REF!,#REF!,#REF!)</f>
        <v>12</v>
      </c>
    </row>
    <row r="92" spans="2:18" s="445" customFormat="1" ht="15" thickBot="1" x14ac:dyDescent="0.4">
      <c r="B92" s="472" t="s">
        <v>253</v>
      </c>
      <c r="C92" s="466">
        <f>C86-(C87+C88+C89+C90+C91)</f>
        <v>-3575065.9929349804</v>
      </c>
      <c r="D92" s="466">
        <f t="shared" ref="D92:N92" si="22">D86-(D87+D88+D89+D90+D91)</f>
        <v>-2962713.7564414013</v>
      </c>
      <c r="E92" s="466">
        <f t="shared" si="22"/>
        <v>-2864712.4161767727</v>
      </c>
      <c r="F92" s="466">
        <f t="shared" si="22"/>
        <v>-2870065.3665758283</v>
      </c>
      <c r="G92" s="466">
        <f t="shared" si="22"/>
        <v>-2902300.893744261</v>
      </c>
      <c r="H92" s="466">
        <f t="shared" si="22"/>
        <v>-2832999.2087052483</v>
      </c>
      <c r="I92" s="466">
        <f t="shared" si="22"/>
        <v>-2905099.5605681268</v>
      </c>
      <c r="J92" s="466">
        <f t="shared" si="22"/>
        <v>-2865029.9657544438</v>
      </c>
      <c r="K92" s="466">
        <f t="shared" si="22"/>
        <v>-3132440.9518896369</v>
      </c>
      <c r="L92" s="466">
        <f t="shared" si="22"/>
        <v>-2813452.7861361681</v>
      </c>
      <c r="M92" s="466">
        <f t="shared" si="22"/>
        <v>-2853309.2533700624</v>
      </c>
      <c r="N92" s="467">
        <f t="shared" si="22"/>
        <v>-3623711.1079093162</v>
      </c>
      <c r="O92" s="473">
        <f t="shared" si="21"/>
        <v>-36200901.260206245</v>
      </c>
      <c r="P92" s="443"/>
      <c r="Q92" s="444"/>
      <c r="R92" s="874"/>
    </row>
    <row r="93" spans="2:18" x14ac:dyDescent="0.35">
      <c r="B93" s="952" t="s">
        <v>254</v>
      </c>
      <c r="C93" s="943">
        <v>0.13093364718278783</v>
      </c>
      <c r="D93" s="943">
        <v>0.11786148374276653</v>
      </c>
      <c r="E93" s="943">
        <v>7.8610296334636356E-2</v>
      </c>
      <c r="F93" s="943">
        <v>8.0754243128959707E-2</v>
      </c>
      <c r="G93" s="943">
        <v>9.3665114701444993E-2</v>
      </c>
      <c r="H93" s="943">
        <v>6.5908622598169861E-2</v>
      </c>
      <c r="I93" s="943">
        <v>9.4786027902222098E-2</v>
      </c>
      <c r="J93" s="943">
        <v>7.8737480288966682E-2</v>
      </c>
      <c r="K93" s="943">
        <v>8.1021622291249276E-2</v>
      </c>
      <c r="L93" s="943">
        <v>5.8079951139741168E-2</v>
      </c>
      <c r="M93" s="943">
        <v>7.4043137567593065E-2</v>
      </c>
      <c r="N93" s="943">
        <v>4.5598373121462428E-2</v>
      </c>
      <c r="O93" s="959">
        <f t="shared" ref="O93:O95" si="23">SUM(C93:N93)</f>
        <v>1.0000000000000002</v>
      </c>
    </row>
    <row r="94" spans="2:18" x14ac:dyDescent="0.35">
      <c r="B94" s="953" t="s">
        <v>334</v>
      </c>
      <c r="C94" s="945">
        <v>0.13093364718278783</v>
      </c>
      <c r="D94" s="945">
        <v>0.11786148374276653</v>
      </c>
      <c r="E94" s="945">
        <v>7.8610296334636356E-2</v>
      </c>
      <c r="F94" s="945">
        <v>8.0754243128959707E-2</v>
      </c>
      <c r="G94" s="945">
        <v>9.3665114701444993E-2</v>
      </c>
      <c r="H94" s="945">
        <v>6.5908622598169861E-2</v>
      </c>
      <c r="I94" s="945">
        <v>9.4786027902222098E-2</v>
      </c>
      <c r="J94" s="945">
        <v>7.8737480288966682E-2</v>
      </c>
      <c r="K94" s="945">
        <v>8.1021622291249276E-2</v>
      </c>
      <c r="L94" s="945">
        <v>5.8079951139741168E-2</v>
      </c>
      <c r="M94" s="945">
        <v>7.4043137567593065E-2</v>
      </c>
      <c r="N94" s="945">
        <v>4.5598373121462428E-2</v>
      </c>
      <c r="O94" s="959">
        <f t="shared" si="23"/>
        <v>1.0000000000000002</v>
      </c>
    </row>
    <row r="95" spans="2:18" ht="15" thickBot="1" x14ac:dyDescent="0.4">
      <c r="B95" s="953" t="s">
        <v>311</v>
      </c>
      <c r="C95" s="945">
        <v>0.13093364718278783</v>
      </c>
      <c r="D95" s="945">
        <v>0.11786148374276653</v>
      </c>
      <c r="E95" s="945">
        <v>7.8610296334636356E-2</v>
      </c>
      <c r="F95" s="945">
        <v>8.0754243128959707E-2</v>
      </c>
      <c r="G95" s="945">
        <v>9.3665114701444993E-2</v>
      </c>
      <c r="H95" s="945">
        <v>6.5908622598169861E-2</v>
      </c>
      <c r="I95" s="945">
        <v>9.4786027902222098E-2</v>
      </c>
      <c r="J95" s="945">
        <v>7.8737480288966682E-2</v>
      </c>
      <c r="K95" s="945">
        <v>8.1021622291249276E-2</v>
      </c>
      <c r="L95" s="945">
        <v>5.8079951139741168E-2</v>
      </c>
      <c r="M95" s="945">
        <v>7.4043137567593065E-2</v>
      </c>
      <c r="N95" s="945">
        <v>4.5598373121462428E-2</v>
      </c>
      <c r="O95" s="959">
        <f t="shared" si="23"/>
        <v>1.0000000000000002</v>
      </c>
    </row>
    <row r="96" spans="2:18" ht="29" x14ac:dyDescent="0.35">
      <c r="B96" s="427" t="s">
        <v>264</v>
      </c>
      <c r="C96" s="428" t="s">
        <v>235</v>
      </c>
      <c r="D96" s="428" t="s">
        <v>236</v>
      </c>
      <c r="E96" s="428" t="s">
        <v>237</v>
      </c>
      <c r="F96" s="428" t="s">
        <v>238</v>
      </c>
      <c r="G96" s="428" t="s">
        <v>239</v>
      </c>
      <c r="H96" s="428" t="s">
        <v>240</v>
      </c>
      <c r="I96" s="428" t="s">
        <v>241</v>
      </c>
      <c r="J96" s="429" t="s">
        <v>242</v>
      </c>
      <c r="K96" s="428" t="s">
        <v>243</v>
      </c>
      <c r="L96" s="428" t="s">
        <v>244</v>
      </c>
      <c r="M96" s="428" t="s">
        <v>245</v>
      </c>
      <c r="N96" s="428" t="s">
        <v>246</v>
      </c>
      <c r="O96" s="430" t="s">
        <v>331</v>
      </c>
      <c r="P96" s="316"/>
      <c r="Q96" s="318" t="s">
        <v>332</v>
      </c>
    </row>
    <row r="97" spans="1:18" x14ac:dyDescent="0.35">
      <c r="B97" s="431" t="s">
        <v>248</v>
      </c>
      <c r="C97" s="254">
        <f>'A) Resumen Ingresos y Egresos'!$D$17*C104</f>
        <v>25710205.900000002</v>
      </c>
      <c r="D97" s="254">
        <f>'A) Resumen Ingresos y Egresos'!$D$17*D104</f>
        <v>23139185.309999999</v>
      </c>
      <c r="E97" s="254">
        <f>'A) Resumen Ingresos y Egresos'!$D$17*E104</f>
        <v>23139185.309999999</v>
      </c>
      <c r="F97" s="254">
        <f>'A) Resumen Ingresos y Egresos'!$D$17*F104</f>
        <v>20568164.719999999</v>
      </c>
      <c r="G97" s="254">
        <f>'A) Resumen Ingresos y Egresos'!$D$17*G104</f>
        <v>23139185.309999999</v>
      </c>
      <c r="H97" s="254">
        <f>'A) Resumen Ingresos y Egresos'!$D$17*H104</f>
        <v>23139185.309999999</v>
      </c>
      <c r="I97" s="254">
        <f>'A) Resumen Ingresos y Egresos'!$D$17*I104</f>
        <v>15426123.539999999</v>
      </c>
      <c r="J97" s="254">
        <f>'A) Resumen Ingresos y Egresos'!$D$17*J104</f>
        <v>20568164.719999999</v>
      </c>
      <c r="K97" s="254">
        <f>'A) Resumen Ingresos y Egresos'!$D$17*K104</f>
        <v>20568164.719999999</v>
      </c>
      <c r="L97" s="254">
        <f>'A) Resumen Ingresos y Egresos'!$D$17*L104</f>
        <v>17997144.130000003</v>
      </c>
      <c r="M97" s="254">
        <f>'A) Resumen Ingresos y Egresos'!$D$17*M104</f>
        <v>12855102.950000001</v>
      </c>
      <c r="N97" s="254">
        <f>'A) Resumen Ingresos y Egresos'!$D$17*N104</f>
        <v>30852247.079999998</v>
      </c>
      <c r="O97" s="438">
        <f t="shared" ref="O97:O102" si="24">SUM(C97:N97)</f>
        <v>257102058.99999994</v>
      </c>
      <c r="P97" s="316">
        <f>IF(Q97=12,C97+D97+E97+F97+G97+H97+I97+J97+K97+L97+M97+N97,IF(Q97=11,C97+D97+E97+F97+G97+H97+I97+J97+K97+L97+M97,IF(Q97=10,C97+D97+E97+F97+G97+H97+I97+J97+K97+L97,IF(Q97=9,C97+D97+E97+F97+G97+H97+I97+J97+K97,IF(Q97=8,C97+D97+E97+F97+G97+H97+I97+J97,IF(Q97=7,C97+D97+E97+F97+G97+H97+I97,IF(Q97=6,C97+D97+E97+F97+G97+H97,IF(Q97=5,C97+D97+E97+F97+G97,0))))))))</f>
        <v>257102058.99999994</v>
      </c>
      <c r="Q97" s="319">
        <f>COUNTA(#REF!,#REF!,#REF!,#REF!,#REF!,#REF!,#REF!,#REF!,#REF!,#REF!,#REF!,#REF!)</f>
        <v>12</v>
      </c>
    </row>
    <row r="98" spans="1:18" x14ac:dyDescent="0.35">
      <c r="B98" s="431" t="s">
        <v>249</v>
      </c>
      <c r="C98" s="254">
        <f>(SUM('F) Remuneraciones'!$L$202:$L$218)-SUM('F) Remuneraciones'!$I$202:$J$218))/12</f>
        <v>10537430.578124998</v>
      </c>
      <c r="D98" s="254">
        <f>(SUM('F) Remuneraciones'!$L$202:$L$218)-SUM('F) Remuneraciones'!$I$202:$J$218))/12</f>
        <v>10537430.578124998</v>
      </c>
      <c r="E98" s="254">
        <f>(SUM('F) Remuneraciones'!$L$202:$L$218)-SUM('F) Remuneraciones'!$I$202:$J$218))/12</f>
        <v>10537430.578124998</v>
      </c>
      <c r="F98" s="254">
        <f>(SUM('F) Remuneraciones'!$L$202:$L$218)-SUM('F) Remuneraciones'!$I$202:$J$218))/12</f>
        <v>10537430.578124998</v>
      </c>
      <c r="G98" s="254">
        <f>(SUM('F) Remuneraciones'!$L$202:$L$218)-SUM('F) Remuneraciones'!$I$202:$J$218))/12</f>
        <v>10537430.578124998</v>
      </c>
      <c r="H98" s="254">
        <f>(SUM('F) Remuneraciones'!$L$202:$L$218)-SUM('F) Remuneraciones'!$I$202:$J$218))/12</f>
        <v>10537430.578124998</v>
      </c>
      <c r="I98" s="254">
        <f>(SUM('F) Remuneraciones'!$L$202:$L$218)-SUM('F) Remuneraciones'!$I$202:$J$218))/12</f>
        <v>10537430.578124998</v>
      </c>
      <c r="J98" s="254">
        <f>(SUM('F) Remuneraciones'!$L$202:$L$218)-SUM('F) Remuneraciones'!$I$202:$J$218))/12</f>
        <v>10537430.578124998</v>
      </c>
      <c r="K98" s="254">
        <f>(SUM('F) Remuneraciones'!$L$202:$L$218)-SUM('F) Remuneraciones'!$I$202:$J$218))/12</f>
        <v>10537430.578124998</v>
      </c>
      <c r="L98" s="254">
        <f>(SUM('F) Remuneraciones'!$L$202:$L$218)-SUM('F) Remuneraciones'!$I$202:$J$218))/12</f>
        <v>10537430.578124998</v>
      </c>
      <c r="M98" s="254">
        <f>(SUM('F) Remuneraciones'!$L$202:$L$218)-SUM('F) Remuneraciones'!$I$202:$J$218))/12</f>
        <v>10537430.578124998</v>
      </c>
      <c r="N98" s="254">
        <f>(SUM('F) Remuneraciones'!$L$202:$L$218)-SUM('F) Remuneraciones'!$I$202:$J$218))/12</f>
        <v>10537430.578124998</v>
      </c>
      <c r="O98" s="438">
        <f t="shared" si="24"/>
        <v>126449166.93749999</v>
      </c>
      <c r="P98" s="422">
        <f>IF(Q98=12,C98+D98+E98+F98+G98+H98+I98+J98+K98+L98+M98+N98,IF(Q98=11,C98+D98+E98+F98+G98+H98+I98+J98+K98+L98+M98,IF(Q98=10,C98+D98+E98+F98+G98+H98+I98+J98+K98+L98,IF(Q98=9,C98+D98+E98+F98+G98+H98+I98+J98+K98,IF(Q98=8,C98+D98+E98+F98+G98+H98+I98+J98,IF(Q98=7,C98+D98+E98+F98+G98+H98+I98,IF(Q98=6,C98+D98+E98+F98+G98+H98,IF(Q98=5,C98+D98+E98+F98+G98,0))))))))</f>
        <v>126449166.93749999</v>
      </c>
      <c r="Q98" s="1499">
        <f>COUNTA(#REF!,#REF!,#REF!,#REF!,#REF!,#REF!,#REF!,#REF!,#REF!,#REF!,#REF!,#REF!)</f>
        <v>12</v>
      </c>
    </row>
    <row r="99" spans="1:18" x14ac:dyDescent="0.35">
      <c r="B99" s="431" t="s">
        <v>250</v>
      </c>
      <c r="C99" s="254">
        <f>SUM('F) Remuneraciones'!$L$219:$L$229)/4</f>
        <v>0</v>
      </c>
      <c r="D99" s="254">
        <f>SUM('F) Remuneraciones'!$L$219:$L$229)/4</f>
        <v>0</v>
      </c>
      <c r="E99" s="254">
        <f>SUM('F) Remuneraciones'!$L$219:$L$229)/4</f>
        <v>0</v>
      </c>
      <c r="F99" s="254">
        <v>0</v>
      </c>
      <c r="G99" s="254">
        <v>0</v>
      </c>
      <c r="H99" s="254">
        <v>0</v>
      </c>
      <c r="I99" s="254">
        <v>0</v>
      </c>
      <c r="J99" s="254">
        <v>0</v>
      </c>
      <c r="K99" s="254">
        <v>0</v>
      </c>
      <c r="L99" s="254">
        <v>0</v>
      </c>
      <c r="M99" s="254">
        <v>0</v>
      </c>
      <c r="N99" s="254">
        <f>SUM('F) Remuneraciones'!$L$219:$L$229)/4</f>
        <v>0</v>
      </c>
      <c r="O99" s="438">
        <f t="shared" si="24"/>
        <v>0</v>
      </c>
      <c r="P99" s="422">
        <f>IF(Q98=12,C99+D99+E99+F99+G99+H99+I99+J99+K99+L99+M99+N99,IF(Q98=11,C99+D99+E99+F99+G99+H99+I99+J99+K99+L99+M99,IF(Q98=10,C99+D99+E99+F99+G99+H99+I99+J99+K99+L99,IF(Q98=9,C99+D99+E99+F99+G99+H99+I99+J99+K99,IF(Q98=8,C99+D99+E99+F99+G99+H99+I99+J99,IF(Q98=7,C99+D99+E99+F99+G99+H99+I99,IF(Q98=6,C99+D99+E99+F99+G99+H99,IF(Q98=5,C99+D99+E99+F99+G99,0))))))))</f>
        <v>0</v>
      </c>
      <c r="Q99" s="1499"/>
    </row>
    <row r="100" spans="1:18" x14ac:dyDescent="0.35">
      <c r="B100" s="431" t="s">
        <v>251</v>
      </c>
      <c r="C100" s="254">
        <f>SUM('F) Remuneraciones'!I202:I218)/2</f>
        <v>2813904.5</v>
      </c>
      <c r="D100" s="254">
        <v>0</v>
      </c>
      <c r="E100" s="254">
        <v>0</v>
      </c>
      <c r="F100" s="254">
        <v>0</v>
      </c>
      <c r="G100" s="254">
        <v>0</v>
      </c>
      <c r="H100" s="254">
        <v>0</v>
      </c>
      <c r="I100" s="254">
        <v>0</v>
      </c>
      <c r="J100" s="254">
        <v>0</v>
      </c>
      <c r="K100" s="254">
        <f>SUM('F) Remuneraciones'!J202:J218)/2</f>
        <v>1308540</v>
      </c>
      <c r="L100" s="254">
        <v>0</v>
      </c>
      <c r="M100" s="254">
        <v>0</v>
      </c>
      <c r="N100" s="254">
        <f>+C100+K100</f>
        <v>4122444.5</v>
      </c>
      <c r="O100" s="438">
        <f t="shared" si="24"/>
        <v>8244889</v>
      </c>
      <c r="P100" s="316">
        <f>IF(Q100=12,C100+D100+E100+F100+G100+H100+I100+J100+K100+L100+M100+N100,IF(Q100=11,C100+D100+E100+F100+G100+H100+I100+J100+K100+L100+M100,IF(Q100=10,C100+D100+E100+F100+G100+H100+I100+J100+K100+L100,IF(Q100=9,C100+D100+E100+F100+G100+H100+I100+J100+K100,IF(Q100=8,C100+D100+E100+F100+G100+H100+I100+J100,IF(Q100=7,C100+D100+E100+F100+G100+H100+I100,IF(Q100=6,C100+D100+E100+F100+G100+H100,IF(Q100=5,C100+D100+E100+F100+G100,0))))))))</f>
        <v>8244889</v>
      </c>
      <c r="Q100" s="319">
        <f>COUNTA(#REF!,#REF!,#REF!,#REF!,#REF!,#REF!,#REF!,#REF!,#REF!,#REF!,#REF!,#REF!)</f>
        <v>12</v>
      </c>
    </row>
    <row r="101" spans="1:18" s="451" customFormat="1" x14ac:dyDescent="0.35">
      <c r="A101" s="936"/>
      <c r="B101" s="452" t="s">
        <v>252</v>
      </c>
      <c r="C101" s="446">
        <f>(SUM('C) Estimación Costos Directos'!$H$595+'C) Estimación Costos Directos'!$H$593))*C105</f>
        <v>18015835.811489072</v>
      </c>
      <c r="D101" s="446">
        <f>(SUM('C) Estimación Costos Directos'!$H$595+'C) Estimación Costos Directos'!$H$593))*D105</f>
        <v>16214252.230340164</v>
      </c>
      <c r="E101" s="446">
        <f>(SUM('C) Estimación Costos Directos'!$H$595+'C) Estimación Costos Directos'!$H$593))*E105</f>
        <v>16214252.230340164</v>
      </c>
      <c r="F101" s="446">
        <f>(SUM('C) Estimación Costos Directos'!$H$595+'C) Estimación Costos Directos'!$H$593))*F105</f>
        <v>14412668.649191258</v>
      </c>
      <c r="G101" s="446">
        <f>(SUM('C) Estimación Costos Directos'!$H$595+'C) Estimación Costos Directos'!$H$593))*G105</f>
        <v>16214252.230340164</v>
      </c>
      <c r="H101" s="446">
        <f>(SUM('C) Estimación Costos Directos'!$H$595+'C) Estimación Costos Directos'!$H$593))*H105</f>
        <v>16214252.230340164</v>
      </c>
      <c r="I101" s="446">
        <f>(SUM('C) Estimación Costos Directos'!$H$595+'C) Estimación Costos Directos'!$H$593))*I105</f>
        <v>10809501.486893443</v>
      </c>
      <c r="J101" s="446">
        <f>(SUM('C) Estimación Costos Directos'!$H$595+'C) Estimación Costos Directos'!$H$593))*J105</f>
        <v>14412668.649191258</v>
      </c>
      <c r="K101" s="446">
        <f>(SUM('C) Estimación Costos Directos'!$H$595+'C) Estimación Costos Directos'!$H$593))*K105</f>
        <v>14412668.649191258</v>
      </c>
      <c r="L101" s="446">
        <f>(SUM('C) Estimación Costos Directos'!$H$595+'C) Estimación Costos Directos'!$H$593))*L105</f>
        <v>12611085.068042353</v>
      </c>
      <c r="M101" s="446">
        <f>(SUM('C) Estimación Costos Directos'!$H$595+'C) Estimación Costos Directos'!$H$593))*M105</f>
        <v>9007917.9057445358</v>
      </c>
      <c r="N101" s="446">
        <f>(SUM('C) Estimación Costos Directos'!$H$595+'C) Estimación Costos Directos'!$H$593))*N105</f>
        <v>21619002.973786887</v>
      </c>
      <c r="O101" s="438">
        <f t="shared" si="24"/>
        <v>180158358.11489072</v>
      </c>
      <c r="P101" s="450">
        <f>IF(Q101=12,C101+D101+E101+F101+G101+H101+I101+J101+K101+L101+M101+N101,IF(Q101=11,C101+D101+E101+F101+G101+H101+I101+J101+K101+L101+M101,IF(Q101=10,C101+D101+E101+F101+G101+H101+I101+J101+K101+L101,IF(Q101=9,C101+D101+E101+F101+G101+H101+I101+J101+K101,IF(Q101=8,C101+D101+E101+F101+G101+H101+I101+J101,IF(Q101=7,C101+D101+E101+F101+G101+H101+I101,IF(Q101=6,C101+D101+E101+F101+G101+H101,IF(Q101=5,C101+D101+E101+F101+G101,0))))))))</f>
        <v>180158358.11489072</v>
      </c>
      <c r="Q101" s="450">
        <f>COUNTA(#REF!,#REF!,#REF!,#REF!,#REF!,#REF!,#REF!,#REF!,#REF!,#REF!,#REF!,#REF!)</f>
        <v>12</v>
      </c>
    </row>
    <row r="102" spans="1:18" ht="15" thickBot="1" x14ac:dyDescent="0.4">
      <c r="B102" s="433" t="s">
        <v>310</v>
      </c>
      <c r="C102" s="434">
        <f>'C) Estimación Costos Directos'!$H$615*C106</f>
        <v>2087797.5174999998</v>
      </c>
      <c r="D102" s="434">
        <f>'C) Estimación Costos Directos'!$H$615*D106</f>
        <v>1879017.7657499996</v>
      </c>
      <c r="E102" s="434">
        <f>'C) Estimación Costos Directos'!$H$615*E106</f>
        <v>1879017.7657499996</v>
      </c>
      <c r="F102" s="434">
        <f>'C) Estimación Costos Directos'!$H$615*F106</f>
        <v>1670238.0139999997</v>
      </c>
      <c r="G102" s="434">
        <f>'C) Estimación Costos Directos'!$H$615*G106</f>
        <v>1879017.7657499996</v>
      </c>
      <c r="H102" s="434">
        <f>'C) Estimación Costos Directos'!$H$615*H106</f>
        <v>1879017.7657499996</v>
      </c>
      <c r="I102" s="434">
        <f>'C) Estimación Costos Directos'!$H$615*I106</f>
        <v>1252678.5104999999</v>
      </c>
      <c r="J102" s="434">
        <f>'C) Estimación Costos Directos'!$H$615*J106</f>
        <v>1670238.0139999997</v>
      </c>
      <c r="K102" s="434">
        <f>'C) Estimación Costos Directos'!$H$615*K106</f>
        <v>1670238.0139999997</v>
      </c>
      <c r="L102" s="434">
        <f>'C) Estimación Costos Directos'!$H$615*L106</f>
        <v>1461458.2622499999</v>
      </c>
      <c r="M102" s="434">
        <f>'C) Estimación Costos Directos'!$H$615*M106</f>
        <v>1043898.7587499999</v>
      </c>
      <c r="N102" s="434">
        <f>'C) Estimación Costos Directos'!$H$615*N106</f>
        <v>2505357.0209999997</v>
      </c>
      <c r="O102" s="440">
        <f t="shared" si="24"/>
        <v>20877975.174999997</v>
      </c>
      <c r="P102" s="316">
        <f>IF(Q102=12,C102+D102+E102+F102+G102+H102+I102+J102+K102+L102+M102+N102,IF(Q102=11,C102+D102+E102+F102+G102+H102+I102+J102+K102+L102+M102,IF(Q102=10,C102+D102+E102+F102+G102+H102+I102+J102+K102+L102,IF(Q102=9,C102+D102+E102+F102+G102+H102+I102+J102+K102,IF(Q102=8,C102+D102+E102+F102+G102+H102+I102+J102,IF(Q102=7,C102+D102+E102+F102+G102+H102+I102,IF(Q102=6,C102+D102+E102+F102+G102+H102,IF(Q102=5,C102+D102+E102+F102+G102,0))))))))</f>
        <v>20877975.174999997</v>
      </c>
      <c r="Q102" s="319">
        <f>COUNTA(#REF!,#REF!,#REF!,#REF!,#REF!,#REF!,#REF!,#REF!,#REF!,#REF!,#REF!,#REF!)</f>
        <v>12</v>
      </c>
    </row>
    <row r="103" spans="1:18" s="445" customFormat="1" ht="15" thickBot="1" x14ac:dyDescent="0.4">
      <c r="B103" s="449" t="s">
        <v>253</v>
      </c>
      <c r="C103" s="466">
        <f>C97-(C98+C99+C100+C101+C102)</f>
        <v>-7744762.5071140639</v>
      </c>
      <c r="D103" s="466">
        <f t="shared" ref="D103:N103" si="25">D97-(D98+D99+D100+D101+D102)</f>
        <v>-5491515.2642151602</v>
      </c>
      <c r="E103" s="466">
        <f t="shared" si="25"/>
        <v>-5491515.2642151602</v>
      </c>
      <c r="F103" s="466">
        <f t="shared" si="25"/>
        <v>-6052172.5213162564</v>
      </c>
      <c r="G103" s="466">
        <f t="shared" si="25"/>
        <v>-5491515.2642151602</v>
      </c>
      <c r="H103" s="466">
        <f t="shared" si="25"/>
        <v>-5491515.2642151602</v>
      </c>
      <c r="I103" s="466">
        <f t="shared" si="25"/>
        <v>-7173487.0355184413</v>
      </c>
      <c r="J103" s="466">
        <f t="shared" si="25"/>
        <v>-6052172.5213162564</v>
      </c>
      <c r="K103" s="466">
        <f t="shared" si="25"/>
        <v>-7360712.5213162564</v>
      </c>
      <c r="L103" s="466">
        <f t="shared" si="25"/>
        <v>-6612829.7784173489</v>
      </c>
      <c r="M103" s="466">
        <f t="shared" si="25"/>
        <v>-7734144.292619532</v>
      </c>
      <c r="N103" s="466">
        <f t="shared" si="25"/>
        <v>-7931987.9929118827</v>
      </c>
      <c r="O103" s="437">
        <f>SUM(C103:N103)</f>
        <v>-78628330.227390677</v>
      </c>
      <c r="P103" s="443"/>
      <c r="Q103" s="444"/>
      <c r="R103" s="874"/>
    </row>
    <row r="104" spans="1:18" x14ac:dyDescent="0.35">
      <c r="B104" s="952" t="s">
        <v>254</v>
      </c>
      <c r="C104" s="943">
        <v>0.1</v>
      </c>
      <c r="D104" s="943">
        <v>0.09</v>
      </c>
      <c r="E104" s="943">
        <v>0.09</v>
      </c>
      <c r="F104" s="943">
        <v>0.08</v>
      </c>
      <c r="G104" s="943">
        <v>0.09</v>
      </c>
      <c r="H104" s="943">
        <v>0.09</v>
      </c>
      <c r="I104" s="943">
        <v>0.06</v>
      </c>
      <c r="J104" s="943">
        <v>0.08</v>
      </c>
      <c r="K104" s="943">
        <v>0.08</v>
      </c>
      <c r="L104" s="943">
        <v>7.0000000000000007E-2</v>
      </c>
      <c r="M104" s="943">
        <v>0.05</v>
      </c>
      <c r="N104" s="943">
        <v>0.12</v>
      </c>
      <c r="O104" s="955">
        <f>SUM(C104:N104)</f>
        <v>1</v>
      </c>
      <c r="R104" s="875"/>
    </row>
    <row r="105" spans="1:18" x14ac:dyDescent="0.35">
      <c r="B105" s="953" t="s">
        <v>334</v>
      </c>
      <c r="C105" s="943">
        <v>0.1</v>
      </c>
      <c r="D105" s="943">
        <v>0.09</v>
      </c>
      <c r="E105" s="943">
        <v>0.09</v>
      </c>
      <c r="F105" s="943">
        <v>0.08</v>
      </c>
      <c r="G105" s="943">
        <v>0.09</v>
      </c>
      <c r="H105" s="943">
        <v>0.09</v>
      </c>
      <c r="I105" s="943">
        <v>0.06</v>
      </c>
      <c r="J105" s="943">
        <v>0.08</v>
      </c>
      <c r="K105" s="943">
        <v>0.08</v>
      </c>
      <c r="L105" s="943">
        <v>7.0000000000000007E-2</v>
      </c>
      <c r="M105" s="943">
        <v>0.05</v>
      </c>
      <c r="N105" s="943">
        <v>0.12</v>
      </c>
      <c r="O105" s="955">
        <f t="shared" ref="O105:O106" si="26">SUM(C105:N105)</f>
        <v>1</v>
      </c>
    </row>
    <row r="106" spans="1:18" ht="15" thickBot="1" x14ac:dyDescent="0.4">
      <c r="B106" s="953" t="s">
        <v>311</v>
      </c>
      <c r="C106" s="943">
        <v>0.1</v>
      </c>
      <c r="D106" s="943">
        <v>0.09</v>
      </c>
      <c r="E106" s="943">
        <v>0.09</v>
      </c>
      <c r="F106" s="943">
        <v>0.08</v>
      </c>
      <c r="G106" s="943">
        <v>0.09</v>
      </c>
      <c r="H106" s="943">
        <v>0.09</v>
      </c>
      <c r="I106" s="943">
        <v>0.06</v>
      </c>
      <c r="J106" s="943">
        <v>0.08</v>
      </c>
      <c r="K106" s="943">
        <v>0.08</v>
      </c>
      <c r="L106" s="943">
        <v>7.0000000000000007E-2</v>
      </c>
      <c r="M106" s="943">
        <v>0.05</v>
      </c>
      <c r="N106" s="943">
        <v>0.12</v>
      </c>
      <c r="O106" s="955">
        <f t="shared" si="26"/>
        <v>1</v>
      </c>
    </row>
    <row r="107" spans="1:18" ht="29" x14ac:dyDescent="0.35">
      <c r="B107" s="427" t="s">
        <v>265</v>
      </c>
      <c r="C107" s="428" t="s">
        <v>235</v>
      </c>
      <c r="D107" s="428" t="s">
        <v>236</v>
      </c>
      <c r="E107" s="428" t="s">
        <v>237</v>
      </c>
      <c r="F107" s="428" t="s">
        <v>238</v>
      </c>
      <c r="G107" s="428" t="s">
        <v>239</v>
      </c>
      <c r="H107" s="428" t="s">
        <v>240</v>
      </c>
      <c r="I107" s="428" t="s">
        <v>241</v>
      </c>
      <c r="J107" s="429" t="s">
        <v>242</v>
      </c>
      <c r="K107" s="428" t="s">
        <v>243</v>
      </c>
      <c r="L107" s="428" t="s">
        <v>244</v>
      </c>
      <c r="M107" s="428" t="s">
        <v>245</v>
      </c>
      <c r="N107" s="428" t="s">
        <v>246</v>
      </c>
      <c r="O107" s="430" t="s">
        <v>331</v>
      </c>
      <c r="P107" s="316"/>
      <c r="Q107" s="318" t="s">
        <v>332</v>
      </c>
    </row>
    <row r="108" spans="1:18" x14ac:dyDescent="0.35">
      <c r="B108" s="431" t="s">
        <v>248</v>
      </c>
      <c r="C108" s="254">
        <f>'A) Resumen Ingresos y Egresos'!$D$18*C115</f>
        <v>2405896.4859173214</v>
      </c>
      <c r="D108" s="254">
        <f>'A) Resumen Ingresos y Egresos'!$D$18*D115</f>
        <v>2188577.9058176945</v>
      </c>
      <c r="E108" s="254">
        <f>'A) Resumen Ingresos y Egresos'!$D$18*E115</f>
        <v>1824710.4270808946</v>
      </c>
      <c r="F108" s="254">
        <f>'A) Resumen Ingresos y Egresos'!$D$18*F115</f>
        <v>1990613.5795189289</v>
      </c>
      <c r="G108" s="254">
        <f>'A) Resumen Ingresos y Egresos'!$D$18*G115</f>
        <v>2797829.0856874259</v>
      </c>
      <c r="H108" s="254">
        <f>'A) Resumen Ingresos y Egresos'!$D$18*H115</f>
        <v>1297616.9890463063</v>
      </c>
      <c r="I108" s="254">
        <f>'A) Resumen Ingresos y Egresos'!$D$18*I115</f>
        <v>1386688.9363402629</v>
      </c>
      <c r="J108" s="254">
        <f>'A) Resumen Ingresos y Egresos'!$D$18*J115</f>
        <v>1518410.7135658821</v>
      </c>
      <c r="K108" s="254">
        <f>'A) Resumen Ingresos y Egresos'!$D$18*K115</f>
        <v>1610117.9585307713</v>
      </c>
      <c r="L108" s="254">
        <f>'A) Resumen Ingresos y Egresos'!$D$18*L115</f>
        <v>994531.36032164714</v>
      </c>
      <c r="M108" s="254">
        <f>'A) Resumen Ingresos y Egresos'!$D$18*M115</f>
        <v>5379401.7503989814</v>
      </c>
      <c r="N108" s="254">
        <f>'A) Resumen Ingresos y Egresos'!$D$18*N115</f>
        <v>5254976.8077738844</v>
      </c>
      <c r="O108" s="438">
        <f t="shared" ref="O108:O114" si="27">SUM(C108:N108)</f>
        <v>28649372</v>
      </c>
      <c r="P108" s="316">
        <f>IF(Q108=12,C108+D108+E108+F108+G108+H108+I108+J108+K108+L108+M108+N108,IF(Q108=11,C108+D108+E108+F108+G108+H108+I108+J108+K108+L108+M108,IF(Q108=10,C108+D108+E108+F108+G108+H108+I108+J108+K108+L108,IF(Q108=9,C108+D108+E108+F108+G108+H108+I108+J108+K108,IF(Q108=8,C108+D108+E108+F108+G108+H108+I108+J108,IF(Q108=7,C108+D108+E108+F108+G108+H108+I108,IF(Q108=6,C108+D108+E108+F108+G108+H108,IF(Q108=5,C108+D108+E108+F108+G108,0))))))))</f>
        <v>28649372</v>
      </c>
      <c r="Q108" s="319">
        <f>COUNTA(#REF!,#REF!,#REF!,#REF!,#REF!,#REF!,#REF!,#REF!,#REF!,#REF!,#REF!,#REF!)</f>
        <v>12</v>
      </c>
    </row>
    <row r="109" spans="1:18" x14ac:dyDescent="0.35">
      <c r="B109" s="431" t="s">
        <v>249</v>
      </c>
      <c r="C109" s="254">
        <f>(SUM('F) Remuneraciones'!$L$230:$L$240)-SUM('F) Remuneraciones'!$I$230:$J$240))/12</f>
        <v>2392593.8574999999</v>
      </c>
      <c r="D109" s="254">
        <f>(SUM('F) Remuneraciones'!$L$230:$L$240)-SUM('F) Remuneraciones'!$I$230:$J$240))/12</f>
        <v>2392593.8574999999</v>
      </c>
      <c r="E109" s="254">
        <f>(SUM('F) Remuneraciones'!$L$230:$L$240)-SUM('F) Remuneraciones'!$I$230:$J$240))/12</f>
        <v>2392593.8574999999</v>
      </c>
      <c r="F109" s="254">
        <f>(SUM('F) Remuneraciones'!$L$230:$L$240)-SUM('F) Remuneraciones'!$I$230:$J$240))/12</f>
        <v>2392593.8574999999</v>
      </c>
      <c r="G109" s="254">
        <f>(SUM('F) Remuneraciones'!$L$230:$L$240)-SUM('F) Remuneraciones'!$I$230:$J$240))/12</f>
        <v>2392593.8574999999</v>
      </c>
      <c r="H109" s="254">
        <f>(SUM('F) Remuneraciones'!$L$230:$L$240)-SUM('F) Remuneraciones'!$I$230:$J$240))/12</f>
        <v>2392593.8574999999</v>
      </c>
      <c r="I109" s="254">
        <f>(SUM('F) Remuneraciones'!$L$230:$L$240)-SUM('F) Remuneraciones'!$I$230:$J$240))/12</f>
        <v>2392593.8574999999</v>
      </c>
      <c r="J109" s="254">
        <f>(SUM('F) Remuneraciones'!$L$230:$L$240)-SUM('F) Remuneraciones'!$I$230:$J$240))/12</f>
        <v>2392593.8574999999</v>
      </c>
      <c r="K109" s="254">
        <f>(SUM('F) Remuneraciones'!$L$230:$L$240)-SUM('F) Remuneraciones'!$I$230:$J$240))/12</f>
        <v>2392593.8574999999</v>
      </c>
      <c r="L109" s="254">
        <f>(SUM('F) Remuneraciones'!$L$230:$L$240)-SUM('F) Remuneraciones'!$I$230:$J$240))/12</f>
        <v>2392593.8574999999</v>
      </c>
      <c r="M109" s="254">
        <f>(SUM('F) Remuneraciones'!$L$230:$L$240)-SUM('F) Remuneraciones'!$I$230:$J$240))/12</f>
        <v>2392593.8574999999</v>
      </c>
      <c r="N109" s="254">
        <f>(SUM('F) Remuneraciones'!$L$230:$L$240)-SUM('F) Remuneraciones'!$I$230:$J$240))/12</f>
        <v>2392593.8574999999</v>
      </c>
      <c r="O109" s="438">
        <f t="shared" si="27"/>
        <v>28711126.290000007</v>
      </c>
      <c r="P109" s="422">
        <f>IF(Q109=12,C109+D109+E109+F109+G109+H109+I109+J109+K109+L109+M109+N109,IF(Q109=11,C109+D109+E109+F109+G109+H109+I109+J109+K109+L109+M109,IF(Q109=10,C109+D109+E109+F109+G109+H109+I109+J109+K109+L109,IF(Q109=9,C109+D109+E109+F109+G109+H109+I109+J109+K109,IF(Q109=8,C109+D109+E109+F109+G109+H109+I109+J109,IF(Q109=7,C109+D109+E109+F109+G109+H109+I109,IF(Q109=6,C109+D109+E109+F109+G109+H109,IF(Q109=5,C109+D109+E109+F109+G109,0))))))))</f>
        <v>28711126.290000007</v>
      </c>
      <c r="Q109" s="1499">
        <f>COUNTA(#REF!,#REF!,#REF!,#REF!,#REF!,#REF!,#REF!,#REF!,#REF!,#REF!,#REF!,#REF!)</f>
        <v>12</v>
      </c>
    </row>
    <row r="110" spans="1:18" x14ac:dyDescent="0.35">
      <c r="B110" s="431" t="s">
        <v>250</v>
      </c>
      <c r="C110" s="254">
        <f>(SUM('F) Remuneraciones'!$H$241:$H$251)*(1+'F) Remuneraciones'!$M$7))*(1+'F) Remuneraciones'!$M$8)/4</f>
        <v>0</v>
      </c>
      <c r="D110" s="254">
        <f>(SUM('F) Remuneraciones'!$H$241:$H$251)*(1+'F) Remuneraciones'!$M$7))*(1+'F) Remuneraciones'!$M$8)/4</f>
        <v>0</v>
      </c>
      <c r="E110" s="254">
        <f>(SUM('F) Remuneraciones'!$H$241:$H$251)*(1+'F) Remuneraciones'!$M$7))*(1+'F) Remuneraciones'!$M$8)/4</f>
        <v>0</v>
      </c>
      <c r="F110" s="254">
        <v>0</v>
      </c>
      <c r="G110" s="254">
        <v>0</v>
      </c>
      <c r="H110" s="254">
        <v>0</v>
      </c>
      <c r="I110" s="254">
        <v>0</v>
      </c>
      <c r="J110" s="254">
        <v>0</v>
      </c>
      <c r="K110" s="254">
        <v>0</v>
      </c>
      <c r="L110" s="254">
        <v>0</v>
      </c>
      <c r="M110" s="254">
        <v>0</v>
      </c>
      <c r="N110" s="254">
        <f>(SUM('F) Remuneraciones'!$H$241:$H$251)*(1+'F) Remuneraciones'!$M$7))*(1+'F) Remuneraciones'!$M$8)/4</f>
        <v>0</v>
      </c>
      <c r="O110" s="438">
        <f t="shared" si="27"/>
        <v>0</v>
      </c>
      <c r="P110" s="422">
        <f>IF(Q109=12,C110+D110+E110+F110+G110+H110+I110+J110+K110+L110+M110+N110,IF(Q109=11,C110+D110+E110+F110+G110+H110+I110+J110+K110+L110+M110,IF(Q109=10,C110+D110+E110+F110+G110+H110+I110+J110+K110+L110,IF(Q109=9,C110+D110+E110+F110+G110+H110+I110+J110+K110,IF(Q109=8,C110+D110+E110+F110+G110+H110+I110+J110,IF(Q109=7,C110+D110+E110+F110+G110+H110+I110,IF(Q109=6,C110+D110+E110+F110+G110+H110,IF(Q109=5,C110+D110+E110+F110+G110,0))))))))</f>
        <v>0</v>
      </c>
      <c r="Q110" s="1499"/>
    </row>
    <row r="111" spans="1:18" x14ac:dyDescent="0.35">
      <c r="B111" s="431" t="s">
        <v>251</v>
      </c>
      <c r="C111" s="254">
        <f>SUM('F) Remuneraciones'!I230:I240)/2</f>
        <v>303251</v>
      </c>
      <c r="D111" s="254">
        <v>0</v>
      </c>
      <c r="E111" s="254">
        <v>0</v>
      </c>
      <c r="F111" s="254">
        <v>0</v>
      </c>
      <c r="G111" s="254">
        <v>0</v>
      </c>
      <c r="H111" s="254">
        <v>0</v>
      </c>
      <c r="I111" s="254">
        <v>0</v>
      </c>
      <c r="J111" s="254">
        <v>0</v>
      </c>
      <c r="K111" s="254">
        <f>SUM('F) Remuneraciones'!J230:J240)/2</f>
        <v>174835</v>
      </c>
      <c r="L111" s="254">
        <v>0</v>
      </c>
      <c r="M111" s="254">
        <v>0</v>
      </c>
      <c r="N111" s="254">
        <f>+C111+K111</f>
        <v>478086</v>
      </c>
      <c r="O111" s="438">
        <f t="shared" si="27"/>
        <v>956172</v>
      </c>
      <c r="P111" s="316">
        <f>IF(Q111=12,C111+D111+E111+F111+G111+H111+I111+J111+K111+L111+M111+N111,IF(Q111=11,C111+D111+E111+F111+G111+H111+I111+J111+K111+L111+M111,IF(Q111=10,C111+D111+E111+F111+G111+H111+I111+J111+K111+L111,IF(Q111=9,C111+D111+E111+F111+G111+H111+I111+J111+K111,IF(Q111=8,C111+D111+E111+F111+G111+H111+I111+J111,IF(Q111=7,C111+D111+E111+F111+G111+H111+I111,IF(Q111=6,C111+D111+E111+F111+G111+H111,IF(Q111=5,C111+D111+E111+F111+G111,0))))))))</f>
        <v>956172</v>
      </c>
      <c r="Q111" s="319">
        <f>COUNTA(#REF!,#REF!,#REF!,#REF!,#REF!,#REF!,#REF!,#REF!,#REF!,#REF!,#REF!,#REF!)</f>
        <v>12</v>
      </c>
    </row>
    <row r="112" spans="1:18" x14ac:dyDescent="0.35">
      <c r="B112" s="431" t="s">
        <v>252</v>
      </c>
      <c r="C112" s="254">
        <f>(SUM('C) Estimación Costos Directos'!$H$667+'C) Estimación Costos Directos'!$H$665))*C116</f>
        <v>574330.81804311671</v>
      </c>
      <c r="D112" s="254">
        <f>(SUM('C) Estimación Costos Directos'!$H$667+'C) Estimación Costos Directos'!$H$665))*D116</f>
        <v>498592.2849521953</v>
      </c>
      <c r="E112" s="254">
        <f>(SUM('C) Estimación Costos Directos'!$H$667+'C) Estimación Costos Directos'!$H$665))*E116</f>
        <v>319744.92279133672</v>
      </c>
      <c r="F112" s="254">
        <f>(SUM('C) Estimación Costos Directos'!$H$667+'C) Estimación Costos Directos'!$H$665))*F116</f>
        <v>520119.75424325082</v>
      </c>
      <c r="G112" s="254">
        <f>(SUM('C) Estimación Costos Directos'!$H$667+'C) Estimación Costos Directos'!$H$665))*G116</f>
        <v>678292.08847047458</v>
      </c>
      <c r="H112" s="254">
        <f>(SUM('C) Estimación Costos Directos'!$H$667+'C) Estimación Costos Directos'!$H$665))*H116</f>
        <v>533288.21018356737</v>
      </c>
      <c r="I112" s="254">
        <f>(SUM('C) Estimación Costos Directos'!$H$667+'C) Estimación Costos Directos'!$H$665))*I116</f>
        <v>405989.34712191508</v>
      </c>
      <c r="J112" s="254">
        <f>(SUM('C) Estimación Costos Directos'!$H$667+'C) Estimación Costos Directos'!$H$665))*J116</f>
        <v>428062.96965203655</v>
      </c>
      <c r="K112" s="254">
        <f>(SUM('C) Estimación Costos Directos'!$H$667+'C) Estimación Costos Directos'!$H$665))*K116</f>
        <v>395939.21507680079</v>
      </c>
      <c r="L112" s="254">
        <f>(SUM('C) Estimación Costos Directos'!$H$667+'C) Estimación Costos Directos'!$H$665))*L116</f>
        <v>249184.75443406531</v>
      </c>
      <c r="M112" s="254">
        <f>(SUM('C) Estimación Costos Directos'!$H$667+'C) Estimación Costos Directos'!$H$665))*M116</f>
        <v>620964.09264264465</v>
      </c>
      <c r="N112" s="254">
        <f>(SUM('C) Estimación Costos Directos'!$H$667+'C) Estimación Costos Directos'!$H$665))*N116</f>
        <v>1314954.7423885963</v>
      </c>
      <c r="O112" s="438">
        <f t="shared" si="27"/>
        <v>6539463.1999999993</v>
      </c>
      <c r="P112" s="316">
        <f>IF(Q112=12,C112+D112+E112+F112+G112+H112+I112+J112+K112+L112+M112+N112,IF(Q112=11,C112+D112+E112+F112+G112+H112+I112+J112+K112+L112+M112,IF(Q112=10,C112+D112+E112+F112+G112+H112+I112+J112+K112+L112,IF(Q112=9,C112+D112+E112+F112+G112+H112+I112+J112+K112,IF(Q112=8,C112+D112+E112+F112+G112+H112+I112+J112,IF(Q112=7,C112+D112+E112+F112+G112+H112+I112,IF(Q112=6,C112+D112+E112+F112+G112+H112,IF(Q112=5,C112+D112+E112+F112+G112,0))))))))</f>
        <v>6539463.1999999993</v>
      </c>
      <c r="Q112" s="319">
        <f>COUNTA(#REF!,#REF!,#REF!,#REF!,#REF!,#REF!,#REF!,#REF!,#REF!,#REF!,#REF!,#REF!)</f>
        <v>12</v>
      </c>
    </row>
    <row r="113" spans="1:18" ht="15" thickBot="1" x14ac:dyDescent="0.4">
      <c r="B113" s="439" t="s">
        <v>310</v>
      </c>
      <c r="C113" s="317">
        <f>'C) Estimación Costos Directos'!$H$687*C117</f>
        <v>271403.72023105336</v>
      </c>
      <c r="D113" s="317">
        <f>'C) Estimación Costos Directos'!$H$687*D117</f>
        <v>235612.98952334537</v>
      </c>
      <c r="E113" s="317">
        <f>'C) Estimación Costos Directos'!$H$687*E117</f>
        <v>151097.51878932759</v>
      </c>
      <c r="F113" s="317">
        <f>'C) Estimación Costos Directos'!$H$687*F117</f>
        <v>245785.93352913542</v>
      </c>
      <c r="G113" s="317">
        <f>'C) Estimación Costos Directos'!$H$687*G117</f>
        <v>320531.28690084902</v>
      </c>
      <c r="H113" s="317">
        <f>'C) Estimación Costos Directos'!$H$687*H117</f>
        <v>252008.77203896496</v>
      </c>
      <c r="I113" s="317">
        <f>'C) Estimación Costos Directos'!$H$687*I117</f>
        <v>191852.87594090446</v>
      </c>
      <c r="J113" s="317">
        <f>'C) Estimación Costos Directos'!$H$687*J117</f>
        <v>202283.90817083645</v>
      </c>
      <c r="K113" s="317">
        <f>'C) Estimación Costos Directos'!$H$687*K117</f>
        <v>187103.62143432742</v>
      </c>
      <c r="L113" s="317">
        <f>'C) Estimación Costos Directos'!$H$687*L117</f>
        <v>117753.85762633693</v>
      </c>
      <c r="M113" s="317">
        <f>'C) Estimación Costos Directos'!$H$687*M117</f>
        <v>293440.57393148984</v>
      </c>
      <c r="N113" s="317">
        <f>'C) Estimación Costos Directos'!$H$687*N117</f>
        <v>621390.31688342919</v>
      </c>
      <c r="O113" s="440">
        <f t="shared" si="27"/>
        <v>3090265.375</v>
      </c>
      <c r="P113" s="316">
        <f>IF(Q113=12,C113+D113+E113+F113+G113+H113+I113+J113+K113+L113+M113+N113,IF(Q113=11,C113+D113+E113+F113+G113+H113+I113+J113+K113+L113+M113,IF(Q113=10,C113+D113+E113+F113+G113+H113+I113+J113+K113+L113,IF(Q113=9,C113+D113+E113+F113+G113+H113+I113+J113+K113,IF(Q113=8,C113+D113+E113+F113+G113+H113+I113+J113,IF(Q113=7,C113+D113+E113+F113+G113+H113+I113,IF(Q113=6,C113+D113+E113+F113+G113+H113,IF(Q113=5,C113+D113+E113+F113+G113,0))))))))</f>
        <v>3090265.375</v>
      </c>
      <c r="Q113" s="319">
        <f>COUNTA(#REF!,#REF!,#REF!,#REF!,#REF!,#REF!,#REF!,#REF!,#REF!,#REF!,#REF!,#REF!)</f>
        <v>12</v>
      </c>
    </row>
    <row r="114" spans="1:18" s="445" customFormat="1" ht="15" thickBot="1" x14ac:dyDescent="0.4">
      <c r="B114" s="447" t="s">
        <v>253</v>
      </c>
      <c r="C114" s="466">
        <f>C108-(C109+C110+C111+C112+C113)</f>
        <v>-1135682.9098568484</v>
      </c>
      <c r="D114" s="466">
        <f t="shared" ref="D114:Q114" si="28">D108-(D109+D110+D111+D112+D113)</f>
        <v>-938221.22615784639</v>
      </c>
      <c r="E114" s="466">
        <f t="shared" si="28"/>
        <v>-1038725.8719997697</v>
      </c>
      <c r="F114" s="466">
        <f t="shared" si="28"/>
        <v>-1167885.9657534573</v>
      </c>
      <c r="G114" s="466">
        <f t="shared" si="28"/>
        <v>-593588.14718389791</v>
      </c>
      <c r="H114" s="466">
        <f t="shared" si="28"/>
        <v>-1880273.850676226</v>
      </c>
      <c r="I114" s="466">
        <f t="shared" si="28"/>
        <v>-1603747.1442225564</v>
      </c>
      <c r="J114" s="466">
        <f t="shared" si="28"/>
        <v>-1504530.021756991</v>
      </c>
      <c r="K114" s="466">
        <f t="shared" si="28"/>
        <v>-1540353.7354803567</v>
      </c>
      <c r="L114" s="466">
        <f t="shared" si="28"/>
        <v>-1765001.1092387554</v>
      </c>
      <c r="M114" s="466">
        <f t="shared" si="28"/>
        <v>2072403.226324847</v>
      </c>
      <c r="N114" s="467">
        <f t="shared" si="28"/>
        <v>447951.89100185875</v>
      </c>
      <c r="O114" s="262">
        <f t="shared" si="27"/>
        <v>-10647654.864999998</v>
      </c>
      <c r="P114" s="466">
        <f t="shared" si="28"/>
        <v>-10647654.86500001</v>
      </c>
      <c r="Q114" s="466">
        <f t="shared" si="28"/>
        <v>-36</v>
      </c>
      <c r="R114" s="874"/>
    </row>
    <row r="115" spans="1:18" x14ac:dyDescent="0.35">
      <c r="B115" s="956" t="s">
        <v>254</v>
      </c>
      <c r="C115" s="943">
        <v>8.3977285293280468E-2</v>
      </c>
      <c r="D115" s="943">
        <v>7.6391828268266918E-2</v>
      </c>
      <c r="E115" s="943">
        <v>6.3691114314159997E-2</v>
      </c>
      <c r="F115" s="943">
        <v>6.9481927196132914E-2</v>
      </c>
      <c r="G115" s="943">
        <v>9.7657606096476599E-2</v>
      </c>
      <c r="H115" s="943">
        <v>4.5293034313153756E-2</v>
      </c>
      <c r="I115" s="943">
        <v>4.8402070954304439E-2</v>
      </c>
      <c r="J115" s="943">
        <v>5.299979048636326E-2</v>
      </c>
      <c r="K115" s="943">
        <v>5.6200811610487351E-2</v>
      </c>
      <c r="L115" s="943">
        <v>3.4713897404859244E-2</v>
      </c>
      <c r="M115" s="943">
        <v>0.18776682959748581</v>
      </c>
      <c r="N115" s="943">
        <v>0.18342380446502926</v>
      </c>
      <c r="O115" s="959">
        <f t="shared" ref="O115:O117" si="29">SUM(C115:N115)</f>
        <v>1</v>
      </c>
    </row>
    <row r="116" spans="1:18" x14ac:dyDescent="0.35">
      <c r="B116" s="944" t="s">
        <v>334</v>
      </c>
      <c r="C116" s="945">
        <v>8.7825376560436444E-2</v>
      </c>
      <c r="D116" s="945">
        <v>7.6243610477415832E-2</v>
      </c>
      <c r="E116" s="945">
        <v>4.8894674228205266E-2</v>
      </c>
      <c r="F116" s="945">
        <v>7.953554264870713E-2</v>
      </c>
      <c r="G116" s="945">
        <v>0.10372290014117284</v>
      </c>
      <c r="H116" s="945">
        <v>8.1549233304587951E-2</v>
      </c>
      <c r="I116" s="945">
        <v>6.2082977563344202E-2</v>
      </c>
      <c r="J116" s="945">
        <v>6.5458426259212915E-2</v>
      </c>
      <c r="K116" s="945">
        <v>6.0546133981884138E-2</v>
      </c>
      <c r="L116" s="945">
        <v>3.8104772029922164E-2</v>
      </c>
      <c r="M116" s="945">
        <v>9.4956431996229398E-2</v>
      </c>
      <c r="N116" s="945">
        <v>0.20107992080888173</v>
      </c>
      <c r="O116" s="959">
        <f t="shared" si="29"/>
        <v>1</v>
      </c>
    </row>
    <row r="117" spans="1:18" ht="15" thickBot="1" x14ac:dyDescent="0.4">
      <c r="B117" s="944" t="s">
        <v>311</v>
      </c>
      <c r="C117" s="945">
        <v>8.7825376560436444E-2</v>
      </c>
      <c r="D117" s="945">
        <v>7.6243610477415832E-2</v>
      </c>
      <c r="E117" s="945">
        <v>4.8894674228205266E-2</v>
      </c>
      <c r="F117" s="945">
        <v>7.953554264870713E-2</v>
      </c>
      <c r="G117" s="945">
        <v>0.10372290014117284</v>
      </c>
      <c r="H117" s="945">
        <v>8.1549233304587951E-2</v>
      </c>
      <c r="I117" s="945">
        <v>6.2082977563344202E-2</v>
      </c>
      <c r="J117" s="945">
        <v>6.5458426259212915E-2</v>
      </c>
      <c r="K117" s="945">
        <v>6.0546133981884138E-2</v>
      </c>
      <c r="L117" s="945">
        <v>3.8104772029922164E-2</v>
      </c>
      <c r="M117" s="945">
        <v>9.4956431996229398E-2</v>
      </c>
      <c r="N117" s="945">
        <v>0.20107992080888173</v>
      </c>
      <c r="O117" s="959">
        <f t="shared" si="29"/>
        <v>1</v>
      </c>
    </row>
    <row r="118" spans="1:18" ht="29" x14ac:dyDescent="0.35">
      <c r="B118" s="427" t="s">
        <v>266</v>
      </c>
      <c r="C118" s="428" t="s">
        <v>235</v>
      </c>
      <c r="D118" s="428" t="s">
        <v>236</v>
      </c>
      <c r="E118" s="428" t="s">
        <v>237</v>
      </c>
      <c r="F118" s="428" t="s">
        <v>238</v>
      </c>
      <c r="G118" s="428" t="s">
        <v>239</v>
      </c>
      <c r="H118" s="428" t="s">
        <v>240</v>
      </c>
      <c r="I118" s="428" t="s">
        <v>241</v>
      </c>
      <c r="J118" s="429" t="s">
        <v>242</v>
      </c>
      <c r="K118" s="428" t="s">
        <v>243</v>
      </c>
      <c r="L118" s="428" t="s">
        <v>244</v>
      </c>
      <c r="M118" s="428" t="s">
        <v>245</v>
      </c>
      <c r="N118" s="428" t="s">
        <v>246</v>
      </c>
      <c r="O118" s="430" t="s">
        <v>331</v>
      </c>
      <c r="P118" s="316"/>
      <c r="Q118" s="318" t="s">
        <v>332</v>
      </c>
    </row>
    <row r="119" spans="1:18" x14ac:dyDescent="0.35">
      <c r="B119" s="431" t="s">
        <v>248</v>
      </c>
      <c r="C119" s="254">
        <f>'A) Resumen Ingresos y Egresos'!$D$19*C126</f>
        <v>1487822.1687624624</v>
      </c>
      <c r="D119" s="254">
        <f>'A) Resumen Ingresos y Egresos'!$D$19*D126</f>
        <v>493824.52230871073</v>
      </c>
      <c r="E119" s="254">
        <f>'A) Resumen Ingresos y Egresos'!$D$19*E126</f>
        <v>1113969.4036720826</v>
      </c>
      <c r="F119" s="254">
        <f>'A) Resumen Ingresos y Egresos'!$D$19*F126</f>
        <v>1211216.5298140133</v>
      </c>
      <c r="G119" s="254">
        <f>'A) Resumen Ingresos y Egresos'!$D$19*G126</f>
        <v>847517.32328968472</v>
      </c>
      <c r="H119" s="254">
        <f>'A) Resumen Ingresos y Egresos'!$D$19*H126</f>
        <v>2139310.6439601663</v>
      </c>
      <c r="I119" s="254">
        <f>'A) Resumen Ingresos y Egresos'!$D$19*I126</f>
        <v>1324713.5540337029</v>
      </c>
      <c r="J119" s="254">
        <f>'A) Resumen Ingresos y Egresos'!$D$19*J126</f>
        <v>2051018.83034233</v>
      </c>
      <c r="K119" s="254">
        <f>'A) Resumen Ingresos y Egresos'!$D$19*K126</f>
        <v>1403545.5304781995</v>
      </c>
      <c r="L119" s="254">
        <f>'A) Resumen Ingresos y Egresos'!$D$19*L126</f>
        <v>753444.49806591903</v>
      </c>
      <c r="M119" s="254">
        <f>'A) Resumen Ingresos y Egresos'!$D$19*M126</f>
        <v>759225.50967184885</v>
      </c>
      <c r="N119" s="254">
        <f>'A) Resumen Ingresos y Egresos'!$D$19*N126</f>
        <v>973648.48560087918</v>
      </c>
      <c r="O119" s="438">
        <f>SUM(C119:N119)</f>
        <v>14559256.999999998</v>
      </c>
      <c r="P119" s="316">
        <f>IF(Q119=12,C119+D119+E119+F119+G119+H119+I119+J119+K119+L119+M119+N119,IF(Q119=11,C119+D119+E119+F119+G119+H119+I119+J119+K119+L119+M119,IF(Q119=10,C119+D119+E119+F119+G119+H119+I119+J119+K119+L119,IF(Q119=9,C119+D119+E119+F119+G119+H119+I119+J119+K119,IF(Q119=8,C119+D119+E119+F119+G119+H119+I119+J119,IF(Q119=7,C119+D119+E119+F119+G119+H119+I119,IF(Q119=6,C119+D119+E119+F119+G119+H119,IF(Q119=5,C119+D119+E119+F119+G119,0))))))))</f>
        <v>14559256.999999998</v>
      </c>
      <c r="Q119" s="319">
        <f>COUNTA(#REF!,#REF!,#REF!,#REF!,#REF!,#REF!,#REF!,#REF!,#REF!,#REF!,#REF!,#REF!)</f>
        <v>12</v>
      </c>
    </row>
    <row r="120" spans="1:18" x14ac:dyDescent="0.35">
      <c r="B120" s="431" t="s">
        <v>249</v>
      </c>
      <c r="C120" s="254">
        <f>(SUM('F) Remuneraciones'!$L$252:$L$262)-SUM('F) Remuneraciones'!$I$252:$J$262))/12</f>
        <v>2897993.0420833328</v>
      </c>
      <c r="D120" s="254">
        <f>(SUM('F) Remuneraciones'!$L$252:$L$262)-SUM('F) Remuneraciones'!$I$252:$J$262))/12</f>
        <v>2897993.0420833328</v>
      </c>
      <c r="E120" s="254">
        <f>(SUM('F) Remuneraciones'!$L$252:$L$262)-SUM('F) Remuneraciones'!$I$252:$J$262))/12</f>
        <v>2897993.0420833328</v>
      </c>
      <c r="F120" s="254">
        <f>(SUM('F) Remuneraciones'!$L$252:$L$262)-SUM('F) Remuneraciones'!$I$252:$J$262))/12</f>
        <v>2897993.0420833328</v>
      </c>
      <c r="G120" s="254">
        <f>(SUM('F) Remuneraciones'!$L$252:$L$262)-SUM('F) Remuneraciones'!$I$252:$J$262))/12</f>
        <v>2897993.0420833328</v>
      </c>
      <c r="H120" s="254">
        <f>(SUM('F) Remuneraciones'!$L$252:$L$262)-SUM('F) Remuneraciones'!$I$252:$J$262))/12</f>
        <v>2897993.0420833328</v>
      </c>
      <c r="I120" s="254">
        <f>(SUM('F) Remuneraciones'!$L$252:$L$262)-SUM('F) Remuneraciones'!$I$252:$J$262))/12</f>
        <v>2897993.0420833328</v>
      </c>
      <c r="J120" s="254">
        <f>(SUM('F) Remuneraciones'!$L$252:$L$262)-SUM('F) Remuneraciones'!$I$252:$J$262))/12</f>
        <v>2897993.0420833328</v>
      </c>
      <c r="K120" s="254">
        <f>(SUM('F) Remuneraciones'!$L$252:$L$262)-SUM('F) Remuneraciones'!$I$252:$J$262))/12</f>
        <v>2897993.0420833328</v>
      </c>
      <c r="L120" s="254">
        <f>(SUM('F) Remuneraciones'!$L$252:$L$262)-SUM('F) Remuneraciones'!$I$252:$J$262))/12</f>
        <v>2897993.0420833328</v>
      </c>
      <c r="M120" s="254">
        <f>(SUM('F) Remuneraciones'!$L$252:$L$262)-SUM('F) Remuneraciones'!$I$252:$J$262))/12</f>
        <v>2897993.0420833328</v>
      </c>
      <c r="N120" s="254">
        <f>(SUM('F) Remuneraciones'!$L$252:$L$262)-SUM('F) Remuneraciones'!$I$252:$J$262))/12</f>
        <v>2897993.0420833328</v>
      </c>
      <c r="O120" s="438">
        <f t="shared" ref="O120:O125" si="30">SUM(C120:N120)</f>
        <v>34775916.505000003</v>
      </c>
      <c r="P120" s="422">
        <f>IF(Q120=12,C120+D120+E120+F120+G120+H120+I120+J120+K120+L120+M120+N120,IF(Q120=11,C120+D120+E120+F120+G120+H120+I120+J120+K120+L120+M120,IF(Q120=10,C120+D120+E120+F120+G120+H120+I120+J120+K120+L120,IF(Q120=9,C120+D120+E120+F120+G120+H120+I120+J120+K120,IF(Q120=8,C120+D120+E120+F120+G120+H120+I120+J120,IF(Q120=7,C120+D120+E120+F120+G120+H120+I120,IF(Q120=6,C120+D120+E120+F120+G120+H120,IF(Q120=5,C120+D120+E120+F120+G120,0))))))))</f>
        <v>34775916.505000003</v>
      </c>
      <c r="Q120" s="1499">
        <f>COUNTA(#REF!,#REF!,#REF!,#REF!,#REF!,#REF!,#REF!,#REF!,#REF!,#REF!,#REF!,#REF!)</f>
        <v>12</v>
      </c>
    </row>
    <row r="121" spans="1:18" x14ac:dyDescent="0.35">
      <c r="B121" s="431" t="s">
        <v>250</v>
      </c>
      <c r="C121" s="254">
        <f>SUM('F) Remuneraciones'!$H$263:$H$273)*(1+'F) Remuneraciones'!$M$7)/4</f>
        <v>0</v>
      </c>
      <c r="D121" s="254">
        <f>SUM('F) Remuneraciones'!$H$263:$H$273)*(1+'F) Remuneraciones'!$M$7)/4</f>
        <v>0</v>
      </c>
      <c r="E121" s="254">
        <f>SUM('F) Remuneraciones'!$H$263:$H$273)*(1+'F) Remuneraciones'!$M$7)/4</f>
        <v>0</v>
      </c>
      <c r="F121" s="254">
        <v>0</v>
      </c>
      <c r="G121" s="254">
        <v>0</v>
      </c>
      <c r="H121" s="254">
        <v>0</v>
      </c>
      <c r="I121" s="254">
        <v>0</v>
      </c>
      <c r="J121" s="254">
        <v>0</v>
      </c>
      <c r="K121" s="254">
        <v>0</v>
      </c>
      <c r="L121" s="254">
        <v>0</v>
      </c>
      <c r="M121" s="254">
        <v>0</v>
      </c>
      <c r="N121" s="254">
        <v>0</v>
      </c>
      <c r="O121" s="438">
        <f t="shared" si="30"/>
        <v>0</v>
      </c>
      <c r="P121" s="422">
        <f>IF(Q120=12,C121+D121+E121+F121+G121+H121+I121+J121+K121+L121+M121+N121,IF(Q120=11,C121+D121+E121+F121+G121+H121+I121+J121+K121+L121+M121,IF(Q120=10,C121+D121+E121+F121+G121+H121+I121+J121+K121+L121,IF(Q120=9,C121+D121+E121+F121+G121+H121+I121+J121+K121,IF(Q120=8,C121+D121+E121+F121+G121+H121+I121+J121,IF(Q120=7,C121+D121+E121+F121+G121+H121+I121,IF(Q120=6,C121+D121+E121+F121+G121+H121,IF(Q120=5,C121+D121+E121+F121+G121,0))))))))</f>
        <v>0</v>
      </c>
      <c r="Q121" s="1499"/>
    </row>
    <row r="122" spans="1:18" x14ac:dyDescent="0.35">
      <c r="B122" s="431" t="s">
        <v>251</v>
      </c>
      <c r="C122" s="254">
        <f>SUM('F) Remuneraciones'!I252:I262)/2</f>
        <v>772952</v>
      </c>
      <c r="D122" s="254">
        <v>0</v>
      </c>
      <c r="E122" s="254">
        <v>0</v>
      </c>
      <c r="F122" s="254">
        <v>0</v>
      </c>
      <c r="G122" s="254">
        <v>0</v>
      </c>
      <c r="H122" s="254">
        <v>0</v>
      </c>
      <c r="I122" s="254">
        <v>0</v>
      </c>
      <c r="J122" s="254">
        <v>0</v>
      </c>
      <c r="K122" s="254">
        <f>SUM('F) Remuneraciones'!J252:J262)/2</f>
        <v>348944</v>
      </c>
      <c r="L122" s="254">
        <v>0</v>
      </c>
      <c r="M122" s="254">
        <v>0</v>
      </c>
      <c r="N122" s="254">
        <f>+C122+K122</f>
        <v>1121896</v>
      </c>
      <c r="O122" s="438">
        <f t="shared" si="30"/>
        <v>2243792</v>
      </c>
      <c r="P122" s="316">
        <f>IF(Q122=12,C122+D122+E122+F122+G122+H122+I122+J122+K122+L122+M122+N122,IF(Q122=11,C122+D122+E122+F122+G122+H122+I122+J122+K122+L122+M122,IF(Q122=10,C122+D122+E122+F122+G122+H122+I122+J122+K122+L122,IF(Q122=9,C122+D122+E122+F122+G122+H122+I122+J122+K122,IF(Q122=8,C122+D122+E122+F122+G122+H122+I122+J122,IF(Q122=7,C122+D122+E122+F122+G122+H122+I122,IF(Q122=6,C122+D122+E122+F122+G122+H122,IF(Q122=5,C122+D122+E122+F122+G122,0))))))))</f>
        <v>2243792</v>
      </c>
      <c r="Q122" s="319">
        <f>COUNTA(#REF!,#REF!,#REF!,#REF!,#REF!,#REF!,#REF!,#REF!,#REF!,#REF!,#REF!,#REF!)</f>
        <v>12</v>
      </c>
    </row>
    <row r="123" spans="1:18" s="451" customFormat="1" x14ac:dyDescent="0.35">
      <c r="A123" s="936"/>
      <c r="B123" s="452" t="s">
        <v>252</v>
      </c>
      <c r="C123" s="446">
        <f>('C) Estimación Costos Directos'!$H$731-'C) Estimación Costos Directos'!$H$732)*C127</f>
        <v>383217.60311614419</v>
      </c>
      <c r="D123" s="446">
        <f>('C) Estimación Costos Directos'!$H$731-'C) Estimación Costos Directos'!$H$732)*D127</f>
        <v>250565.35588363276</v>
      </c>
      <c r="E123" s="446">
        <f>('C) Estimación Costos Directos'!$H$731-'C) Estimación Costos Directos'!$H$732)*E127</f>
        <v>179372.86001242138</v>
      </c>
      <c r="F123" s="446">
        <f>('C) Estimación Costos Directos'!$H$731-'C) Estimación Costos Directos'!$H$732)*F127</f>
        <v>400978.26510671939</v>
      </c>
      <c r="G123" s="446">
        <f>('C) Estimación Costos Directos'!$H$731-'C) Estimación Costos Directos'!$H$732)*G127</f>
        <v>125282.67794181638</v>
      </c>
      <c r="H123" s="446">
        <f>('C) Estimación Costos Directos'!$H$731-'C) Estimación Costos Directos'!$H$732)*H127</f>
        <v>145234.55853482487</v>
      </c>
      <c r="I123" s="446">
        <f>('C) Estimación Costos Directos'!$H$731-'C) Estimación Costos Directos'!$H$732)*I127</f>
        <v>158445.73974994424</v>
      </c>
      <c r="J123" s="446">
        <f>('C) Estimación Costos Directos'!$H$731-'C) Estimación Costos Directos'!$H$732)*J127</f>
        <v>1320248.5123356362</v>
      </c>
      <c r="K123" s="446">
        <f>('C) Estimación Costos Directos'!$H$731-'C) Estimación Costos Directos'!$H$732)*K127</f>
        <v>1086257.3177867767</v>
      </c>
      <c r="L123" s="446">
        <f>('C) Estimación Costos Directos'!$H$731-'C) Estimación Costos Directos'!$H$732)*L127</f>
        <v>883817.70589447976</v>
      </c>
      <c r="M123" s="446">
        <f>('C) Estimación Costos Directos'!$H$731-'C) Estimación Costos Directos'!$H$732)*M127</f>
        <v>1145948.3725183101</v>
      </c>
      <c r="N123" s="446">
        <f>('C) Estimación Costos Directos'!$H$731-'C) Estimación Costos Directos'!$H$732)*N127</f>
        <v>1123542.4253515</v>
      </c>
      <c r="O123" s="438">
        <f t="shared" si="30"/>
        <v>7202911.394232206</v>
      </c>
      <c r="P123" s="450">
        <f>IF(Q123=12,C123+D123+E123+F123+G123+H123+I123+J123+K123+L123+M123+N123,IF(Q123=11,C123+D123+E123+F123+G123+H123+I123+J123+K123+L123+M123,IF(Q123=10,C123+D123+E123+F123+G123+H123+I123+J123+K123+L123,IF(Q123=9,C123+D123+E123+F123+G123+H123+I123+J123+K123,IF(Q123=8,C123+D123+E123+F123+G123+H123+I123+J123,IF(Q123=7,C123+D123+E123+F123+G123+H123+I123,IF(Q123=6,C123+D123+E123+F123+G123+H123,IF(Q123=5,C123+D123+E123+F123+G123,0))))))))</f>
        <v>7202911.394232206</v>
      </c>
      <c r="Q123" s="450">
        <f>COUNTA(#REF!,#REF!,#REF!,#REF!,#REF!,#REF!,#REF!,#REF!,#REF!,#REF!,#REF!,#REF!)</f>
        <v>12</v>
      </c>
    </row>
    <row r="124" spans="1:18" ht="15" thickBot="1" x14ac:dyDescent="0.4">
      <c r="B124" s="439" t="s">
        <v>310</v>
      </c>
      <c r="C124" s="317">
        <f>'C) Estimación Costos Directos'!$H$759*C128</f>
        <v>51844.120522877864</v>
      </c>
      <c r="D124" s="317">
        <f>'C) Estimación Costos Directos'!$H$759*D128</f>
        <v>33898.078803420147</v>
      </c>
      <c r="E124" s="317">
        <f>'C) Estimación Costos Directos'!$H$759*E128</f>
        <v>24266.704079871917</v>
      </c>
      <c r="F124" s="317">
        <f>'C) Estimación Costos Directos'!$H$759*F128</f>
        <v>54246.896108649707</v>
      </c>
      <c r="G124" s="317">
        <f>'C) Estimación Costos Directos'!$H$759*G128</f>
        <v>16949.039401710073</v>
      </c>
      <c r="H124" s="317">
        <f>'C) Estimación Costos Directos'!$H$759*H128</f>
        <v>19648.257009958881</v>
      </c>
      <c r="I124" s="317">
        <f>'C) Estimación Costos Directos'!$H$759*I128</f>
        <v>21435.549831574503</v>
      </c>
      <c r="J124" s="317">
        <f>'C) Estimación Costos Directos'!$H$759*J128</f>
        <v>178611.63588806806</v>
      </c>
      <c r="K124" s="317">
        <f>'C) Estimación Costos Directos'!$H$759*K128</f>
        <v>146955.81529726239</v>
      </c>
      <c r="L124" s="317">
        <f>'C) Estimación Costos Directos'!$H$759*L128</f>
        <v>119568.49396284032</v>
      </c>
      <c r="M124" s="317">
        <f>'C) Estimación Costos Directos'!$H$759*M128</f>
        <v>155031.20173691245</v>
      </c>
      <c r="N124" s="317">
        <f>'C) Estimación Costos Directos'!$H$759*N128</f>
        <v>151999.98235685367</v>
      </c>
      <c r="O124" s="440">
        <f t="shared" si="30"/>
        <v>974455.77500000002</v>
      </c>
      <c r="P124" s="316">
        <f>IF(Q124=12,C124+D124+E124+F124+G124+H124+I124+J124+K124+L124+M124+N124,IF(Q124=11,C124+D124+E124+F124+G124+H124+I124+J124+K124+L124+M124,IF(Q124=10,C124+D124+E124+F124+G124+H124+I124+J124+K124+L124,IF(Q124=9,C124+D124+E124+F124+G124+H124+I124+J124+K124,IF(Q124=8,C124+D124+E124+F124+G124+H124+I124+J124,IF(Q124=7,C124+D124+E124+F124+G124+H124+I124,IF(Q124=6,C124+D124+E124+F124+G124+H124,IF(Q124=5,C124+D124+E124+F124+G124,0))))))))</f>
        <v>974455.77500000002</v>
      </c>
      <c r="Q124" s="319">
        <f>COUNTA(#REF!,#REF!,#REF!,#REF!,#REF!,#REF!,#REF!,#REF!,#REF!,#REF!,#REF!,#REF!)</f>
        <v>12</v>
      </c>
    </row>
    <row r="125" spans="1:18" s="445" customFormat="1" ht="15" thickBot="1" x14ac:dyDescent="0.4">
      <c r="B125" s="447" t="s">
        <v>253</v>
      </c>
      <c r="C125" s="466">
        <f>C119-(C120+C121+C122+C123+C124)</f>
        <v>-2618184.5969598917</v>
      </c>
      <c r="D125" s="466">
        <f t="shared" ref="D125:N125" si="31">D119-(D120+D121+D122+D123+D124)</f>
        <v>-2688631.9544616751</v>
      </c>
      <c r="E125" s="466">
        <f t="shared" si="31"/>
        <v>-1987663.2025035436</v>
      </c>
      <c r="F125" s="466">
        <f t="shared" si="31"/>
        <v>-2142001.6734846886</v>
      </c>
      <c r="G125" s="466">
        <f t="shared" si="31"/>
        <v>-2192707.4361371743</v>
      </c>
      <c r="H125" s="466">
        <f t="shared" si="31"/>
        <v>-923565.21366795013</v>
      </c>
      <c r="I125" s="466">
        <f t="shared" si="31"/>
        <v>-1753160.7776311485</v>
      </c>
      <c r="J125" s="466">
        <f t="shared" si="31"/>
        <v>-2345834.3599647069</v>
      </c>
      <c r="K125" s="466">
        <f t="shared" si="31"/>
        <v>-3076604.644689173</v>
      </c>
      <c r="L125" s="466">
        <f t="shared" si="31"/>
        <v>-3147934.7438747338</v>
      </c>
      <c r="M125" s="466">
        <f t="shared" si="31"/>
        <v>-3439747.106666706</v>
      </c>
      <c r="N125" s="467">
        <f t="shared" si="31"/>
        <v>-4321782.9641908072</v>
      </c>
      <c r="O125" s="262">
        <f t="shared" si="30"/>
        <v>-30637818.674232196</v>
      </c>
      <c r="P125" s="443"/>
      <c r="Q125" s="444"/>
      <c r="R125" s="874"/>
    </row>
    <row r="126" spans="1:18" x14ac:dyDescent="0.35">
      <c r="B126" s="263" t="s">
        <v>254</v>
      </c>
      <c r="C126" s="943">
        <v>0.10219080333305899</v>
      </c>
      <c r="D126" s="943">
        <v>3.3918250245099098E-2</v>
      </c>
      <c r="E126" s="943">
        <v>7.6512792079436648E-2</v>
      </c>
      <c r="F126" s="943">
        <v>8.3192193792170396E-2</v>
      </c>
      <c r="G126" s="943">
        <v>5.8211577918411958E-2</v>
      </c>
      <c r="H126" s="943">
        <v>0.14693817438349815</v>
      </c>
      <c r="I126" s="943">
        <v>9.0987716889241191E-2</v>
      </c>
      <c r="J126" s="943">
        <v>0.14087386673250771</v>
      </c>
      <c r="K126" s="943">
        <v>9.6402277291911226E-2</v>
      </c>
      <c r="L126" s="943">
        <v>5.1750202504559063E-2</v>
      </c>
      <c r="M126" s="943">
        <v>5.2147270267421532E-2</v>
      </c>
      <c r="N126" s="943">
        <v>6.6874874562684011E-2</v>
      </c>
      <c r="O126" s="959">
        <f t="shared" ref="O126:O128" si="32">SUM(C126:N126)</f>
        <v>1</v>
      </c>
    </row>
    <row r="127" spans="1:18" x14ac:dyDescent="0.35">
      <c r="B127" s="944" t="s">
        <v>334</v>
      </c>
      <c r="C127" s="945">
        <v>5.3203153855676893E-2</v>
      </c>
      <c r="D127" s="945">
        <v>3.4786677521019507E-2</v>
      </c>
      <c r="E127" s="945">
        <v>2.4902827508895328E-2</v>
      </c>
      <c r="F127" s="945">
        <v>5.5668915409372688E-2</v>
      </c>
      <c r="G127" s="945">
        <v>1.7393338760509754E-2</v>
      </c>
      <c r="H127" s="945">
        <v>2.0163313219585446E-2</v>
      </c>
      <c r="I127" s="945">
        <v>2.19974578441741E-2</v>
      </c>
      <c r="J127" s="945">
        <v>0.18329373222511619</v>
      </c>
      <c r="K127" s="945">
        <v>0.15080809110835469</v>
      </c>
      <c r="L127" s="945">
        <v>0.12270284299237728</v>
      </c>
      <c r="M127" s="945">
        <v>0.15909516441309249</v>
      </c>
      <c r="N127" s="945">
        <v>0.15598448514182561</v>
      </c>
      <c r="O127" s="959">
        <f t="shared" si="32"/>
        <v>1</v>
      </c>
    </row>
    <row r="128" spans="1:18" x14ac:dyDescent="0.35">
      <c r="B128" s="944" t="s">
        <v>311</v>
      </c>
      <c r="C128" s="945">
        <v>5.3203153855676893E-2</v>
      </c>
      <c r="D128" s="945">
        <v>3.4786677521019507E-2</v>
      </c>
      <c r="E128" s="945">
        <v>2.4902827508895328E-2</v>
      </c>
      <c r="F128" s="945">
        <v>5.5668915409372688E-2</v>
      </c>
      <c r="G128" s="945">
        <v>1.7393338760509754E-2</v>
      </c>
      <c r="H128" s="945">
        <v>2.0163313219585446E-2</v>
      </c>
      <c r="I128" s="945">
        <v>2.19974578441741E-2</v>
      </c>
      <c r="J128" s="945">
        <v>0.18329373222511619</v>
      </c>
      <c r="K128" s="945">
        <v>0.15080809110835469</v>
      </c>
      <c r="L128" s="945">
        <v>0.12270284299237728</v>
      </c>
      <c r="M128" s="945">
        <v>0.15909516441309249</v>
      </c>
      <c r="N128" s="945">
        <v>0.15598448514182561</v>
      </c>
      <c r="O128" s="959">
        <f t="shared" si="32"/>
        <v>1</v>
      </c>
    </row>
    <row r="129" spans="2:20" ht="15" thickBot="1" x14ac:dyDescent="0.4">
      <c r="B129" s="957"/>
      <c r="C129"/>
      <c r="D129"/>
      <c r="E129"/>
      <c r="F129"/>
      <c r="G129"/>
      <c r="H129"/>
      <c r="I129"/>
      <c r="J129"/>
      <c r="K129"/>
      <c r="L129"/>
      <c r="M129"/>
      <c r="N129"/>
      <c r="O129" s="954"/>
    </row>
    <row r="130" spans="2:20" ht="29" x14ac:dyDescent="0.35">
      <c r="B130" s="427" t="s">
        <v>340</v>
      </c>
      <c r="C130" s="428" t="s">
        <v>235</v>
      </c>
      <c r="D130" s="428" t="s">
        <v>236</v>
      </c>
      <c r="E130" s="428" t="s">
        <v>237</v>
      </c>
      <c r="F130" s="428" t="s">
        <v>238</v>
      </c>
      <c r="G130" s="428" t="s">
        <v>239</v>
      </c>
      <c r="H130" s="428" t="s">
        <v>240</v>
      </c>
      <c r="I130" s="428" t="s">
        <v>241</v>
      </c>
      <c r="J130" s="429" t="s">
        <v>242</v>
      </c>
      <c r="K130" s="428" t="s">
        <v>243</v>
      </c>
      <c r="L130" s="428" t="s">
        <v>244</v>
      </c>
      <c r="M130" s="428" t="s">
        <v>245</v>
      </c>
      <c r="N130" s="428" t="s">
        <v>246</v>
      </c>
      <c r="O130" s="430" t="s">
        <v>331</v>
      </c>
    </row>
    <row r="131" spans="2:20" x14ac:dyDescent="0.35">
      <c r="B131" s="431" t="s">
        <v>248</v>
      </c>
      <c r="C131" s="254">
        <f>+'A) Resumen Ingresos y Egresos'!$D$20*C138</f>
        <v>9896141.8000000007</v>
      </c>
      <c r="D131" s="254">
        <f>+'A) Resumen Ingresos y Egresos'!$D$20*D138</f>
        <v>8906527.6199999992</v>
      </c>
      <c r="E131" s="254">
        <f>+'A) Resumen Ingresos y Egresos'!$D$20*E138</f>
        <v>8906527.6199999992</v>
      </c>
      <c r="F131" s="254">
        <f>+'A) Resumen Ingresos y Egresos'!$D$20*F138</f>
        <v>7916913.4400000004</v>
      </c>
      <c r="G131" s="254">
        <f>+'A) Resumen Ingresos y Egresos'!$D$20*G138</f>
        <v>8906527.6199999992</v>
      </c>
      <c r="H131" s="254">
        <f>+'A) Resumen Ingresos y Egresos'!$D$20*H138</f>
        <v>8906527.6199999992</v>
      </c>
      <c r="I131" s="254">
        <f>+'A) Resumen Ingresos y Egresos'!$D$20*I138</f>
        <v>5937685.0800000001</v>
      </c>
      <c r="J131" s="254">
        <f>+'A) Resumen Ingresos y Egresos'!$D$20*J138</f>
        <v>7916913.4400000004</v>
      </c>
      <c r="K131" s="254">
        <f>+'A) Resumen Ingresos y Egresos'!$D$20*K138</f>
        <v>7916913.4400000004</v>
      </c>
      <c r="L131" s="254">
        <f>+'A) Resumen Ingresos y Egresos'!$D$20*L138</f>
        <v>6927299.2600000007</v>
      </c>
      <c r="M131" s="254">
        <f>+'A) Resumen Ingresos y Egresos'!$D$20*M138</f>
        <v>4948070.9000000004</v>
      </c>
      <c r="N131" s="254">
        <f>+'A) Resumen Ingresos y Egresos'!$D$20*N138</f>
        <v>11875370.16</v>
      </c>
      <c r="O131" s="438">
        <f t="shared" ref="O131:O136" si="33">SUM(C131:N131)</f>
        <v>98961418</v>
      </c>
    </row>
    <row r="132" spans="2:20" x14ac:dyDescent="0.35">
      <c r="B132" s="431" t="s">
        <v>249</v>
      </c>
      <c r="C132" s="254">
        <f>(SUM('F) Remuneraciones'!$L$274:$L$284)-SUM('F) Remuneraciones'!$I$274:$J$284))/12</f>
        <v>4224539.99</v>
      </c>
      <c r="D132" s="254">
        <f>(SUM('F) Remuneraciones'!$L$274:$L$284)-SUM('F) Remuneraciones'!$I$274:$J$284))/12</f>
        <v>4224539.99</v>
      </c>
      <c r="E132" s="254">
        <f>(SUM('F) Remuneraciones'!$L$274:$L$284)-SUM('F) Remuneraciones'!$I$274:$J$284))/12</f>
        <v>4224539.99</v>
      </c>
      <c r="F132" s="254">
        <f>(SUM('F) Remuneraciones'!$L$274:$L$284)-SUM('F) Remuneraciones'!$I$274:$J$284))/12</f>
        <v>4224539.99</v>
      </c>
      <c r="G132" s="254">
        <f>(SUM('F) Remuneraciones'!$L$274:$L$284)-SUM('F) Remuneraciones'!$I$274:$J$284))/12</f>
        <v>4224539.99</v>
      </c>
      <c r="H132" s="254">
        <f>(SUM('F) Remuneraciones'!$L$274:$L$284)-SUM('F) Remuneraciones'!$I$274:$J$284))/12</f>
        <v>4224539.99</v>
      </c>
      <c r="I132" s="254">
        <f>(SUM('F) Remuneraciones'!$L$274:$L$284)-SUM('F) Remuneraciones'!$I$274:$J$284))/12</f>
        <v>4224539.99</v>
      </c>
      <c r="J132" s="254">
        <f>(SUM('F) Remuneraciones'!$L$274:$L$284)-SUM('F) Remuneraciones'!$I$274:$J$284))/12</f>
        <v>4224539.99</v>
      </c>
      <c r="K132" s="254">
        <f>(SUM('F) Remuneraciones'!$L$274:$L$284)-SUM('F) Remuneraciones'!$I$274:$J$284))/12</f>
        <v>4224539.99</v>
      </c>
      <c r="L132" s="254">
        <f>(SUM('F) Remuneraciones'!$L$274:$L$284)-SUM('F) Remuneraciones'!$I$274:$J$284))/12</f>
        <v>4224539.99</v>
      </c>
      <c r="M132" s="254">
        <f>(SUM('F) Remuneraciones'!$L$274:$L$284)-SUM('F) Remuneraciones'!$I$274:$J$284))/12</f>
        <v>4224539.99</v>
      </c>
      <c r="N132" s="254">
        <f>(SUM('F) Remuneraciones'!$L$274:$L$284)-SUM('F) Remuneraciones'!$I$274:$J$284))/12</f>
        <v>4224539.99</v>
      </c>
      <c r="O132" s="438">
        <f t="shared" si="33"/>
        <v>50694479.880000018</v>
      </c>
    </row>
    <row r="133" spans="2:20" x14ac:dyDescent="0.35">
      <c r="B133" s="431" t="s">
        <v>250</v>
      </c>
      <c r="C133" s="254">
        <f>SUM('F) Remuneraciones'!$L$285:$L$295)/4</f>
        <v>0</v>
      </c>
      <c r="D133" s="254">
        <f>SUM('F) Remuneraciones'!$L$285:$L$295)/4</f>
        <v>0</v>
      </c>
      <c r="E133" s="254">
        <f>SUM('F) Remuneraciones'!$L$285:$L$295)/4</f>
        <v>0</v>
      </c>
      <c r="F133" s="254">
        <v>0</v>
      </c>
      <c r="G133" s="254">
        <v>0</v>
      </c>
      <c r="H133" s="254">
        <v>0</v>
      </c>
      <c r="I133" s="254">
        <v>0</v>
      </c>
      <c r="J133" s="254">
        <v>0</v>
      </c>
      <c r="K133" s="254">
        <v>0</v>
      </c>
      <c r="L133" s="254">
        <v>0</v>
      </c>
      <c r="M133" s="254">
        <v>0</v>
      </c>
      <c r="N133" s="254">
        <f>SUM('F) Remuneraciones'!$L$285:$L$295)/4</f>
        <v>0</v>
      </c>
      <c r="O133" s="438">
        <f t="shared" si="33"/>
        <v>0</v>
      </c>
    </row>
    <row r="134" spans="2:20" x14ac:dyDescent="0.35">
      <c r="B134" s="431" t="s">
        <v>251</v>
      </c>
      <c r="C134" s="254">
        <f>SUM('F) Remuneraciones'!I274:I284)/2</f>
        <v>966190</v>
      </c>
      <c r="D134" s="254">
        <v>0</v>
      </c>
      <c r="E134" s="254">
        <v>0</v>
      </c>
      <c r="F134" s="254">
        <v>0</v>
      </c>
      <c r="G134" s="254">
        <v>0</v>
      </c>
      <c r="H134" s="254">
        <v>0</v>
      </c>
      <c r="I134" s="254">
        <v>0</v>
      </c>
      <c r="J134" s="254">
        <v>0</v>
      </c>
      <c r="K134" s="254">
        <f>SUM('F) Remuneraciones'!J274:J284)/2</f>
        <v>436180</v>
      </c>
      <c r="L134" s="254">
        <v>0</v>
      </c>
      <c r="M134" s="254">
        <v>0</v>
      </c>
      <c r="N134" s="254">
        <f>+C134+K134</f>
        <v>1402370</v>
      </c>
      <c r="O134" s="438">
        <f t="shared" si="33"/>
        <v>2804740</v>
      </c>
    </row>
    <row r="135" spans="2:20" x14ac:dyDescent="0.35">
      <c r="B135" s="452" t="s">
        <v>252</v>
      </c>
      <c r="C135" s="446">
        <f>(SUM('C) Estimación Costos Directos'!$H$803-'C) Estimación Costos Directos'!$H$805))*C139</f>
        <v>4606118.517500001</v>
      </c>
      <c r="D135" s="446">
        <f>(SUM('C) Estimación Costos Directos'!$H$803-'C) Estimación Costos Directos'!$H$805))*D139</f>
        <v>4145506.6657500002</v>
      </c>
      <c r="E135" s="446">
        <f>(SUM('C) Estimación Costos Directos'!$H$803-'C) Estimación Costos Directos'!$H$805))*E139</f>
        <v>4145506.6657500002</v>
      </c>
      <c r="F135" s="446">
        <f>(SUM('C) Estimación Costos Directos'!$H$803-'C) Estimación Costos Directos'!$H$805))*F139</f>
        <v>3684894.8140000002</v>
      </c>
      <c r="G135" s="446">
        <f>(SUM('C) Estimación Costos Directos'!$H$803-'C) Estimación Costos Directos'!$H$805))*G139</f>
        <v>4145506.6657500002</v>
      </c>
      <c r="H135" s="446">
        <f>(SUM('C) Estimación Costos Directos'!$H$803-'C) Estimación Costos Directos'!$H$805))*H139</f>
        <v>4145506.6657500002</v>
      </c>
      <c r="I135" s="446">
        <f>(SUM('C) Estimación Costos Directos'!$H$803-'C) Estimación Costos Directos'!$H$805))*I139</f>
        <v>2763671.1105</v>
      </c>
      <c r="J135" s="446">
        <f>(SUM('C) Estimación Costos Directos'!$H$803-'C) Estimación Costos Directos'!$H$805))*J139</f>
        <v>3684894.8140000002</v>
      </c>
      <c r="K135" s="446">
        <f>(SUM('C) Estimación Costos Directos'!$H$803-'C) Estimación Costos Directos'!$H$805))*K139</f>
        <v>3684894.8140000002</v>
      </c>
      <c r="L135" s="446">
        <f>(SUM('C) Estimación Costos Directos'!$H$803-'C) Estimación Costos Directos'!$H$805))*L139</f>
        <v>3224282.9622500008</v>
      </c>
      <c r="M135" s="446">
        <f>(SUM('C) Estimación Costos Directos'!$H$803-'C) Estimación Costos Directos'!$H$805))*M139</f>
        <v>2303059.2587500005</v>
      </c>
      <c r="N135" s="446">
        <f>(SUM('C) Estimación Costos Directos'!$H$803-'C) Estimación Costos Directos'!$H$805))*N139</f>
        <v>5527342.2209999999</v>
      </c>
      <c r="O135" s="438">
        <f t="shared" si="33"/>
        <v>46061185.175000004</v>
      </c>
    </row>
    <row r="136" spans="2:20" ht="15" thickBot="1" x14ac:dyDescent="0.4">
      <c r="B136" s="439" t="s">
        <v>310</v>
      </c>
      <c r="C136" s="434">
        <f>+'C) Estimación Costos Directos'!$H$831*C140</f>
        <v>390469.71</v>
      </c>
      <c r="D136" s="434">
        <f>+'C) Estimación Costos Directos'!$H$831*D140</f>
        <v>351422.739</v>
      </c>
      <c r="E136" s="434">
        <f>+'C) Estimación Costos Directos'!$H$831*E140</f>
        <v>351422.739</v>
      </c>
      <c r="F136" s="434">
        <f>+'C) Estimación Costos Directos'!$H$831*F140</f>
        <v>312375.76800000004</v>
      </c>
      <c r="G136" s="434">
        <f>+'C) Estimación Costos Directos'!$H$831*G140</f>
        <v>351422.739</v>
      </c>
      <c r="H136" s="434">
        <f>+'C) Estimación Costos Directos'!$H$831*H140</f>
        <v>351422.739</v>
      </c>
      <c r="I136" s="434">
        <f>+'C) Estimación Costos Directos'!$H$831*I140</f>
        <v>234281.826</v>
      </c>
      <c r="J136" s="434">
        <f>+'C) Estimación Costos Directos'!$H$831*J140</f>
        <v>312375.76800000004</v>
      </c>
      <c r="K136" s="434">
        <f>+'C) Estimación Costos Directos'!$H$831*K140</f>
        <v>312375.76800000004</v>
      </c>
      <c r="L136" s="434">
        <f>+'C) Estimación Costos Directos'!$H$831*L140</f>
        <v>273328.79700000002</v>
      </c>
      <c r="M136" s="434">
        <f>+'C) Estimación Costos Directos'!$H$831*M140</f>
        <v>195234.85500000001</v>
      </c>
      <c r="N136" s="434">
        <f>+'C) Estimación Costos Directos'!$H$831*N140</f>
        <v>468563.652</v>
      </c>
      <c r="O136" s="440">
        <f t="shared" si="33"/>
        <v>3904697.1000000006</v>
      </c>
    </row>
    <row r="137" spans="2:20" ht="15" thickBot="1" x14ac:dyDescent="0.4">
      <c r="B137" s="447" t="s">
        <v>253</v>
      </c>
      <c r="C137" s="466">
        <f>C131-(C132+C133+C134+C135+C136)</f>
        <v>-291176.41750000045</v>
      </c>
      <c r="D137" s="466">
        <f t="shared" ref="D137:N137" si="34">D131-(D132+D133+D134+D135+D136)</f>
        <v>185058.22524999827</v>
      </c>
      <c r="E137" s="466">
        <f t="shared" si="34"/>
        <v>185058.22524999827</v>
      </c>
      <c r="F137" s="466">
        <f t="shared" si="34"/>
        <v>-304897.13200000022</v>
      </c>
      <c r="G137" s="466">
        <f t="shared" si="34"/>
        <v>185058.22524999827</v>
      </c>
      <c r="H137" s="466">
        <f t="shared" si="34"/>
        <v>185058.22524999827</v>
      </c>
      <c r="I137" s="466">
        <f t="shared" si="34"/>
        <v>-1284807.8465000009</v>
      </c>
      <c r="J137" s="466">
        <f t="shared" si="34"/>
        <v>-304897.13200000022</v>
      </c>
      <c r="K137" s="466">
        <f t="shared" si="34"/>
        <v>-741077.13200000022</v>
      </c>
      <c r="L137" s="466">
        <f t="shared" si="34"/>
        <v>-794852.48925000057</v>
      </c>
      <c r="M137" s="466">
        <f t="shared" si="34"/>
        <v>-1774763.2037500013</v>
      </c>
      <c r="N137" s="466">
        <f t="shared" si="34"/>
        <v>252554.29700000025</v>
      </c>
      <c r="O137" s="262">
        <f>O131-(O132+O133+O134+O135+O136)</f>
        <v>-4503684.1550000161</v>
      </c>
      <c r="R137" s="874"/>
    </row>
    <row r="138" spans="2:20" x14ac:dyDescent="0.35">
      <c r="B138" s="263" t="s">
        <v>254</v>
      </c>
      <c r="C138" s="943">
        <v>0.1</v>
      </c>
      <c r="D138" s="943">
        <v>0.09</v>
      </c>
      <c r="E138" s="943">
        <v>0.09</v>
      </c>
      <c r="F138" s="943">
        <v>0.08</v>
      </c>
      <c r="G138" s="943">
        <v>0.09</v>
      </c>
      <c r="H138" s="943">
        <v>0.09</v>
      </c>
      <c r="I138" s="943">
        <v>0.06</v>
      </c>
      <c r="J138" s="943">
        <v>0.08</v>
      </c>
      <c r="K138" s="943">
        <v>0.08</v>
      </c>
      <c r="L138" s="943">
        <v>7.0000000000000007E-2</v>
      </c>
      <c r="M138" s="943">
        <v>0.05</v>
      </c>
      <c r="N138" s="943">
        <v>0.12</v>
      </c>
      <c r="O138" s="958">
        <f>SUM(C138:N138)</f>
        <v>1</v>
      </c>
      <c r="P138" s="943">
        <v>8.1346919630253367E-2</v>
      </c>
      <c r="Q138" s="943">
        <v>8.4310621720439058E-2</v>
      </c>
      <c r="S138" s="943"/>
      <c r="T138" s="943"/>
    </row>
    <row r="139" spans="2:20" x14ac:dyDescent="0.35">
      <c r="B139" s="944" t="s">
        <v>334</v>
      </c>
      <c r="C139" s="943">
        <v>0.1</v>
      </c>
      <c r="D139" s="943">
        <v>0.09</v>
      </c>
      <c r="E139" s="943">
        <v>0.09</v>
      </c>
      <c r="F139" s="943">
        <v>0.08</v>
      </c>
      <c r="G139" s="943">
        <v>0.09</v>
      </c>
      <c r="H139" s="943">
        <v>0.09</v>
      </c>
      <c r="I139" s="943">
        <v>0.06</v>
      </c>
      <c r="J139" s="943">
        <v>0.08</v>
      </c>
      <c r="K139" s="943">
        <v>0.08</v>
      </c>
      <c r="L139" s="943">
        <v>7.0000000000000007E-2</v>
      </c>
      <c r="M139" s="943">
        <v>0.05</v>
      </c>
      <c r="N139" s="943">
        <v>0.12</v>
      </c>
      <c r="O139" s="958">
        <f t="shared" ref="O139" si="35">SUM(C139:N139)</f>
        <v>1</v>
      </c>
      <c r="P139" s="945">
        <v>8.1346919630253367E-2</v>
      </c>
      <c r="Q139" s="945">
        <v>8.4310621720439058E-2</v>
      </c>
      <c r="R139" s="951"/>
      <c r="S139" s="945"/>
      <c r="T139" s="945"/>
    </row>
    <row r="140" spans="2:20" x14ac:dyDescent="0.35">
      <c r="B140" s="944" t="s">
        <v>311</v>
      </c>
      <c r="C140" s="943">
        <v>0.1</v>
      </c>
      <c r="D140" s="943">
        <v>0.09</v>
      </c>
      <c r="E140" s="943">
        <v>0.09</v>
      </c>
      <c r="F140" s="943">
        <v>0.08</v>
      </c>
      <c r="G140" s="943">
        <v>0.09</v>
      </c>
      <c r="H140" s="943">
        <v>0.09</v>
      </c>
      <c r="I140" s="943">
        <v>0.06</v>
      </c>
      <c r="J140" s="943">
        <v>0.08</v>
      </c>
      <c r="K140" s="943">
        <v>0.08</v>
      </c>
      <c r="L140" s="943">
        <v>7.0000000000000007E-2</v>
      </c>
      <c r="M140" s="943">
        <v>0.05</v>
      </c>
      <c r="N140" s="943">
        <v>0.12</v>
      </c>
      <c r="O140" s="958">
        <f>SUM(C140:N140)</f>
        <v>1</v>
      </c>
      <c r="P140" s="945">
        <v>8.1346919630253367E-2</v>
      </c>
      <c r="Q140" s="945">
        <v>8.4310621720439058E-2</v>
      </c>
      <c r="R140" s="945"/>
      <c r="S140" s="945"/>
      <c r="T140" s="945"/>
    </row>
    <row r="141" spans="2:20" x14ac:dyDescent="0.35">
      <c r="B141"/>
      <c r="C141"/>
      <c r="D141"/>
      <c r="E141"/>
      <c r="F141"/>
      <c r="G141"/>
      <c r="H141"/>
      <c r="I141"/>
      <c r="J141"/>
      <c r="K141"/>
      <c r="L141"/>
      <c r="M141"/>
      <c r="N141"/>
      <c r="O141"/>
    </row>
    <row r="142" spans="2:20" x14ac:dyDescent="0.35">
      <c r="B142"/>
      <c r="C142"/>
      <c r="D142"/>
      <c r="E142"/>
      <c r="F142"/>
      <c r="G142"/>
      <c r="H142"/>
      <c r="I142"/>
      <c r="J142"/>
      <c r="K142"/>
      <c r="L142"/>
      <c r="M142"/>
      <c r="N142"/>
      <c r="O142"/>
    </row>
    <row r="143" spans="2:20" x14ac:dyDescent="0.35">
      <c r="B143"/>
      <c r="C143"/>
      <c r="D143"/>
      <c r="E143"/>
      <c r="F143"/>
      <c r="G143"/>
      <c r="H143"/>
      <c r="I143"/>
      <c r="J143"/>
      <c r="K143"/>
      <c r="L143"/>
      <c r="M143"/>
      <c r="N143"/>
      <c r="O143"/>
    </row>
    <row r="144" spans="2:20" x14ac:dyDescent="0.35">
      <c r="B144"/>
      <c r="C144"/>
      <c r="D144"/>
      <c r="E144"/>
      <c r="F144"/>
      <c r="G144"/>
      <c r="H144"/>
      <c r="I144"/>
      <c r="J144"/>
      <c r="K144"/>
      <c r="L144"/>
      <c r="M144"/>
      <c r="N144"/>
      <c r="O144"/>
    </row>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sheetData>
  <sheetProtection algorithmName="SHA-512" hashValue="6EeqxmFyB2dllI2rsolfjD8kyhiObijuiE3EC6mVQZDpbLdlTO50QYTNYaIob4TjxixJd7nzfCcnzwlrHQiMOQ==" saltValue="J5u7IaIXaLTlWliKwjpCCw==" spinCount="100000" sheet="1" objects="1" scenarios="1"/>
  <mergeCells count="14">
    <mergeCell ref="Q120:Q121"/>
    <mergeCell ref="Q98:Q99"/>
    <mergeCell ref="E4:F4"/>
    <mergeCell ref="B6:K6"/>
    <mergeCell ref="C4:D4"/>
    <mergeCell ref="Q65:Q66"/>
    <mergeCell ref="Q76:Q77"/>
    <mergeCell ref="Q87:Q88"/>
    <mergeCell ref="Q10:Q11"/>
    <mergeCell ref="Q21:Q22"/>
    <mergeCell ref="Q32:Q33"/>
    <mergeCell ref="Q43:Q44"/>
    <mergeCell ref="Q54:Q55"/>
    <mergeCell ref="Q109:Q110"/>
  </mergeCells>
  <conditionalFormatting sqref="C9:O15">
    <cfRule type="cellIs" dxfId="11" priority="24" stopIfTrue="1" operator="lessThan">
      <formula>0</formula>
    </cfRule>
  </conditionalFormatting>
  <conditionalFormatting sqref="C20:O26">
    <cfRule type="cellIs" dxfId="10" priority="23" stopIfTrue="1" operator="lessThan">
      <formula>0</formula>
    </cfRule>
  </conditionalFormatting>
  <conditionalFormatting sqref="C31:O37">
    <cfRule type="cellIs" dxfId="9" priority="8" stopIfTrue="1" operator="lessThan">
      <formula>0</formula>
    </cfRule>
  </conditionalFormatting>
  <conditionalFormatting sqref="C42:O48">
    <cfRule type="cellIs" dxfId="8" priority="21" stopIfTrue="1" operator="lessThan">
      <formula>0</formula>
    </cfRule>
  </conditionalFormatting>
  <conditionalFormatting sqref="C53:O59">
    <cfRule type="cellIs" dxfId="7" priority="20" stopIfTrue="1" operator="lessThan">
      <formula>0</formula>
    </cfRule>
  </conditionalFormatting>
  <conditionalFormatting sqref="C64:O70">
    <cfRule type="cellIs" dxfId="6" priority="4" stopIfTrue="1" operator="lessThan">
      <formula>0</formula>
    </cfRule>
  </conditionalFormatting>
  <conditionalFormatting sqref="C75:O81">
    <cfRule type="cellIs" dxfId="5" priority="18" stopIfTrue="1" operator="lessThan">
      <formula>0</formula>
    </cfRule>
  </conditionalFormatting>
  <conditionalFormatting sqref="C86:O92">
    <cfRule type="cellIs" dxfId="4" priority="17" stopIfTrue="1" operator="lessThan">
      <formula>0</formula>
    </cfRule>
  </conditionalFormatting>
  <conditionalFormatting sqref="C97:O103">
    <cfRule type="cellIs" dxfId="3" priority="3" stopIfTrue="1" operator="lessThan">
      <formula>0</formula>
    </cfRule>
  </conditionalFormatting>
  <conditionalFormatting sqref="C108:O114">
    <cfRule type="cellIs" dxfId="2" priority="15" stopIfTrue="1" operator="lessThan">
      <formula>0</formula>
    </cfRule>
  </conditionalFormatting>
  <conditionalFormatting sqref="C119:O125">
    <cfRule type="cellIs" dxfId="1" priority="14" stopIfTrue="1" operator="lessThan">
      <formula>0</formula>
    </cfRule>
  </conditionalFormatting>
  <conditionalFormatting sqref="C131:O137">
    <cfRule type="cellIs" dxfId="0" priority="1" stopIfTrue="1" operator="lessThan">
      <formula>0</formula>
    </cfRule>
  </conditionalFormatting>
  <hyperlinks>
    <hyperlink ref="B6:K6" location="'Índice Tablas'!A1" display="TABLA N°13:  INGRESO POR ARRIENDOS " xr:uid="{00000000-0004-0000-0D00-000000000000}"/>
  </hyperlinks>
  <pageMargins left="0.7" right="0.7" top="0.75" bottom="0.75" header="0.3" footer="0.3"/>
  <pageSetup orientation="portrait" r:id="rId1"/>
  <ignoredErrors>
    <ignoredError sqref="O114" formula="1"/>
    <ignoredError sqref="C11:E11 C33:E33 C23 K23 C45 K45"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A134"/>
  <sheetViews>
    <sheetView workbookViewId="0"/>
  </sheetViews>
  <sheetFormatPr baseColWidth="10" defaultRowHeight="14.5" x14ac:dyDescent="0.35"/>
  <cols>
    <col min="2" max="2" width="65.81640625" bestFit="1" customWidth="1"/>
    <col min="3" max="3" width="13.81640625" bestFit="1" customWidth="1"/>
    <col min="4" max="4" width="13.81640625" customWidth="1"/>
    <col min="5" max="5" width="13.81640625" bestFit="1" customWidth="1"/>
    <col min="6" max="6" width="13.81640625" customWidth="1"/>
    <col min="7" max="7" width="13.81640625" bestFit="1" customWidth="1"/>
    <col min="8" max="8" width="13.81640625" customWidth="1"/>
    <col min="9" max="9" width="13.81640625" bestFit="1" customWidth="1"/>
    <col min="10" max="10" width="13.81640625" customWidth="1"/>
    <col min="11" max="11" width="13.81640625" bestFit="1" customWidth="1"/>
    <col min="12" max="12" width="13.81640625" customWidth="1"/>
    <col min="13" max="13" width="13.81640625" bestFit="1" customWidth="1"/>
    <col min="14" max="14" width="13.81640625" customWidth="1"/>
    <col min="15" max="15" width="13.81640625" bestFit="1" customWidth="1"/>
    <col min="16" max="16" width="13.81640625" customWidth="1"/>
    <col min="17" max="17" width="13.81640625" bestFit="1" customWidth="1"/>
    <col min="18" max="18" width="13.81640625" customWidth="1"/>
    <col min="19" max="19" width="13.81640625" bestFit="1" customWidth="1"/>
    <col min="20" max="20" width="17.7265625" bestFit="1" customWidth="1"/>
    <col min="21" max="21" width="13.81640625" bestFit="1" customWidth="1"/>
    <col min="22" max="22" width="14.81640625" bestFit="1" customWidth="1"/>
    <col min="23" max="23" width="13.81640625" bestFit="1" customWidth="1"/>
    <col min="24" max="24" width="17.453125" bestFit="1" customWidth="1"/>
    <col min="25" max="25" width="13.81640625" bestFit="1" customWidth="1"/>
    <col min="26" max="26" width="16.26953125" bestFit="1" customWidth="1"/>
    <col min="27" max="27" width="15" bestFit="1" customWidth="1"/>
  </cols>
  <sheetData>
    <row r="2" spans="2:27" ht="15" thickBot="1" x14ac:dyDescent="0.4"/>
    <row r="3" spans="2:27" ht="29.5" thickBot="1" x14ac:dyDescent="0.4">
      <c r="B3" s="249" t="s">
        <v>234</v>
      </c>
      <c r="C3" s="283" t="s">
        <v>235</v>
      </c>
      <c r="D3" s="284" t="s">
        <v>268</v>
      </c>
      <c r="E3" s="285" t="s">
        <v>236</v>
      </c>
      <c r="F3" s="284" t="s">
        <v>269</v>
      </c>
      <c r="G3" s="285" t="s">
        <v>237</v>
      </c>
      <c r="H3" s="284" t="s">
        <v>270</v>
      </c>
      <c r="I3" s="285" t="s">
        <v>238</v>
      </c>
      <c r="J3" s="284" t="s">
        <v>271</v>
      </c>
      <c r="K3" s="285" t="s">
        <v>239</v>
      </c>
      <c r="L3" s="284" t="s">
        <v>272</v>
      </c>
      <c r="M3" s="285" t="s">
        <v>240</v>
      </c>
      <c r="N3" s="284" t="s">
        <v>273</v>
      </c>
      <c r="O3" s="285" t="s">
        <v>241</v>
      </c>
      <c r="P3" s="284" t="s">
        <v>274</v>
      </c>
      <c r="Q3" s="285" t="s">
        <v>242</v>
      </c>
      <c r="R3" s="284" t="s">
        <v>275</v>
      </c>
      <c r="S3" s="285" t="s">
        <v>243</v>
      </c>
      <c r="T3" s="284" t="s">
        <v>276</v>
      </c>
      <c r="U3" s="285" t="s">
        <v>244</v>
      </c>
      <c r="V3" s="284" t="s">
        <v>277</v>
      </c>
      <c r="W3" s="285" t="s">
        <v>245</v>
      </c>
      <c r="X3" s="284" t="s">
        <v>278</v>
      </c>
      <c r="Y3" s="285" t="s">
        <v>246</v>
      </c>
      <c r="Z3" s="286" t="s">
        <v>279</v>
      </c>
      <c r="AA3" s="250" t="s">
        <v>247</v>
      </c>
    </row>
    <row r="4" spans="2:27" x14ac:dyDescent="0.35">
      <c r="B4" s="251" t="s">
        <v>248</v>
      </c>
      <c r="C4" s="281">
        <f>+'A) Resumen Ingresos y Egresos'!$D$9*'J) ESTRUCTURA ECONÓMICA MENS'!C16</f>
        <v>8418645.7843401767</v>
      </c>
      <c r="D4" s="281">
        <v>0</v>
      </c>
      <c r="E4" s="281">
        <f>+'A) Resumen Ingresos y Egresos'!$D$9*'J) ESTRUCTURA ECONÓMICA MENS'!D16</f>
        <v>7614381.2160132937</v>
      </c>
      <c r="F4" s="281">
        <v>0</v>
      </c>
      <c r="G4" s="281">
        <f>+'A) Resumen Ingresos y Egresos'!$D$9*'J) ESTRUCTURA ECONÓMICA MENS'!E16</f>
        <v>7089113.1756679984</v>
      </c>
      <c r="H4" s="281">
        <v>0</v>
      </c>
      <c r="I4" s="281">
        <f>+'A) Resumen Ingresos y Egresos'!$D$9*'J) ESTRUCTURA ECONÓMICA MENS'!F16</f>
        <v>10252114.519978607</v>
      </c>
      <c r="J4" s="281">
        <v>0</v>
      </c>
      <c r="K4" s="281">
        <f>+'A) Resumen Ingresos y Egresos'!$D$9*'J) ESTRUCTURA ECONÓMICA MENS'!G16</f>
        <v>6216193.3129785266</v>
      </c>
      <c r="L4" s="281">
        <v>0</v>
      </c>
      <c r="M4" s="281">
        <f>+'A) Resumen Ingresos y Egresos'!$D$9*'J) ESTRUCTURA ECONÓMICA MENS'!H16</f>
        <v>6027425.219288771</v>
      </c>
      <c r="N4" s="281"/>
      <c r="O4" s="281">
        <f>+'A) Resumen Ingresos y Egresos'!$D$9*'J) ESTRUCTURA ECONÓMICA MENS'!I16</f>
        <v>9135966.2039926313</v>
      </c>
      <c r="P4" s="281"/>
      <c r="Q4" s="281">
        <f>+'A) Resumen Ingresos y Egresos'!$D$9*'J) ESTRUCTURA ECONÓMICA MENS'!J16</f>
        <v>7994597.2362752184</v>
      </c>
      <c r="R4" s="281"/>
      <c r="S4" s="281">
        <f>+'A) Resumen Ingresos y Egresos'!$D$9*'J) ESTRUCTURA ECONÓMICA MENS'!K16</f>
        <v>7082839.8990032692</v>
      </c>
      <c r="T4" s="281"/>
      <c r="U4" s="281">
        <f>+'A) Resumen Ingresos y Egresos'!$D$9*'J) ESTRUCTURA ECONÓMICA MENS'!L16</f>
        <v>7926665.6215632372</v>
      </c>
      <c r="V4" s="281"/>
      <c r="W4" s="281">
        <f>+'A) Resumen Ingresos y Egresos'!$D$9*'J) ESTRUCTURA ECONÓMICA MENS'!M16</f>
        <v>8334582.4906733278</v>
      </c>
      <c r="X4" s="281"/>
      <c r="Y4" s="281">
        <f>+'A) Resumen Ingresos y Egresos'!$D$9*'J) ESTRUCTURA ECONÓMICA MENS'!N16</f>
        <v>5712975.3202249464</v>
      </c>
      <c r="Z4" s="282"/>
      <c r="AA4" s="253">
        <f>SUM(C4:Y4)</f>
        <v>91805500.000000015</v>
      </c>
    </row>
    <row r="5" spans="2:27" x14ac:dyDescent="0.35">
      <c r="B5" s="251" t="s">
        <v>249</v>
      </c>
      <c r="C5" s="252">
        <f>SUM('F) Remuneraciones'!$K$11:$K$21)/12</f>
        <v>4075451.6666666665</v>
      </c>
      <c r="D5" s="1506">
        <v>0</v>
      </c>
      <c r="E5" s="252">
        <f>SUM('F) Remuneraciones'!$K$11:$K$21)/12</f>
        <v>4075451.6666666665</v>
      </c>
      <c r="F5" s="1506">
        <v>0</v>
      </c>
      <c r="G5" s="252">
        <f>SUM('F) Remuneraciones'!$K$11:$K$21)/12</f>
        <v>4075451.6666666665</v>
      </c>
      <c r="H5" s="1506">
        <v>0</v>
      </c>
      <c r="I5" s="252">
        <f>SUM('F) Remuneraciones'!$K$11:$K$21)/12</f>
        <v>4075451.6666666665</v>
      </c>
      <c r="J5" s="1506">
        <v>0</v>
      </c>
      <c r="K5" s="252">
        <f>SUM('F) Remuneraciones'!$K$11:$K$21)/12</f>
        <v>4075451.6666666665</v>
      </c>
      <c r="L5" s="1506">
        <v>0</v>
      </c>
      <c r="M5" s="252">
        <f>SUM('F) Remuneraciones'!$K$11:$K$21)/12</f>
        <v>4075451.6666666665</v>
      </c>
      <c r="N5" s="1503"/>
      <c r="O5" s="252">
        <f>SUM('F) Remuneraciones'!$K$11:$K$21)/12</f>
        <v>4075451.6666666665</v>
      </c>
      <c r="P5" s="1503"/>
      <c r="Q5" s="252">
        <f>SUM('F) Remuneraciones'!$K$11:$K$21)/12</f>
        <v>4075451.6666666665</v>
      </c>
      <c r="R5" s="1503"/>
      <c r="S5" s="252">
        <f>SUM('F) Remuneraciones'!$K$11:$K$21)/12</f>
        <v>4075451.6666666665</v>
      </c>
      <c r="T5" s="1503"/>
      <c r="U5" s="252">
        <f>SUM('F) Remuneraciones'!$K$11:$K$21)/12</f>
        <v>4075451.6666666665</v>
      </c>
      <c r="V5" s="1503"/>
      <c r="W5" s="252">
        <f>SUM('F) Remuneraciones'!$K$11:$K$21)/12</f>
        <v>4075451.6666666665</v>
      </c>
      <c r="X5" s="1503"/>
      <c r="Y5" s="252">
        <f>SUM('F) Remuneraciones'!$K$11:$K$21)/12</f>
        <v>4075451.6666666665</v>
      </c>
      <c r="Z5" s="1503"/>
      <c r="AA5" s="253">
        <f>SUM(C5:Y5)</f>
        <v>48905419.999999993</v>
      </c>
    </row>
    <row r="6" spans="2:27" x14ac:dyDescent="0.35">
      <c r="B6" s="251" t="s">
        <v>250</v>
      </c>
      <c r="C6" s="252">
        <f>SUM('F) Remuneraciones'!$K17:$K27)/4</f>
        <v>0</v>
      </c>
      <c r="D6" s="1507"/>
      <c r="E6" s="252">
        <f>SUM('F) Remuneraciones'!$K17:$K27)/4</f>
        <v>0</v>
      </c>
      <c r="F6" s="1507"/>
      <c r="G6" s="252">
        <f>SUM('F) Remuneraciones'!$K17:$K27)/4</f>
        <v>0</v>
      </c>
      <c r="H6" s="1507"/>
      <c r="I6" s="252">
        <v>0</v>
      </c>
      <c r="J6" s="1507"/>
      <c r="K6" s="252">
        <v>0</v>
      </c>
      <c r="L6" s="1507"/>
      <c r="M6" s="252">
        <v>0</v>
      </c>
      <c r="N6" s="1504"/>
      <c r="O6" s="252">
        <v>0</v>
      </c>
      <c r="P6" s="1504"/>
      <c r="Q6" s="252">
        <v>0</v>
      </c>
      <c r="R6" s="1504"/>
      <c r="S6" s="252">
        <v>0</v>
      </c>
      <c r="T6" s="1504"/>
      <c r="U6" s="252">
        <v>0</v>
      </c>
      <c r="V6" s="1504"/>
      <c r="W6" s="252">
        <v>0</v>
      </c>
      <c r="X6" s="1504"/>
      <c r="Y6" s="252">
        <f>SUM('F) Remuneraciones'!$K17:$K27)/4</f>
        <v>0</v>
      </c>
      <c r="Z6" s="1504"/>
      <c r="AA6" s="253">
        <f>SUM(C6:Y6)</f>
        <v>0</v>
      </c>
    </row>
    <row r="7" spans="2:27" x14ac:dyDescent="0.35">
      <c r="B7" s="251" t="s">
        <v>251</v>
      </c>
      <c r="C7" s="252">
        <f>SUM('F) Remuneraciones'!I6:I27)*0.5</f>
        <v>1159428</v>
      </c>
      <c r="D7" s="1507"/>
      <c r="E7" s="254">
        <v>0</v>
      </c>
      <c r="F7" s="1507"/>
      <c r="G7" s="254">
        <v>0</v>
      </c>
      <c r="H7" s="1507"/>
      <c r="I7" s="254">
        <v>0</v>
      </c>
      <c r="J7" s="1507"/>
      <c r="K7" s="254">
        <v>0</v>
      </c>
      <c r="L7" s="1507"/>
      <c r="M7" s="254">
        <v>0</v>
      </c>
      <c r="N7" s="1504"/>
      <c r="O7" s="254">
        <v>0</v>
      </c>
      <c r="P7" s="1504"/>
      <c r="Q7" s="254">
        <v>0</v>
      </c>
      <c r="R7" s="1504"/>
      <c r="S7" s="254">
        <f>SUM('F) Remuneraciones'!J6:J27)*0.5</f>
        <v>522202</v>
      </c>
      <c r="T7" s="1504"/>
      <c r="U7" s="254"/>
      <c r="V7" s="1504"/>
      <c r="W7" s="254"/>
      <c r="X7" s="1504"/>
      <c r="Y7" s="255">
        <f>+C7+S7</f>
        <v>1681630</v>
      </c>
      <c r="Z7" s="1504"/>
      <c r="AA7" s="253">
        <f>SUM(C7:Y7)</f>
        <v>3363260</v>
      </c>
    </row>
    <row r="8" spans="2:27" x14ac:dyDescent="0.35">
      <c r="B8" s="268" t="s">
        <v>267</v>
      </c>
      <c r="C8" s="257">
        <f>SUM(C5:C7)</f>
        <v>5234879.666666666</v>
      </c>
      <c r="D8" s="1508"/>
      <c r="E8" s="257">
        <f>SUM(E5:E7)</f>
        <v>4075451.6666666665</v>
      </c>
      <c r="F8" s="1508"/>
      <c r="G8" s="257">
        <f>SUM(G5:G7)</f>
        <v>4075451.6666666665</v>
      </c>
      <c r="H8" s="1508"/>
      <c r="I8" s="257">
        <f>SUM(I5:I7)</f>
        <v>4075451.6666666665</v>
      </c>
      <c r="J8" s="1508"/>
      <c r="K8" s="257">
        <f>SUM(K5:K7)</f>
        <v>4075451.6666666665</v>
      </c>
      <c r="L8" s="1508"/>
      <c r="M8" s="257">
        <f>SUM(M5:M7)</f>
        <v>4075451.6666666665</v>
      </c>
      <c r="N8" s="1505"/>
      <c r="O8" s="257">
        <f>SUM(O5:O7)</f>
        <v>4075451.6666666665</v>
      </c>
      <c r="P8" s="1505"/>
      <c r="Q8" s="257"/>
      <c r="R8" s="1505"/>
      <c r="S8" s="257"/>
      <c r="T8" s="1505"/>
      <c r="U8" s="257"/>
      <c r="V8" s="1505"/>
      <c r="W8" s="257"/>
      <c r="X8" s="1505"/>
      <c r="Y8" s="271"/>
      <c r="Z8" s="1505"/>
      <c r="AA8" s="253"/>
    </row>
    <row r="9" spans="2:27" ht="15" thickBot="1" x14ac:dyDescent="0.4">
      <c r="B9" s="256" t="s">
        <v>252</v>
      </c>
      <c r="C9" s="257">
        <f>(+'C) Estimación Costos Directos'!$H$80-'C) Estimación Costos Directos'!$D$13)*C12</f>
        <v>1119652.8570801707</v>
      </c>
      <c r="D9" s="257">
        <v>0</v>
      </c>
      <c r="E9" s="257">
        <f>(+'C) Estimación Costos Directos'!$H$80-'C) Estimación Costos Directos'!$D$13)*E12</f>
        <v>2501087.7224748917</v>
      </c>
      <c r="F9" s="257">
        <v>0</v>
      </c>
      <c r="G9" s="257">
        <f>(+'C) Estimación Costos Directos'!$H$80-'C) Estimación Costos Directos'!$D$13)*G12</f>
        <v>3018835.2942392481</v>
      </c>
      <c r="H9" s="257">
        <v>0</v>
      </c>
      <c r="I9" s="257">
        <f>(+'C) Estimación Costos Directos'!$H$80-'C) Estimación Costos Directos'!$D$13)*I12</f>
        <v>1764100.7082098946</v>
      </c>
      <c r="J9" s="257">
        <v>0</v>
      </c>
      <c r="K9" s="257">
        <f>(+'C) Estimación Costos Directos'!$H$80-'C) Estimación Costos Directos'!$D$13)*K12</f>
        <v>3241251.3262140425</v>
      </c>
      <c r="L9" s="257">
        <v>0</v>
      </c>
      <c r="M9" s="257">
        <f>(+'C) Estimación Costos Directos'!$H$80-'C) Estimación Costos Directos'!$D$13)*M12</f>
        <v>2927888.0770933214</v>
      </c>
      <c r="N9" s="257"/>
      <c r="O9" s="257">
        <f>(+'C) Estimación Costos Directos'!$H$80-'C) Estimación Costos Directos'!$D$13)*O12</f>
        <v>3492700.2906069201</v>
      </c>
      <c r="P9" s="257"/>
      <c r="Q9" s="257">
        <f>(+'C) Estimación Costos Directos'!$H$80-'C) Estimación Costos Directos'!$D$13)*Q12</f>
        <v>2624379.5578470146</v>
      </c>
      <c r="R9" s="257"/>
      <c r="S9" s="257">
        <f>(+'C) Estimación Costos Directos'!$H$80-'C) Estimación Costos Directos'!$D$13)*S12</f>
        <v>3416436.5844613481</v>
      </c>
      <c r="T9" s="257"/>
      <c r="U9" s="257">
        <f>(+'C) Estimación Costos Directos'!$H$80-'C) Estimación Costos Directos'!$D$13)*U12</f>
        <v>946806.22591125069</v>
      </c>
      <c r="V9" s="257"/>
      <c r="W9" s="257">
        <f>(+'C) Estimación Costos Directos'!$H$80-'C) Estimación Costos Directos'!$D$13)*W12</f>
        <v>1808061.785530366</v>
      </c>
      <c r="X9" s="257"/>
      <c r="Y9" s="257">
        <f>(+'C) Estimación Costos Directos'!$H$80-'C) Estimación Costos Directos'!$D$13)*Y12</f>
        <v>6602827.8453315292</v>
      </c>
      <c r="Z9" s="271"/>
      <c r="AA9" s="253">
        <f>SUM(C9:Y9)</f>
        <v>33464028.274999999</v>
      </c>
    </row>
    <row r="10" spans="2:27" ht="15" thickBot="1" x14ac:dyDescent="0.4">
      <c r="B10" s="258" t="s">
        <v>253</v>
      </c>
      <c r="C10" s="259">
        <f>+C4-C5-C6-C7-C9</f>
        <v>2064113.26059334</v>
      </c>
      <c r="D10" s="259">
        <f>+D4-D5-D9</f>
        <v>0</v>
      </c>
      <c r="E10" s="260">
        <f t="shared" ref="E10:AA10" si="0">+E4-E5-E6-E7-E9</f>
        <v>1037841.8268717355</v>
      </c>
      <c r="F10" s="260">
        <f>+F4-F5-F9</f>
        <v>0</v>
      </c>
      <c r="G10" s="260">
        <f t="shared" si="0"/>
        <v>-5173.7852379162796</v>
      </c>
      <c r="H10" s="260">
        <f>+H4-H5-H9</f>
        <v>0</v>
      </c>
      <c r="I10" s="260">
        <f t="shared" si="0"/>
        <v>4412562.1451020464</v>
      </c>
      <c r="J10" s="260">
        <f>+J4-J5-J9</f>
        <v>0</v>
      </c>
      <c r="K10" s="260">
        <f t="shared" si="0"/>
        <v>-1100509.6799021824</v>
      </c>
      <c r="L10" s="260">
        <f>+L4-L5-L9</f>
        <v>0</v>
      </c>
      <c r="M10" s="260">
        <f t="shared" si="0"/>
        <v>-975914.52447121684</v>
      </c>
      <c r="N10" s="260"/>
      <c r="O10" s="260">
        <f t="shared" si="0"/>
        <v>1567814.2467190451</v>
      </c>
      <c r="P10" s="260"/>
      <c r="Q10" s="260">
        <f t="shared" si="0"/>
        <v>1294766.0117615373</v>
      </c>
      <c r="R10" s="260"/>
      <c r="S10" s="260">
        <f t="shared" si="0"/>
        <v>-931250.35212474549</v>
      </c>
      <c r="T10" s="260"/>
      <c r="U10" s="260">
        <f t="shared" si="0"/>
        <v>2904407.7289853198</v>
      </c>
      <c r="V10" s="260"/>
      <c r="W10" s="260">
        <f t="shared" si="0"/>
        <v>2451069.0384762958</v>
      </c>
      <c r="X10" s="261"/>
      <c r="Y10" s="261">
        <f t="shared" si="0"/>
        <v>-6646934.1917732488</v>
      </c>
      <c r="Z10" s="272"/>
      <c r="AA10" s="262">
        <f t="shared" si="0"/>
        <v>6072791.7250000238</v>
      </c>
    </row>
    <row r="11" spans="2:27" x14ac:dyDescent="0.35">
      <c r="B11" s="263" t="s">
        <v>254</v>
      </c>
      <c r="C11" s="264">
        <v>9.1700887031171088E-2</v>
      </c>
      <c r="D11" s="264"/>
      <c r="E11" s="264">
        <v>8.2940359956792276E-2</v>
      </c>
      <c r="F11" s="264"/>
      <c r="G11" s="264">
        <v>7.7218828672225501E-2</v>
      </c>
      <c r="H11" s="264"/>
      <c r="I11" s="264">
        <v>0.11167211681194053</v>
      </c>
      <c r="J11" s="264"/>
      <c r="K11" s="264">
        <v>6.7710467379171468E-2</v>
      </c>
      <c r="L11" s="264"/>
      <c r="M11" s="264">
        <v>6.565429325354985E-2</v>
      </c>
      <c r="N11" s="264"/>
      <c r="O11" s="264">
        <v>9.9514366829793754E-2</v>
      </c>
      <c r="P11" s="264"/>
      <c r="Q11" s="264">
        <v>8.7081898538488633E-2</v>
      </c>
      <c r="R11" s="264"/>
      <c r="S11" s="264">
        <v>7.7150496419095466E-2</v>
      </c>
      <c r="T11" s="264"/>
      <c r="U11" s="264">
        <v>8.6341947068130309E-2</v>
      </c>
      <c r="V11" s="264"/>
      <c r="W11" s="264">
        <v>9.0785219738178297E-2</v>
      </c>
      <c r="X11" s="264"/>
      <c r="Y11" s="264">
        <v>6.2229118301462841E-2</v>
      </c>
      <c r="Z11" s="264"/>
      <c r="AA11" s="265"/>
    </row>
    <row r="12" spans="2:27" x14ac:dyDescent="0.35">
      <c r="B12" s="266" t="s">
        <v>255</v>
      </c>
      <c r="C12" s="267">
        <v>3.3458400401742153E-2</v>
      </c>
      <c r="D12" s="267"/>
      <c r="E12" s="267">
        <v>7.4739589087168615E-2</v>
      </c>
      <c r="F12" s="267"/>
      <c r="G12" s="267">
        <v>9.021135379850645E-2</v>
      </c>
      <c r="H12" s="267"/>
      <c r="I12" s="267">
        <v>5.271632852186546E-2</v>
      </c>
      <c r="J12" s="267"/>
      <c r="K12" s="267">
        <v>9.6857775148232433E-2</v>
      </c>
      <c r="L12" s="267"/>
      <c r="M12" s="267">
        <v>8.7493593210972193E-2</v>
      </c>
      <c r="N12" s="267"/>
      <c r="O12" s="267">
        <v>0.10437178279628143</v>
      </c>
      <c r="P12" s="267"/>
      <c r="Q12" s="267">
        <v>7.8423898530100525E-2</v>
      </c>
      <c r="R12" s="267"/>
      <c r="S12" s="267">
        <v>0.10209280712966851</v>
      </c>
      <c r="T12" s="267"/>
      <c r="U12" s="267">
        <v>2.8293253224943693E-2</v>
      </c>
      <c r="V12" s="267"/>
      <c r="W12" s="267">
        <v>5.4030010095381026E-2</v>
      </c>
      <c r="X12" s="267"/>
      <c r="Y12" s="267">
        <v>0.19731120805513752</v>
      </c>
      <c r="Z12" s="267"/>
      <c r="AA12" s="206"/>
    </row>
    <row r="14" spans="2:27" ht="15" thickBot="1" x14ac:dyDescent="0.4"/>
    <row r="15" spans="2:27" ht="29.5" thickBot="1" x14ac:dyDescent="0.4">
      <c r="B15" s="249" t="s">
        <v>256</v>
      </c>
      <c r="C15" s="283" t="s">
        <v>235</v>
      </c>
      <c r="D15" s="284" t="s">
        <v>268</v>
      </c>
      <c r="E15" s="285" t="s">
        <v>236</v>
      </c>
      <c r="F15" s="284" t="s">
        <v>269</v>
      </c>
      <c r="G15" s="285" t="s">
        <v>237</v>
      </c>
      <c r="H15" s="284" t="s">
        <v>270</v>
      </c>
      <c r="I15" s="285" t="s">
        <v>238</v>
      </c>
      <c r="J15" s="284" t="s">
        <v>271</v>
      </c>
      <c r="K15" s="285" t="s">
        <v>239</v>
      </c>
      <c r="L15" s="284" t="s">
        <v>272</v>
      </c>
      <c r="M15" s="285" t="s">
        <v>240</v>
      </c>
      <c r="N15" s="284" t="s">
        <v>273</v>
      </c>
      <c r="O15" s="285" t="s">
        <v>241</v>
      </c>
      <c r="P15" s="284" t="s">
        <v>274</v>
      </c>
      <c r="Q15" s="285" t="s">
        <v>242</v>
      </c>
      <c r="R15" s="284" t="s">
        <v>275</v>
      </c>
      <c r="S15" s="285" t="s">
        <v>243</v>
      </c>
      <c r="T15" s="284" t="s">
        <v>276</v>
      </c>
      <c r="U15" s="285" t="s">
        <v>244</v>
      </c>
      <c r="V15" s="284" t="s">
        <v>277</v>
      </c>
      <c r="W15" s="285" t="s">
        <v>245</v>
      </c>
      <c r="X15" s="284" t="s">
        <v>278</v>
      </c>
      <c r="Y15" s="285" t="s">
        <v>246</v>
      </c>
      <c r="Z15" s="286" t="s">
        <v>279</v>
      </c>
      <c r="AA15" s="250" t="s">
        <v>247</v>
      </c>
    </row>
    <row r="16" spans="2:27" x14ac:dyDescent="0.35">
      <c r="B16" s="251" t="s">
        <v>248</v>
      </c>
      <c r="C16" s="252">
        <f>+'A) Resumen Ingresos y Egresos'!$D$10*'J) ESTRUCTURA ECONÓMICA MENS'!C27</f>
        <v>95591112.419303983</v>
      </c>
      <c r="D16" s="252">
        <v>0</v>
      </c>
      <c r="E16" s="252">
        <f>+'A) Resumen Ingresos y Egresos'!$D$10*'J) ESTRUCTURA ECONÓMICA MENS'!D27</f>
        <v>112395731.94709107</v>
      </c>
      <c r="F16" s="252">
        <v>0</v>
      </c>
      <c r="G16" s="252">
        <f>+'A) Resumen Ingresos y Egresos'!$D$10*'J) ESTRUCTURA ECONÓMICA MENS'!E27</f>
        <v>54582135.787236594</v>
      </c>
      <c r="H16" s="252">
        <v>0</v>
      </c>
      <c r="I16" s="252">
        <f>+'A) Resumen Ingresos y Egresos'!$D$10*'J) ESTRUCTURA ECONÓMICA MENS'!F27</f>
        <v>60005447.292026177</v>
      </c>
      <c r="J16" s="252">
        <v>0</v>
      </c>
      <c r="K16" s="252">
        <f>+'A) Resumen Ingresos y Egresos'!$D$10*'J) ESTRUCTURA ECONÓMICA MENS'!G27</f>
        <v>35170327.78012763</v>
      </c>
      <c r="L16" s="252">
        <v>0</v>
      </c>
      <c r="M16" s="252">
        <f>+'A) Resumen Ingresos y Egresos'!$D$10*'J) ESTRUCTURA ECONÓMICA MENS'!H27</f>
        <v>37987526.630572021</v>
      </c>
      <c r="N16" s="252"/>
      <c r="O16" s="252">
        <f>+'A) Resumen Ingresos y Egresos'!$D$10*'J) ESTRUCTURA ECONÓMICA MENS'!I27</f>
        <v>90772803.537721604</v>
      </c>
      <c r="P16" s="252"/>
      <c r="Q16" s="252">
        <f>+'A) Resumen Ingresos y Egresos'!$D$10*'J) ESTRUCTURA ECONÓMICA MENS'!J27</f>
        <v>60755241.731311947</v>
      </c>
      <c r="R16" s="252"/>
      <c r="S16" s="252">
        <f>+'A) Resumen Ingresos y Egresos'!$D$10*'J) ESTRUCTURA ECONÓMICA MENS'!K27</f>
        <v>61744729.530850008</v>
      </c>
      <c r="T16" s="252"/>
      <c r="U16" s="252">
        <f>+'A) Resumen Ingresos y Egresos'!$D$10*'J) ESTRUCTURA ECONÓMICA MENS'!L27</f>
        <v>37303341.955412619</v>
      </c>
      <c r="V16" s="252"/>
      <c r="W16" s="252">
        <f>+'A) Resumen Ingresos y Egresos'!$D$10*'J) ESTRUCTURA ECONÓMICA MENS'!M27</f>
        <v>37258266.222556345</v>
      </c>
      <c r="X16" s="252"/>
      <c r="Y16" s="252">
        <f>+'A) Resumen Ingresos y Egresos'!$D$10*'J) ESTRUCTURA ECONÓMICA MENS'!N27</f>
        <v>31215595.165789973</v>
      </c>
      <c r="Z16" s="270"/>
      <c r="AA16" s="253">
        <f>SUM(C16:Y16)</f>
        <v>714782260</v>
      </c>
    </row>
    <row r="17" spans="2:27" x14ac:dyDescent="0.35">
      <c r="B17" s="251" t="s">
        <v>249</v>
      </c>
      <c r="C17" s="252">
        <f>SUM('F) Remuneraciones'!$K$33:$K$56)/12</f>
        <v>16776556.25</v>
      </c>
      <c r="D17" s="1506">
        <v>0</v>
      </c>
      <c r="E17" s="252">
        <f>SUM('F) Remuneraciones'!$K$33:$K$56)/12</f>
        <v>16776556.25</v>
      </c>
      <c r="F17" s="1506">
        <v>0</v>
      </c>
      <c r="G17" s="252">
        <f>SUM('F) Remuneraciones'!$K$33:$K$56)/12</f>
        <v>16776556.25</v>
      </c>
      <c r="H17" s="1506">
        <v>0</v>
      </c>
      <c r="I17" s="252">
        <f>SUM('F) Remuneraciones'!$K$33:$K$56)/12</f>
        <v>16776556.25</v>
      </c>
      <c r="J17" s="1506">
        <v>0</v>
      </c>
      <c r="K17" s="252">
        <f>SUM('F) Remuneraciones'!$K$33:$K$56)/12</f>
        <v>16776556.25</v>
      </c>
      <c r="L17" s="1506">
        <v>0</v>
      </c>
      <c r="M17" s="252">
        <f>SUM('F) Remuneraciones'!$K$33:$K$56)/12</f>
        <v>16776556.25</v>
      </c>
      <c r="N17" s="1503"/>
      <c r="O17" s="252">
        <f>SUM('F) Remuneraciones'!$K$33:$K$56)/12</f>
        <v>16776556.25</v>
      </c>
      <c r="P17" s="1503"/>
      <c r="Q17" s="252">
        <f>SUM('F) Remuneraciones'!$K$33:$K$56)/12</f>
        <v>16776556.25</v>
      </c>
      <c r="R17" s="1503"/>
      <c r="S17" s="252">
        <f>SUM('F) Remuneraciones'!$K$33:$K$56)/12</f>
        <v>16776556.25</v>
      </c>
      <c r="T17" s="1503"/>
      <c r="U17" s="252">
        <f>SUM('F) Remuneraciones'!$K$33:$K$56)/12</f>
        <v>16776556.25</v>
      </c>
      <c r="V17" s="1503"/>
      <c r="W17" s="252">
        <f>SUM('F) Remuneraciones'!$K$33:$K$56)/12</f>
        <v>16776556.25</v>
      </c>
      <c r="X17" s="1503"/>
      <c r="Y17" s="252">
        <f>SUM('F) Remuneraciones'!$K$33:$K$56)/12</f>
        <v>16776556.25</v>
      </c>
      <c r="Z17" s="1503"/>
      <c r="AA17" s="253">
        <f>SUM(C17:Y17)</f>
        <v>201318675</v>
      </c>
    </row>
    <row r="18" spans="2:27" x14ac:dyDescent="0.35">
      <c r="B18" s="251" t="s">
        <v>250</v>
      </c>
      <c r="C18" s="252">
        <f>SUM('F) Remuneraciones'!$K$57:$K$69)/4</f>
        <v>6202387.15625</v>
      </c>
      <c r="D18" s="1507"/>
      <c r="E18" s="252">
        <f>SUM('F) Remuneraciones'!$K$57:$K$69)/4</f>
        <v>6202387.15625</v>
      </c>
      <c r="F18" s="1507"/>
      <c r="G18" s="252">
        <f>SUM('F) Remuneraciones'!$K$57:$K$69)/4</f>
        <v>6202387.15625</v>
      </c>
      <c r="H18" s="1507"/>
      <c r="I18" s="252">
        <v>0</v>
      </c>
      <c r="J18" s="1507"/>
      <c r="K18" s="252">
        <v>0</v>
      </c>
      <c r="L18" s="1507"/>
      <c r="M18" s="252">
        <v>0</v>
      </c>
      <c r="N18" s="1504"/>
      <c r="O18" s="252">
        <v>0</v>
      </c>
      <c r="P18" s="1504"/>
      <c r="Q18" s="252">
        <v>0</v>
      </c>
      <c r="R18" s="1504"/>
      <c r="S18" s="252">
        <v>0</v>
      </c>
      <c r="T18" s="1504"/>
      <c r="U18" s="252">
        <v>0</v>
      </c>
      <c r="V18" s="1504"/>
      <c r="W18" s="252">
        <v>0</v>
      </c>
      <c r="X18" s="1504"/>
      <c r="Y18" s="252">
        <f>SUM('F) Remuneraciones'!$K$57:$K$69)/4</f>
        <v>6202387.15625</v>
      </c>
      <c r="Z18" s="1504"/>
      <c r="AA18" s="253">
        <f>SUM(C18:Y18)</f>
        <v>24809548.625</v>
      </c>
    </row>
    <row r="19" spans="2:27" x14ac:dyDescent="0.35">
      <c r="B19" s="251" t="s">
        <v>251</v>
      </c>
      <c r="C19" s="252">
        <f>SUM('F) Remuneraciones'!$I29:$I65)*0.5</f>
        <v>4359808.5</v>
      </c>
      <c r="D19" s="1507"/>
      <c r="E19" s="254">
        <v>0</v>
      </c>
      <c r="F19" s="1507"/>
      <c r="G19" s="254">
        <v>0</v>
      </c>
      <c r="H19" s="1507"/>
      <c r="I19" s="254">
        <v>0</v>
      </c>
      <c r="J19" s="1507"/>
      <c r="K19" s="254">
        <v>0</v>
      </c>
      <c r="L19" s="1507"/>
      <c r="M19" s="254">
        <v>0</v>
      </c>
      <c r="N19" s="1504"/>
      <c r="O19" s="254">
        <v>0</v>
      </c>
      <c r="P19" s="1504"/>
      <c r="Q19" s="254">
        <v>0</v>
      </c>
      <c r="R19" s="1504"/>
      <c r="S19" s="254">
        <f>SUM('F) Remuneraciones'!$J29:$J65)*0.5</f>
        <v>2006791</v>
      </c>
      <c r="T19" s="1504"/>
      <c r="U19" s="254"/>
      <c r="V19" s="1504"/>
      <c r="W19" s="254"/>
      <c r="X19" s="1504"/>
      <c r="Y19" s="255">
        <f>+C19+S19</f>
        <v>6366599.5</v>
      </c>
      <c r="Z19" s="1504"/>
      <c r="AA19" s="253">
        <f>SUM(C19:Y19)</f>
        <v>12733199</v>
      </c>
    </row>
    <row r="20" spans="2:27" x14ac:dyDescent="0.35">
      <c r="B20" s="268" t="s">
        <v>267</v>
      </c>
      <c r="C20" s="257">
        <f>SUM(C17:C19)</f>
        <v>27338751.90625</v>
      </c>
      <c r="D20" s="1508"/>
      <c r="E20" s="257">
        <f>SUM(E17:E19)</f>
        <v>22978943.40625</v>
      </c>
      <c r="F20" s="1508"/>
      <c r="G20" s="257">
        <f>SUM(G17:G19)</f>
        <v>22978943.40625</v>
      </c>
      <c r="H20" s="1508"/>
      <c r="I20" s="257">
        <f>SUM(I17:I19)</f>
        <v>16776556.25</v>
      </c>
      <c r="J20" s="1508"/>
      <c r="K20" s="257">
        <f>SUM(K17:K19)</f>
        <v>16776556.25</v>
      </c>
      <c r="L20" s="1508"/>
      <c r="M20" s="257">
        <f>SUM(M17:M19)</f>
        <v>16776556.25</v>
      </c>
      <c r="N20" s="1505"/>
      <c r="O20" s="257">
        <f>SUM(O17:O19)</f>
        <v>16776556.25</v>
      </c>
      <c r="P20" s="1505"/>
      <c r="Q20" s="257"/>
      <c r="R20" s="1505"/>
      <c r="S20" s="257"/>
      <c r="T20" s="1505"/>
      <c r="U20" s="257"/>
      <c r="V20" s="1505"/>
      <c r="W20" s="257"/>
      <c r="X20" s="1505"/>
      <c r="Y20" s="271"/>
      <c r="Z20" s="1505"/>
      <c r="AA20" s="253"/>
    </row>
    <row r="21" spans="2:27" ht="15" thickBot="1" x14ac:dyDescent="0.4">
      <c r="B21" s="268" t="s">
        <v>252</v>
      </c>
      <c r="C21" s="257">
        <f>(+'C) Estimación Costos Directos'!$H$152-'C) Estimación Costos Directos'!$D$85)*C24</f>
        <v>24833854.545253634</v>
      </c>
      <c r="D21" s="257">
        <v>0</v>
      </c>
      <c r="E21" s="257">
        <f>(+'C) Estimación Costos Directos'!$H$152-'C) Estimación Costos Directos'!$D$85)*E24</f>
        <v>25844432.60651451</v>
      </c>
      <c r="F21" s="257">
        <v>0</v>
      </c>
      <c r="G21" s="257">
        <f>(+'C) Estimación Costos Directos'!$H$152-'C) Estimación Costos Directos'!$D$85)*G24</f>
        <v>22488152.842774004</v>
      </c>
      <c r="H21" s="257">
        <v>0</v>
      </c>
      <c r="I21" s="257">
        <f>(+'C) Estimación Costos Directos'!$H$152-'C) Estimación Costos Directos'!$D$85)*I24</f>
        <v>17770420.011776838</v>
      </c>
      <c r="J21" s="257">
        <v>0</v>
      </c>
      <c r="K21" s="257">
        <f>(+'C) Estimación Costos Directos'!$H$152-'C) Estimación Costos Directos'!$D$85)*K24</f>
        <v>22557188.392874636</v>
      </c>
      <c r="L21" s="257">
        <v>0</v>
      </c>
      <c r="M21" s="257">
        <f>(+'C) Estimación Costos Directos'!$H$152-'C) Estimación Costos Directos'!$D$85)*M24</f>
        <v>13597371.358905874</v>
      </c>
      <c r="N21" s="257"/>
      <c r="O21" s="257">
        <f>(+'C) Estimación Costos Directos'!$H$152-'C) Estimación Costos Directos'!$D$85)*O24</f>
        <v>15704938.962016823</v>
      </c>
      <c r="P21" s="257"/>
      <c r="Q21" s="257">
        <f>(+'C) Estimación Costos Directos'!$H$152-'C) Estimación Costos Directos'!$D$85)*Q24</f>
        <v>14022268.76046825</v>
      </c>
      <c r="R21" s="257"/>
      <c r="S21" s="257">
        <f>(+'C) Estimación Costos Directos'!$H$152-'C) Estimación Costos Directos'!$D$85)*S24</f>
        <v>17635789.159475256</v>
      </c>
      <c r="T21" s="257"/>
      <c r="U21" s="257">
        <f>(+'C) Estimación Costos Directos'!$H$152-'C) Estimación Costos Directos'!$D$85)*U24</f>
        <v>13605074.066965619</v>
      </c>
      <c r="V21" s="257"/>
      <c r="W21" s="257">
        <f>(+'C) Estimación Costos Directos'!$H$152-'C) Estimación Costos Directos'!$D$85)*W24</f>
        <v>10798456.009964464</v>
      </c>
      <c r="X21" s="257"/>
      <c r="Y21" s="257">
        <f>(+'C) Estimación Costos Directos'!$H$152-'C) Estimación Costos Directos'!$D$85)*Y24</f>
        <v>36550076.45801007</v>
      </c>
      <c r="Z21" s="271"/>
      <c r="AA21" s="253">
        <f>SUM(C21:Y21)</f>
        <v>235408023.17499998</v>
      </c>
    </row>
    <row r="22" spans="2:27" ht="15" thickBot="1" x14ac:dyDescent="0.4">
      <c r="B22" s="258" t="s">
        <v>253</v>
      </c>
      <c r="C22" s="259">
        <f>+C16-C17-C18-C19-C21</f>
        <v>43418505.967800349</v>
      </c>
      <c r="D22" s="259">
        <f>+D16-D17-D21</f>
        <v>0</v>
      </c>
      <c r="E22" s="260">
        <f t="shared" ref="E22:AA22" si="1">+E16-E17-E18-E19-E21</f>
        <v>63572355.934326559</v>
      </c>
      <c r="F22" s="260">
        <f>+F16-F17-F21</f>
        <v>0</v>
      </c>
      <c r="G22" s="260">
        <f t="shared" si="1"/>
        <v>9115039.5382125899</v>
      </c>
      <c r="H22" s="260">
        <f>+H16-H17-H21</f>
        <v>0</v>
      </c>
      <c r="I22" s="260">
        <f t="shared" si="1"/>
        <v>25458471.030249339</v>
      </c>
      <c r="J22" s="260">
        <f>+J16-J17-J21</f>
        <v>0</v>
      </c>
      <c r="K22" s="260">
        <f t="shared" si="1"/>
        <v>-4163416.8627470061</v>
      </c>
      <c r="L22" s="260">
        <f>+L16-L17-L21</f>
        <v>0</v>
      </c>
      <c r="M22" s="260">
        <f t="shared" si="1"/>
        <v>7613599.0216661468</v>
      </c>
      <c r="N22" s="260"/>
      <c r="O22" s="260">
        <f t="shared" si="1"/>
        <v>58291308.325704783</v>
      </c>
      <c r="P22" s="260"/>
      <c r="Q22" s="260">
        <f t="shared" si="1"/>
        <v>29956416.720843695</v>
      </c>
      <c r="R22" s="260"/>
      <c r="S22" s="260">
        <f t="shared" si="1"/>
        <v>25325593.121374752</v>
      </c>
      <c r="T22" s="260"/>
      <c r="U22" s="260">
        <f t="shared" si="1"/>
        <v>6921711.6384469997</v>
      </c>
      <c r="V22" s="260"/>
      <c r="W22" s="260">
        <f t="shared" si="1"/>
        <v>9683253.9625918809</v>
      </c>
      <c r="X22" s="261"/>
      <c r="Y22" s="261">
        <f t="shared" si="1"/>
        <v>-34680024.198470101</v>
      </c>
      <c r="Z22" s="272"/>
      <c r="AA22" s="262">
        <f t="shared" si="1"/>
        <v>240512814.20000002</v>
      </c>
    </row>
    <row r="23" spans="2:27" x14ac:dyDescent="0.35">
      <c r="B23" s="263" t="s">
        <v>254</v>
      </c>
      <c r="C23" s="264">
        <v>0.13373458991456222</v>
      </c>
      <c r="D23" s="264"/>
      <c r="E23" s="264">
        <v>0.15724471386166058</v>
      </c>
      <c r="F23" s="264"/>
      <c r="G23" s="264">
        <v>7.636190605407106E-2</v>
      </c>
      <c r="H23" s="264"/>
      <c r="I23" s="264">
        <v>8.3949267700105176E-2</v>
      </c>
      <c r="J23" s="264"/>
      <c r="K23" s="264">
        <v>4.920425386624401E-2</v>
      </c>
      <c r="L23" s="264"/>
      <c r="M23" s="264">
        <v>5.3145592380219431E-2</v>
      </c>
      <c r="N23" s="264"/>
      <c r="O23" s="264">
        <v>0.12699364354358991</v>
      </c>
      <c r="P23" s="264"/>
      <c r="Q23" s="264">
        <v>8.4998250699887187E-2</v>
      </c>
      <c r="R23" s="264"/>
      <c r="S23" s="264">
        <v>8.6382571289402188E-2</v>
      </c>
      <c r="T23" s="264"/>
      <c r="U23" s="264">
        <v>5.218839924120755E-2</v>
      </c>
      <c r="V23" s="264"/>
      <c r="W23" s="264">
        <v>5.2125337053771238E-2</v>
      </c>
      <c r="X23" s="264"/>
      <c r="Y23" s="264">
        <v>4.3671474395279443E-2</v>
      </c>
      <c r="Z23" s="264"/>
      <c r="AA23" s="265"/>
    </row>
    <row r="24" spans="2:27" x14ac:dyDescent="0.35">
      <c r="B24" s="266" t="s">
        <v>255</v>
      </c>
      <c r="C24" s="267">
        <v>0.10549281290549896</v>
      </c>
      <c r="D24" s="267"/>
      <c r="E24" s="267">
        <v>0.10978569148980116</v>
      </c>
      <c r="F24" s="267"/>
      <c r="G24" s="267">
        <v>9.5528404425096997E-2</v>
      </c>
      <c r="H24" s="267"/>
      <c r="I24" s="267">
        <v>7.5487741548071557E-2</v>
      </c>
      <c r="J24" s="267"/>
      <c r="K24" s="267">
        <v>9.5821663546725624E-2</v>
      </c>
      <c r="L24" s="267"/>
      <c r="M24" s="267">
        <v>5.7760866326963388E-2</v>
      </c>
      <c r="N24" s="267"/>
      <c r="O24" s="267">
        <v>6.6713694589508224E-2</v>
      </c>
      <c r="P24" s="267"/>
      <c r="Q24" s="267">
        <v>5.9565806514777261E-2</v>
      </c>
      <c r="R24" s="267"/>
      <c r="S24" s="267">
        <v>7.4915837283782746E-2</v>
      </c>
      <c r="T24" s="267"/>
      <c r="U24" s="267">
        <v>5.7793586996190617E-2</v>
      </c>
      <c r="V24" s="267"/>
      <c r="W24" s="267">
        <v>4.5871231848104856E-2</v>
      </c>
      <c r="X24" s="267"/>
      <c r="Y24" s="267">
        <v>0.1552626625254786</v>
      </c>
      <c r="Z24" s="267"/>
      <c r="AA24" s="206"/>
    </row>
    <row r="25" spans="2:27" ht="15" thickBot="1" x14ac:dyDescent="0.4"/>
    <row r="26" spans="2:27" ht="29.5" thickBot="1" x14ac:dyDescent="0.4">
      <c r="B26" s="249" t="s">
        <v>257</v>
      </c>
      <c r="C26" s="283" t="s">
        <v>235</v>
      </c>
      <c r="D26" s="284" t="s">
        <v>268</v>
      </c>
      <c r="E26" s="285" t="s">
        <v>236</v>
      </c>
      <c r="F26" s="284" t="s">
        <v>269</v>
      </c>
      <c r="G26" s="285" t="s">
        <v>237</v>
      </c>
      <c r="H26" s="284" t="s">
        <v>270</v>
      </c>
      <c r="I26" s="285" t="s">
        <v>238</v>
      </c>
      <c r="J26" s="284" t="s">
        <v>271</v>
      </c>
      <c r="K26" s="285" t="s">
        <v>239</v>
      </c>
      <c r="L26" s="284" t="s">
        <v>272</v>
      </c>
      <c r="M26" s="285" t="s">
        <v>240</v>
      </c>
      <c r="N26" s="284" t="s">
        <v>273</v>
      </c>
      <c r="O26" s="285" t="s">
        <v>241</v>
      </c>
      <c r="P26" s="284" t="s">
        <v>274</v>
      </c>
      <c r="Q26" s="285" t="s">
        <v>242</v>
      </c>
      <c r="R26" s="284" t="s">
        <v>275</v>
      </c>
      <c r="S26" s="285" t="s">
        <v>243</v>
      </c>
      <c r="T26" s="284" t="s">
        <v>276</v>
      </c>
      <c r="U26" s="285" t="s">
        <v>244</v>
      </c>
      <c r="V26" s="284" t="s">
        <v>277</v>
      </c>
      <c r="W26" s="285" t="s">
        <v>245</v>
      </c>
      <c r="X26" s="284" t="s">
        <v>278</v>
      </c>
      <c r="Y26" s="285" t="s">
        <v>246</v>
      </c>
      <c r="Z26" s="286" t="s">
        <v>279</v>
      </c>
      <c r="AA26" s="250" t="s">
        <v>247</v>
      </c>
    </row>
    <row r="27" spans="2:27" x14ac:dyDescent="0.35">
      <c r="B27" s="251" t="s">
        <v>248</v>
      </c>
      <c r="C27" s="252">
        <f>+'A) Resumen Ingresos y Egresos'!$D$11*'J) ESTRUCTURA ECONÓMICA MENS'!C38</f>
        <v>10103339.302137231</v>
      </c>
      <c r="D27" s="252">
        <v>0</v>
      </c>
      <c r="E27" s="252">
        <f>+'A) Resumen Ingresos y Egresos'!$D$11*'J) ESTRUCTURA ECONÓMICA MENS'!D38</f>
        <v>8665217.1841574498</v>
      </c>
      <c r="F27" s="252">
        <v>0</v>
      </c>
      <c r="G27" s="252">
        <f>+'A) Resumen Ingresos y Egresos'!$D$11*'J) ESTRUCTURA ECONÓMICA MENS'!E38</f>
        <v>4000857.3291933369</v>
      </c>
      <c r="H27" s="252">
        <v>0</v>
      </c>
      <c r="I27" s="252">
        <f>+'A) Resumen Ingresos y Egresos'!$D$11*'J) ESTRUCTURA ECONÓMICA MENS'!F38</f>
        <v>4489937.1557168756</v>
      </c>
      <c r="J27" s="252">
        <v>0</v>
      </c>
      <c r="K27" s="252">
        <f>+'A) Resumen Ingresos y Egresos'!$D$11*'J) ESTRUCTURA ECONÓMICA MENS'!G38</f>
        <v>3390133.4470957522</v>
      </c>
      <c r="L27" s="252">
        <v>0</v>
      </c>
      <c r="M27" s="252">
        <f>+'A) Resumen Ingresos y Egresos'!$D$11*'J) ESTRUCTURA ECONÓMICA MENS'!H38</f>
        <v>3525688.0610690825</v>
      </c>
      <c r="N27" s="252"/>
      <c r="O27" s="252">
        <f>+'A) Resumen Ingresos y Egresos'!$D$11*'J) ESTRUCTURA ECONÓMICA MENS'!I38</f>
        <v>4947717.4851307161</v>
      </c>
      <c r="P27" s="252"/>
      <c r="Q27" s="252">
        <f>+'A) Resumen Ingresos y Egresos'!$D$11*'J) ESTRUCTURA ECONÓMICA MENS'!J38</f>
        <v>4715945.9534284174</v>
      </c>
      <c r="R27" s="252"/>
      <c r="S27" s="252">
        <f>+'A) Resumen Ingresos y Egresos'!$D$11*'J) ESTRUCTURA ECONÓMICA MENS'!K38</f>
        <v>6707031.285562437</v>
      </c>
      <c r="T27" s="252"/>
      <c r="U27" s="252">
        <f>+'A) Resumen Ingresos y Egresos'!$D$11*'J) ESTRUCTURA ECONÓMICA MENS'!L38</f>
        <v>5328497.9110387517</v>
      </c>
      <c r="V27" s="252"/>
      <c r="W27" s="252">
        <f>+'A) Resumen Ingresos y Egresos'!$D$11*'J) ESTRUCTURA ECONÓMICA MENS'!M38</f>
        <v>989107.3662068944</v>
      </c>
      <c r="X27" s="252"/>
      <c r="Y27" s="252">
        <f>+'A) Resumen Ingresos y Egresos'!$D$11*'J) ESTRUCTURA ECONÓMICA MENS'!N38</f>
        <v>4448162.5192630542</v>
      </c>
      <c r="Z27" s="270"/>
      <c r="AA27" s="253">
        <f>SUM(C27:Y27)</f>
        <v>61311634.999999993</v>
      </c>
    </row>
    <row r="28" spans="2:27" x14ac:dyDescent="0.35">
      <c r="B28" s="251" t="s">
        <v>249</v>
      </c>
      <c r="C28" s="252">
        <f>SUM('F) Remuneraciones'!$K$70:$K$80)/12</f>
        <v>732578.02083333337</v>
      </c>
      <c r="D28" s="1506">
        <v>0</v>
      </c>
      <c r="E28" s="252">
        <f>SUM('F) Remuneraciones'!$K$70:$K$80)/12</f>
        <v>732578.02083333337</v>
      </c>
      <c r="F28" s="1506">
        <v>0</v>
      </c>
      <c r="G28" s="252">
        <f>SUM('F) Remuneraciones'!$K$70:$K$80)/12</f>
        <v>732578.02083333337</v>
      </c>
      <c r="H28" s="1506">
        <v>0</v>
      </c>
      <c r="I28" s="252">
        <f>SUM('F) Remuneraciones'!$K$70:$K$80)/12</f>
        <v>732578.02083333337</v>
      </c>
      <c r="J28" s="1506">
        <v>0</v>
      </c>
      <c r="K28" s="252">
        <f>SUM('F) Remuneraciones'!$K$70:$K$80)/12</f>
        <v>732578.02083333337</v>
      </c>
      <c r="L28" s="1506">
        <v>0</v>
      </c>
      <c r="M28" s="252">
        <f>SUM('F) Remuneraciones'!$K$70:$K$80)/12</f>
        <v>732578.02083333337</v>
      </c>
      <c r="N28" s="1503"/>
      <c r="O28" s="252">
        <f>SUM('F) Remuneraciones'!$K$70:$K$80)/12</f>
        <v>732578.02083333337</v>
      </c>
      <c r="P28" s="1503"/>
      <c r="Q28" s="252">
        <f>SUM('F) Remuneraciones'!$K$70:$K$80)/12</f>
        <v>732578.02083333337</v>
      </c>
      <c r="R28" s="1503"/>
      <c r="S28" s="252">
        <f>SUM('F) Remuneraciones'!$K$70:$K$80)/12</f>
        <v>732578.02083333337</v>
      </c>
      <c r="T28" s="1503"/>
      <c r="U28" s="252">
        <f>SUM('F) Remuneraciones'!$K$70:$K$80)/12</f>
        <v>732578.02083333337</v>
      </c>
      <c r="V28" s="1503"/>
      <c r="W28" s="252">
        <f>SUM('F) Remuneraciones'!$K$70:$K$80)/12</f>
        <v>732578.02083333337</v>
      </c>
      <c r="X28" s="1503"/>
      <c r="Y28" s="252">
        <f>SUM('F) Remuneraciones'!$K$70:$K$80)/12</f>
        <v>732578.02083333337</v>
      </c>
      <c r="Z28" s="1503"/>
      <c r="AA28" s="253">
        <f>SUM(C28:Y28)</f>
        <v>8790936.2499999981</v>
      </c>
    </row>
    <row r="29" spans="2:27" x14ac:dyDescent="0.35">
      <c r="B29" s="251" t="s">
        <v>250</v>
      </c>
      <c r="C29" s="252">
        <f>SUM('F) Remuneraciones'!$K$81:$K$91)/4</f>
        <v>0</v>
      </c>
      <c r="D29" s="1507"/>
      <c r="E29" s="252">
        <f>SUM('F) Remuneraciones'!$K$81:$K$91)/4</f>
        <v>0</v>
      </c>
      <c r="F29" s="1507"/>
      <c r="G29" s="252">
        <f>SUM('F) Remuneraciones'!$K$81:$K$91)/4</f>
        <v>0</v>
      </c>
      <c r="H29" s="1507"/>
      <c r="I29" s="252">
        <v>0</v>
      </c>
      <c r="J29" s="1507"/>
      <c r="K29" s="252">
        <v>0</v>
      </c>
      <c r="L29" s="1507"/>
      <c r="M29" s="252">
        <v>0</v>
      </c>
      <c r="N29" s="1504"/>
      <c r="O29" s="252">
        <v>0</v>
      </c>
      <c r="P29" s="1504"/>
      <c r="Q29" s="252">
        <v>0</v>
      </c>
      <c r="R29" s="1504"/>
      <c r="S29" s="252">
        <v>0</v>
      </c>
      <c r="T29" s="1504"/>
      <c r="U29" s="252">
        <v>0</v>
      </c>
      <c r="V29" s="1504"/>
      <c r="W29" s="252">
        <v>0</v>
      </c>
      <c r="X29" s="1504"/>
      <c r="Y29" s="252">
        <f>SUM('F) Remuneraciones'!$K$81:$K$91)/4</f>
        <v>0</v>
      </c>
      <c r="Z29" s="1504"/>
      <c r="AA29" s="253">
        <f>SUM(C29:Y29)</f>
        <v>0</v>
      </c>
    </row>
    <row r="30" spans="2:27" x14ac:dyDescent="0.35">
      <c r="B30" s="251" t="s">
        <v>251</v>
      </c>
      <c r="C30" s="252">
        <f>SUM('F) Remuneraciones'!I66:I87)*0.5</f>
        <v>193238</v>
      </c>
      <c r="D30" s="1507"/>
      <c r="E30" s="254">
        <v>0</v>
      </c>
      <c r="F30" s="1507"/>
      <c r="G30" s="254">
        <v>0</v>
      </c>
      <c r="H30" s="1507"/>
      <c r="I30" s="254">
        <v>0</v>
      </c>
      <c r="J30" s="1507"/>
      <c r="K30" s="254">
        <v>0</v>
      </c>
      <c r="L30" s="1507"/>
      <c r="M30" s="254">
        <v>0</v>
      </c>
      <c r="N30" s="1504"/>
      <c r="O30" s="254">
        <v>0</v>
      </c>
      <c r="P30" s="1504"/>
      <c r="Q30" s="254">
        <v>0</v>
      </c>
      <c r="R30" s="1504"/>
      <c r="S30" s="254">
        <f>SUM('F) Remuneraciones'!J66:J87)*0.5</f>
        <v>87236</v>
      </c>
      <c r="T30" s="1504"/>
      <c r="U30" s="254"/>
      <c r="V30" s="1504"/>
      <c r="W30" s="254"/>
      <c r="X30" s="1504"/>
      <c r="Y30" s="255">
        <f>+C30+S30</f>
        <v>280474</v>
      </c>
      <c r="Z30" s="1504"/>
      <c r="AA30" s="253">
        <f>SUM(C30:Y30)</f>
        <v>560948</v>
      </c>
    </row>
    <row r="31" spans="2:27" x14ac:dyDescent="0.35">
      <c r="B31" s="268" t="s">
        <v>267</v>
      </c>
      <c r="C31" s="257">
        <f>SUM(C28:C30)</f>
        <v>925816.02083333337</v>
      </c>
      <c r="D31" s="1508"/>
      <c r="E31" s="257">
        <f>SUM(E28:E30)</f>
        <v>732578.02083333337</v>
      </c>
      <c r="F31" s="1508"/>
      <c r="G31" s="257">
        <f>SUM(G28:G30)</f>
        <v>732578.02083333337</v>
      </c>
      <c r="H31" s="1508"/>
      <c r="I31" s="257">
        <f>SUM(I28:I30)</f>
        <v>732578.02083333337</v>
      </c>
      <c r="J31" s="1508"/>
      <c r="K31" s="257">
        <f>SUM(K28:K30)</f>
        <v>732578.02083333337</v>
      </c>
      <c r="L31" s="1508"/>
      <c r="M31" s="257">
        <f>SUM(M28:M30)</f>
        <v>732578.02083333337</v>
      </c>
      <c r="N31" s="1505"/>
      <c r="O31" s="257">
        <f>SUM(O28:O30)</f>
        <v>732578.02083333337</v>
      </c>
      <c r="P31" s="1505"/>
      <c r="Q31" s="257"/>
      <c r="R31" s="1505"/>
      <c r="S31" s="257"/>
      <c r="T31" s="1505"/>
      <c r="U31" s="257"/>
      <c r="V31" s="1505"/>
      <c r="W31" s="257"/>
      <c r="X31" s="1505"/>
      <c r="Y31" s="271"/>
      <c r="Z31" s="1505"/>
      <c r="AA31" s="253"/>
    </row>
    <row r="32" spans="2:27" ht="15" thickBot="1" x14ac:dyDescent="0.4">
      <c r="B32" s="268" t="s">
        <v>252</v>
      </c>
      <c r="C32" s="257">
        <f>(+'C) Estimación Costos Directos'!$H$224-'C) Estimación Costos Directos'!$D$157)*C35</f>
        <v>2232288.6387171801</v>
      </c>
      <c r="D32" s="257">
        <v>0</v>
      </c>
      <c r="E32" s="257">
        <f>(+'C) Estimación Costos Directos'!$H$224-'C) Estimación Costos Directos'!$D$157)*E35</f>
        <v>1359116.2412824153</v>
      </c>
      <c r="F32" s="257">
        <v>0</v>
      </c>
      <c r="G32" s="257">
        <f>(+'C) Estimación Costos Directos'!$H$224-'C) Estimación Costos Directos'!$D$157)*G35</f>
        <v>5630822.8599289479</v>
      </c>
      <c r="H32" s="257">
        <v>0</v>
      </c>
      <c r="I32" s="257">
        <f>(+'C) Estimación Costos Directos'!$H$224-'C) Estimación Costos Directos'!$D$157)*I35</f>
        <v>2948669.8811703878</v>
      </c>
      <c r="J32" s="257">
        <v>0</v>
      </c>
      <c r="K32" s="257">
        <f>(+'C) Estimación Costos Directos'!$H$224-'C) Estimación Costos Directos'!$D$157)*K35</f>
        <v>2396579.1111338735</v>
      </c>
      <c r="L32" s="257">
        <v>0</v>
      </c>
      <c r="M32" s="257">
        <f>(+'C) Estimación Costos Directos'!$H$224-'C) Estimación Costos Directos'!$D$157)*M35</f>
        <v>2740832.1562012103</v>
      </c>
      <c r="N32" s="257"/>
      <c r="O32" s="257">
        <f>(+'C) Estimación Costos Directos'!$H$224-'C) Estimación Costos Directos'!$D$157)*O35</f>
        <v>4102266.9423033758</v>
      </c>
      <c r="P32" s="257"/>
      <c r="Q32" s="257">
        <f>(+'C) Estimación Costos Directos'!$H$224-'C) Estimación Costos Directos'!$D$157)*Q35</f>
        <v>1008374.0768254612</v>
      </c>
      <c r="R32" s="257"/>
      <c r="S32" s="257">
        <f>(+'C) Estimación Costos Directos'!$H$224-'C) Estimación Costos Directos'!$D$157)*S35</f>
        <v>801795.59178108</v>
      </c>
      <c r="T32" s="257"/>
      <c r="U32" s="257">
        <f>(+'C) Estimación Costos Directos'!$H$224-'C) Estimación Costos Directos'!$D$157)*U35</f>
        <v>-896038.65111093433</v>
      </c>
      <c r="V32" s="257"/>
      <c r="W32" s="257">
        <f>(+'C) Estimación Costos Directos'!$H$224-'C) Estimación Costos Directos'!$D$157)*W35</f>
        <v>2109931.9080858231</v>
      </c>
      <c r="X32" s="257"/>
      <c r="Y32" s="257">
        <f>(+'C) Estimación Costos Directos'!$H$224-'C) Estimación Costos Directos'!$D$157)*Y35</f>
        <v>8704585.4247706402</v>
      </c>
      <c r="Z32" s="271"/>
      <c r="AA32" s="253">
        <f>SUM(C32:Y32)</f>
        <v>33139224.181089461</v>
      </c>
    </row>
    <row r="33" spans="2:27" ht="15" thickBot="1" x14ac:dyDescent="0.4">
      <c r="B33" s="258" t="s">
        <v>253</v>
      </c>
      <c r="C33" s="259">
        <f>+C27-C28-C29-C30-C32</f>
        <v>6945234.6425867174</v>
      </c>
      <c r="D33" s="259">
        <f>+D27-D28-D32</f>
        <v>0</v>
      </c>
      <c r="E33" s="260">
        <f t="shared" ref="E33:AA33" si="2">+E27-E28-E29-E30-E32</f>
        <v>6573522.9220417012</v>
      </c>
      <c r="F33" s="260">
        <f>+F27-F28-F32</f>
        <v>0</v>
      </c>
      <c r="G33" s="260">
        <f t="shared" si="2"/>
        <v>-2362543.5515689445</v>
      </c>
      <c r="H33" s="260">
        <f>+H27-H28-H32</f>
        <v>0</v>
      </c>
      <c r="I33" s="260">
        <f t="shared" si="2"/>
        <v>808689.25371315423</v>
      </c>
      <c r="J33" s="260">
        <f>+J27-J28-J32</f>
        <v>0</v>
      </c>
      <c r="K33" s="260">
        <f t="shared" si="2"/>
        <v>260976.31512854528</v>
      </c>
      <c r="L33" s="260">
        <f>+L27-L28-L32</f>
        <v>0</v>
      </c>
      <c r="M33" s="260">
        <f t="shared" si="2"/>
        <v>52277.884034538642</v>
      </c>
      <c r="N33" s="260"/>
      <c r="O33" s="260">
        <f t="shared" si="2"/>
        <v>112872.52199400729</v>
      </c>
      <c r="P33" s="260"/>
      <c r="Q33" s="260">
        <f t="shared" si="2"/>
        <v>2974993.8557696226</v>
      </c>
      <c r="R33" s="260"/>
      <c r="S33" s="260">
        <f t="shared" si="2"/>
        <v>5085421.6729480242</v>
      </c>
      <c r="T33" s="260"/>
      <c r="U33" s="260">
        <f t="shared" si="2"/>
        <v>5491958.5413163528</v>
      </c>
      <c r="V33" s="260"/>
      <c r="W33" s="260">
        <f t="shared" si="2"/>
        <v>-1853402.5627122619</v>
      </c>
      <c r="X33" s="261"/>
      <c r="Y33" s="261">
        <f t="shared" si="2"/>
        <v>-5269474.926340919</v>
      </c>
      <c r="Z33" s="272"/>
      <c r="AA33" s="262">
        <f t="shared" si="2"/>
        <v>18820526.568910532</v>
      </c>
    </row>
    <row r="34" spans="2:27" x14ac:dyDescent="0.35">
      <c r="B34" s="263" t="s">
        <v>254</v>
      </c>
      <c r="C34" s="264">
        <v>0.16478665594445868</v>
      </c>
      <c r="D34" s="264"/>
      <c r="E34" s="264">
        <v>0.14133071453986587</v>
      </c>
      <c r="F34" s="264"/>
      <c r="G34" s="264">
        <v>6.525445503440476E-2</v>
      </c>
      <c r="H34" s="264"/>
      <c r="I34" s="264">
        <v>7.3231404703477165E-2</v>
      </c>
      <c r="J34" s="264"/>
      <c r="K34" s="264">
        <v>5.5293476468141034E-2</v>
      </c>
      <c r="L34" s="264"/>
      <c r="M34" s="264">
        <v>5.7504388213902344E-2</v>
      </c>
      <c r="N34" s="264"/>
      <c r="O34" s="264">
        <v>8.069785588217826E-2</v>
      </c>
      <c r="P34" s="264"/>
      <c r="Q34" s="264">
        <v>7.6917634857208053E-2</v>
      </c>
      <c r="R34" s="264"/>
      <c r="S34" s="264">
        <v>0.10939247151967872</v>
      </c>
      <c r="T34" s="264"/>
      <c r="U34" s="264">
        <v>8.6908429550749247E-2</v>
      </c>
      <c r="V34" s="264"/>
      <c r="W34" s="264">
        <v>1.6132457831321809E-2</v>
      </c>
      <c r="X34" s="264"/>
      <c r="Y34" s="264">
        <v>7.2550055454614029E-2</v>
      </c>
      <c r="Z34" s="264"/>
      <c r="AA34" s="265"/>
    </row>
    <row r="35" spans="2:27" x14ac:dyDescent="0.35">
      <c r="B35" s="266" t="s">
        <v>255</v>
      </c>
      <c r="C35" s="267">
        <v>6.7360920295503224E-2</v>
      </c>
      <c r="D35" s="267"/>
      <c r="E35" s="267">
        <v>4.1012313198870248E-2</v>
      </c>
      <c r="F35" s="267"/>
      <c r="G35" s="267">
        <v>0.16991414250253076</v>
      </c>
      <c r="H35" s="267"/>
      <c r="I35" s="267">
        <v>8.8978241163926053E-2</v>
      </c>
      <c r="J35" s="267"/>
      <c r="K35" s="267">
        <v>7.2318503838163337E-2</v>
      </c>
      <c r="L35" s="267"/>
      <c r="M35" s="267">
        <v>8.2706587855645594E-2</v>
      </c>
      <c r="N35" s="267"/>
      <c r="O35" s="267">
        <v>0.12378886481730884</v>
      </c>
      <c r="P35" s="267"/>
      <c r="Q35" s="267">
        <v>3.042841532183119E-2</v>
      </c>
      <c r="R35" s="267"/>
      <c r="S35" s="267">
        <v>2.4194760486837708E-2</v>
      </c>
      <c r="T35" s="267"/>
      <c r="U35" s="267">
        <v>-2.703861279957933E-2</v>
      </c>
      <c r="V35" s="267"/>
      <c r="W35" s="267">
        <v>6.3668717666897967E-2</v>
      </c>
      <c r="X35" s="267"/>
      <c r="Y35" s="267">
        <v>0.26266714565206439</v>
      </c>
      <c r="Z35" s="267"/>
      <c r="AA35" s="206"/>
    </row>
    <row r="36" spans="2:27" ht="15" thickBot="1" x14ac:dyDescent="0.4"/>
    <row r="37" spans="2:27" ht="29.5" thickBot="1" x14ac:dyDescent="0.4">
      <c r="B37" s="249" t="s">
        <v>258</v>
      </c>
      <c r="C37" s="283" t="s">
        <v>235</v>
      </c>
      <c r="D37" s="284" t="s">
        <v>268</v>
      </c>
      <c r="E37" s="285" t="s">
        <v>236</v>
      </c>
      <c r="F37" s="284" t="s">
        <v>269</v>
      </c>
      <c r="G37" s="285" t="s">
        <v>237</v>
      </c>
      <c r="H37" s="284" t="s">
        <v>270</v>
      </c>
      <c r="I37" s="285" t="s">
        <v>238</v>
      </c>
      <c r="J37" s="284" t="s">
        <v>271</v>
      </c>
      <c r="K37" s="285" t="s">
        <v>239</v>
      </c>
      <c r="L37" s="284" t="s">
        <v>272</v>
      </c>
      <c r="M37" s="285" t="s">
        <v>240</v>
      </c>
      <c r="N37" s="284" t="s">
        <v>273</v>
      </c>
      <c r="O37" s="285" t="s">
        <v>241</v>
      </c>
      <c r="P37" s="284" t="s">
        <v>274</v>
      </c>
      <c r="Q37" s="285" t="s">
        <v>242</v>
      </c>
      <c r="R37" s="284" t="s">
        <v>275</v>
      </c>
      <c r="S37" s="285" t="s">
        <v>243</v>
      </c>
      <c r="T37" s="284" t="s">
        <v>276</v>
      </c>
      <c r="U37" s="285" t="s">
        <v>244</v>
      </c>
      <c r="V37" s="284" t="s">
        <v>277</v>
      </c>
      <c r="W37" s="285" t="s">
        <v>245</v>
      </c>
      <c r="X37" s="284" t="s">
        <v>278</v>
      </c>
      <c r="Y37" s="285" t="s">
        <v>246</v>
      </c>
      <c r="Z37" s="286" t="s">
        <v>279</v>
      </c>
      <c r="AA37" s="250" t="s">
        <v>247</v>
      </c>
    </row>
    <row r="38" spans="2:27" x14ac:dyDescent="0.35">
      <c r="B38" s="251" t="s">
        <v>248</v>
      </c>
      <c r="C38" s="252">
        <f>+'A) Resumen Ingresos y Egresos'!$D$12*'J) ESTRUCTURA ECONÓMICA MENS'!C49</f>
        <v>570024</v>
      </c>
      <c r="D38" s="252">
        <v>0</v>
      </c>
      <c r="E38" s="252">
        <f>+'A) Resumen Ingresos y Egresos'!$D$12*'J) ESTRUCTURA ECONÓMICA MENS'!D49</f>
        <v>570024</v>
      </c>
      <c r="F38" s="252">
        <v>0</v>
      </c>
      <c r="G38" s="252">
        <f>+'A) Resumen Ingresos y Egresos'!$D$12*'J) ESTRUCTURA ECONÓMICA MENS'!E49</f>
        <v>244296</v>
      </c>
      <c r="H38" s="252">
        <v>0</v>
      </c>
      <c r="I38" s="252">
        <f>+'A) Resumen Ingresos y Egresos'!$D$12*'J) ESTRUCTURA ECONÓMICA MENS'!F49</f>
        <v>0</v>
      </c>
      <c r="J38" s="252">
        <v>0</v>
      </c>
      <c r="K38" s="252">
        <f>+'A) Resumen Ingresos y Egresos'!$D$12*'J) ESTRUCTURA ECONÓMICA MENS'!G49</f>
        <v>0</v>
      </c>
      <c r="L38" s="252">
        <v>0</v>
      </c>
      <c r="M38" s="252">
        <f>+'A) Resumen Ingresos y Egresos'!$D$12*'J) ESTRUCTURA ECONÓMICA MENS'!H49</f>
        <v>0</v>
      </c>
      <c r="N38" s="252"/>
      <c r="O38" s="252">
        <f>+'A) Resumen Ingresos y Egresos'!$D$12*'J) ESTRUCTURA ECONÓMICA MENS'!I49</f>
        <v>0</v>
      </c>
      <c r="P38" s="252"/>
      <c r="Q38" s="252">
        <f>+'A) Resumen Ingresos y Egresos'!$D$12*'J) ESTRUCTURA ECONÓMICA MENS'!J49</f>
        <v>0</v>
      </c>
      <c r="R38" s="252"/>
      <c r="S38" s="252">
        <f>+'A) Resumen Ingresos y Egresos'!$D$12*'J) ESTRUCTURA ECONÓMICA MENS'!K49</f>
        <v>0</v>
      </c>
      <c r="T38" s="252"/>
      <c r="U38" s="252">
        <f>+'A) Resumen Ingresos y Egresos'!$D$12*'J) ESTRUCTURA ECONÓMICA MENS'!L49</f>
        <v>0</v>
      </c>
      <c r="V38" s="252"/>
      <c r="W38" s="252">
        <f>+'A) Resumen Ingresos y Egresos'!$D$12*'J) ESTRUCTURA ECONÓMICA MENS'!M49</f>
        <v>0</v>
      </c>
      <c r="X38" s="252"/>
      <c r="Y38" s="252">
        <f>+'A) Resumen Ingresos y Egresos'!$D$12*'J) ESTRUCTURA ECONÓMICA MENS'!N49</f>
        <v>244296</v>
      </c>
      <c r="Z38" s="270"/>
      <c r="AA38" s="253">
        <f>SUM(C38:Y38)</f>
        <v>1628640</v>
      </c>
    </row>
    <row r="39" spans="2:27" x14ac:dyDescent="0.35">
      <c r="B39" s="251" t="s">
        <v>249</v>
      </c>
      <c r="C39" s="252">
        <f>SUM('F) Remuneraciones'!$K$92:$K$102)/12</f>
        <v>0</v>
      </c>
      <c r="D39" s="1506">
        <v>0</v>
      </c>
      <c r="E39" s="252">
        <f>SUM('F) Remuneraciones'!$K$92:$K$102)/12</f>
        <v>0</v>
      </c>
      <c r="F39" s="1506">
        <v>0</v>
      </c>
      <c r="G39" s="252">
        <f>SUM('F) Remuneraciones'!$K$92:$K$102)/12</f>
        <v>0</v>
      </c>
      <c r="H39" s="1506">
        <v>0</v>
      </c>
      <c r="I39" s="252">
        <f>SUM('F) Remuneraciones'!$K$92:$K$102)/12</f>
        <v>0</v>
      </c>
      <c r="J39" s="1506">
        <v>0</v>
      </c>
      <c r="K39" s="252">
        <f>SUM('F) Remuneraciones'!$K$92:$K$102)/12</f>
        <v>0</v>
      </c>
      <c r="L39" s="1506">
        <v>0</v>
      </c>
      <c r="M39" s="252">
        <f>SUM('F) Remuneraciones'!$K$92:$K$102)/12</f>
        <v>0</v>
      </c>
      <c r="N39" s="1503"/>
      <c r="O39" s="252">
        <f>SUM('F) Remuneraciones'!$K$92:$K$102)/12</f>
        <v>0</v>
      </c>
      <c r="P39" s="1503"/>
      <c r="Q39" s="252">
        <f>SUM('F) Remuneraciones'!$K$92:$K$102)/12</f>
        <v>0</v>
      </c>
      <c r="R39" s="1503"/>
      <c r="S39" s="252">
        <f>SUM('F) Remuneraciones'!$K$92:$K$102)/12</f>
        <v>0</v>
      </c>
      <c r="T39" s="1503"/>
      <c r="U39" s="252">
        <f>SUM('F) Remuneraciones'!$K$92:$K$102)/12</f>
        <v>0</v>
      </c>
      <c r="V39" s="1503"/>
      <c r="W39" s="252">
        <f>SUM('F) Remuneraciones'!$K$92:$K$102)/12</f>
        <v>0</v>
      </c>
      <c r="X39" s="1503"/>
      <c r="Y39" s="252">
        <f>SUM('F) Remuneraciones'!$K$92:$K$102)/12</f>
        <v>0</v>
      </c>
      <c r="Z39" s="1503"/>
      <c r="AA39" s="253">
        <f>SUM(C39:Y39)</f>
        <v>0</v>
      </c>
    </row>
    <row r="40" spans="2:27" x14ac:dyDescent="0.35">
      <c r="B40" s="251" t="s">
        <v>250</v>
      </c>
      <c r="C40" s="252">
        <f>SUM('F) Remuneraciones'!$K$103:$K$113)/4</f>
        <v>3790625</v>
      </c>
      <c r="D40" s="1507"/>
      <c r="E40" s="252">
        <f>SUM('F) Remuneraciones'!$K$103:$K$113)/4</f>
        <v>3790625</v>
      </c>
      <c r="F40" s="1507"/>
      <c r="G40" s="252">
        <f>SUM('F) Remuneraciones'!$K$103:$K$113)/4</f>
        <v>3790625</v>
      </c>
      <c r="H40" s="1507"/>
      <c r="I40" s="252">
        <v>0</v>
      </c>
      <c r="J40" s="1507"/>
      <c r="K40" s="252">
        <v>0</v>
      </c>
      <c r="L40" s="1507"/>
      <c r="M40" s="252">
        <v>0</v>
      </c>
      <c r="N40" s="1504"/>
      <c r="O40" s="252">
        <v>0</v>
      </c>
      <c r="P40" s="1504"/>
      <c r="Q40" s="252">
        <v>0</v>
      </c>
      <c r="R40" s="1504"/>
      <c r="S40" s="252">
        <v>0</v>
      </c>
      <c r="T40" s="1504"/>
      <c r="U40" s="252">
        <v>0</v>
      </c>
      <c r="V40" s="1504"/>
      <c r="W40" s="252">
        <v>0</v>
      </c>
      <c r="X40" s="1504"/>
      <c r="Y40" s="252">
        <f>SUM('F) Remuneraciones'!$K$103:$K$113)/4</f>
        <v>3790625</v>
      </c>
      <c r="Z40" s="1504"/>
      <c r="AA40" s="253">
        <f>SUM(C40:Y40)</f>
        <v>15162500</v>
      </c>
    </row>
    <row r="41" spans="2:27" x14ac:dyDescent="0.35">
      <c r="B41" s="251" t="s">
        <v>251</v>
      </c>
      <c r="C41" s="252">
        <f>SUM('F) Remuneraciones'!I88:I109)*0.5</f>
        <v>0</v>
      </c>
      <c r="D41" s="1507"/>
      <c r="E41" s="254">
        <v>0</v>
      </c>
      <c r="F41" s="1507"/>
      <c r="G41" s="254">
        <v>0</v>
      </c>
      <c r="H41" s="1507"/>
      <c r="I41" s="254">
        <v>0</v>
      </c>
      <c r="J41" s="1507"/>
      <c r="K41" s="254">
        <v>0</v>
      </c>
      <c r="L41" s="1507"/>
      <c r="M41" s="254">
        <v>0</v>
      </c>
      <c r="N41" s="1504"/>
      <c r="O41" s="254">
        <v>0</v>
      </c>
      <c r="P41" s="1504"/>
      <c r="Q41" s="254">
        <v>0</v>
      </c>
      <c r="R41" s="1504"/>
      <c r="S41" s="254">
        <f>SUM('F) Remuneraciones'!J88:J109)*0.5</f>
        <v>0</v>
      </c>
      <c r="T41" s="1504"/>
      <c r="U41" s="254">
        <v>0</v>
      </c>
      <c r="V41" s="1504"/>
      <c r="W41" s="254">
        <v>0</v>
      </c>
      <c r="X41" s="1504"/>
      <c r="Y41" s="255">
        <f>+C41+S41</f>
        <v>0</v>
      </c>
      <c r="Z41" s="1504"/>
      <c r="AA41" s="253">
        <f>SUM(C41:Y41)</f>
        <v>0</v>
      </c>
    </row>
    <row r="42" spans="2:27" x14ac:dyDescent="0.35">
      <c r="B42" s="268" t="s">
        <v>267</v>
      </c>
      <c r="C42" s="257">
        <f>SUM(C39:C41)</f>
        <v>3790625</v>
      </c>
      <c r="D42" s="1508"/>
      <c r="E42" s="257">
        <f>SUM(E39:E41)</f>
        <v>3790625</v>
      </c>
      <c r="F42" s="1508"/>
      <c r="G42" s="257">
        <f>SUM(G39:G41)</f>
        <v>3790625</v>
      </c>
      <c r="H42" s="1508"/>
      <c r="I42" s="257">
        <f>SUM(I39:I41)</f>
        <v>0</v>
      </c>
      <c r="J42" s="1508"/>
      <c r="K42" s="257">
        <f>SUM(K39:K41)</f>
        <v>0</v>
      </c>
      <c r="L42" s="1508"/>
      <c r="M42" s="257">
        <f>SUM(M39:M41)</f>
        <v>0</v>
      </c>
      <c r="N42" s="1505"/>
      <c r="O42" s="257"/>
      <c r="P42" s="1505"/>
      <c r="Q42" s="257"/>
      <c r="R42" s="1505"/>
      <c r="S42" s="257"/>
      <c r="T42" s="1505"/>
      <c r="U42" s="257"/>
      <c r="V42" s="1505"/>
      <c r="W42" s="257"/>
      <c r="X42" s="1505"/>
      <c r="Y42" s="271"/>
      <c r="Z42" s="1505"/>
      <c r="AA42" s="269"/>
    </row>
    <row r="43" spans="2:27" ht="15" thickBot="1" x14ac:dyDescent="0.4">
      <c r="B43" s="268" t="s">
        <v>252</v>
      </c>
      <c r="C43" s="257">
        <f>(+'C) Estimación Costos Directos'!$H$296-'C) Estimación Costos Directos'!$D$229)*C46</f>
        <v>4836870.9444999984</v>
      </c>
      <c r="D43" s="257">
        <v>0</v>
      </c>
      <c r="E43" s="257">
        <f>(+'C) Estimación Costos Directos'!$H$296-'C) Estimación Costos Directos'!$D$229)*E46</f>
        <v>4836870.9444999984</v>
      </c>
      <c r="F43" s="257">
        <v>0</v>
      </c>
      <c r="G43" s="257">
        <f>(+'C) Estimación Costos Directos'!$H$296-'C) Estimación Costos Directos'!$D$229)*G46</f>
        <v>2072944.6904999993</v>
      </c>
      <c r="H43" s="257">
        <v>0</v>
      </c>
      <c r="I43" s="257">
        <f>(+'C) Estimación Costos Directos'!$H$296-'C) Estimación Costos Directos'!$D$229)*I46</f>
        <v>0</v>
      </c>
      <c r="J43" s="257">
        <v>0</v>
      </c>
      <c r="K43" s="257">
        <f>(+'C) Estimación Costos Directos'!$H$296-'C) Estimación Costos Directos'!$D$229)*K46</f>
        <v>0</v>
      </c>
      <c r="L43" s="257">
        <v>0</v>
      </c>
      <c r="M43" s="257">
        <f>(+'C) Estimación Costos Directos'!$H$296-'C) Estimación Costos Directos'!$D$229)*M46</f>
        <v>0</v>
      </c>
      <c r="N43" s="257"/>
      <c r="O43" s="257">
        <f>(+'C) Estimación Costos Directos'!$H$296-'C) Estimación Costos Directos'!$D$229)*O46</f>
        <v>0</v>
      </c>
      <c r="P43" s="257"/>
      <c r="Q43" s="257">
        <f>(+'C) Estimación Costos Directos'!$H$296-'C) Estimación Costos Directos'!$D$229)*Q46</f>
        <v>0</v>
      </c>
      <c r="R43" s="257"/>
      <c r="S43" s="257">
        <f>(+'C) Estimación Costos Directos'!$H$296-'C) Estimación Costos Directos'!$D$229)*S46</f>
        <v>0</v>
      </c>
      <c r="T43" s="257"/>
      <c r="U43" s="257">
        <f>(+'C) Estimación Costos Directos'!$H$296-'C) Estimación Costos Directos'!$D$229)*U46</f>
        <v>0</v>
      </c>
      <c r="V43" s="257"/>
      <c r="W43" s="257">
        <f>(+'C) Estimación Costos Directos'!$H$296-'C) Estimación Costos Directos'!$D$229)*W46</f>
        <v>0</v>
      </c>
      <c r="X43" s="257"/>
      <c r="Y43" s="257">
        <f>(+'C) Estimación Costos Directos'!$H$296-'C) Estimación Costos Directos'!$D$229)*Y46</f>
        <v>2072944.6904999993</v>
      </c>
      <c r="Z43" s="271"/>
      <c r="AA43" s="269">
        <f>SUM(C43:Y43)</f>
        <v>13819631.269999994</v>
      </c>
    </row>
    <row r="44" spans="2:27" ht="15" thickBot="1" x14ac:dyDescent="0.4">
      <c r="B44" s="258" t="s">
        <v>253</v>
      </c>
      <c r="C44" s="259">
        <f>+C38-C39-C40-C41-C43</f>
        <v>-8057471.9444999984</v>
      </c>
      <c r="D44" s="259">
        <f>+D38-D39-D43</f>
        <v>0</v>
      </c>
      <c r="E44" s="260">
        <f t="shared" ref="E44:AA44" si="3">+E38-E39-E40-E41-E43</f>
        <v>-8057471.9444999984</v>
      </c>
      <c r="F44" s="260">
        <f>+F38-F39-F43</f>
        <v>0</v>
      </c>
      <c r="G44" s="260">
        <f t="shared" si="3"/>
        <v>-5619273.6904999996</v>
      </c>
      <c r="H44" s="260">
        <f>+H38-H39-H43</f>
        <v>0</v>
      </c>
      <c r="I44" s="260">
        <f t="shared" si="3"/>
        <v>0</v>
      </c>
      <c r="J44" s="260">
        <v>0</v>
      </c>
      <c r="K44" s="260">
        <f t="shared" si="3"/>
        <v>0</v>
      </c>
      <c r="L44" s="260">
        <v>0</v>
      </c>
      <c r="M44" s="260">
        <f t="shared" si="3"/>
        <v>0</v>
      </c>
      <c r="N44" s="260"/>
      <c r="O44" s="260">
        <f t="shared" si="3"/>
        <v>0</v>
      </c>
      <c r="P44" s="260"/>
      <c r="Q44" s="260">
        <f t="shared" si="3"/>
        <v>0</v>
      </c>
      <c r="R44" s="260"/>
      <c r="S44" s="260">
        <f t="shared" si="3"/>
        <v>0</v>
      </c>
      <c r="T44" s="260"/>
      <c r="U44" s="260">
        <f t="shared" si="3"/>
        <v>0</v>
      </c>
      <c r="V44" s="260"/>
      <c r="W44" s="260">
        <f t="shared" si="3"/>
        <v>0</v>
      </c>
      <c r="X44" s="261"/>
      <c r="Y44" s="261">
        <f t="shared" si="3"/>
        <v>-5619273.6904999996</v>
      </c>
      <c r="Z44" s="272"/>
      <c r="AA44" s="262">
        <f t="shared" si="3"/>
        <v>-27353491.269999996</v>
      </c>
    </row>
    <row r="45" spans="2:27" x14ac:dyDescent="0.35">
      <c r="B45" s="263" t="s">
        <v>254</v>
      </c>
      <c r="C45" s="264">
        <v>0.35</v>
      </c>
      <c r="D45" s="264"/>
      <c r="E45" s="264">
        <v>0.35</v>
      </c>
      <c r="F45" s="264"/>
      <c r="G45" s="264">
        <v>0.15</v>
      </c>
      <c r="H45" s="264"/>
      <c r="I45" s="264">
        <v>0</v>
      </c>
      <c r="J45" s="264"/>
      <c r="K45" s="264">
        <v>0</v>
      </c>
      <c r="L45" s="264"/>
      <c r="M45" s="264">
        <v>0</v>
      </c>
      <c r="N45" s="264"/>
      <c r="O45" s="264">
        <v>0</v>
      </c>
      <c r="P45" s="264"/>
      <c r="Q45" s="264">
        <v>0</v>
      </c>
      <c r="R45" s="264"/>
      <c r="S45" s="264">
        <v>0</v>
      </c>
      <c r="T45" s="264"/>
      <c r="U45" s="264">
        <v>0</v>
      </c>
      <c r="V45" s="264"/>
      <c r="W45" s="264">
        <v>0</v>
      </c>
      <c r="X45" s="264"/>
      <c r="Y45" s="264">
        <v>0.15</v>
      </c>
      <c r="Z45" s="264"/>
      <c r="AA45" s="265"/>
    </row>
    <row r="46" spans="2:27" x14ac:dyDescent="0.35">
      <c r="B46" s="266" t="s">
        <v>255</v>
      </c>
      <c r="C46" s="264">
        <v>0.35</v>
      </c>
      <c r="D46" s="264"/>
      <c r="E46" s="264">
        <v>0.35</v>
      </c>
      <c r="F46" s="264"/>
      <c r="G46" s="264">
        <v>0.15</v>
      </c>
      <c r="H46" s="264"/>
      <c r="I46" s="264">
        <v>0</v>
      </c>
      <c r="J46" s="264"/>
      <c r="K46" s="264">
        <v>0</v>
      </c>
      <c r="L46" s="264"/>
      <c r="M46" s="264">
        <v>0</v>
      </c>
      <c r="N46" s="264"/>
      <c r="O46" s="264">
        <v>0</v>
      </c>
      <c r="P46" s="264"/>
      <c r="Q46" s="264">
        <v>0</v>
      </c>
      <c r="R46" s="264"/>
      <c r="S46" s="264">
        <v>0</v>
      </c>
      <c r="T46" s="264"/>
      <c r="U46" s="264">
        <v>0</v>
      </c>
      <c r="V46" s="264"/>
      <c r="W46" s="264">
        <v>0</v>
      </c>
      <c r="X46" s="264"/>
      <c r="Y46" s="264">
        <v>0.15</v>
      </c>
      <c r="Z46" s="264"/>
      <c r="AA46" s="206"/>
    </row>
    <row r="47" spans="2:27" ht="15" thickBot="1" x14ac:dyDescent="0.4"/>
    <row r="48" spans="2:27" ht="29.5" thickBot="1" x14ac:dyDescent="0.4">
      <c r="B48" s="249" t="s">
        <v>259</v>
      </c>
      <c r="C48" s="283" t="s">
        <v>235</v>
      </c>
      <c r="D48" s="284" t="s">
        <v>268</v>
      </c>
      <c r="E48" s="285" t="s">
        <v>236</v>
      </c>
      <c r="F48" s="284" t="s">
        <v>269</v>
      </c>
      <c r="G48" s="285" t="s">
        <v>237</v>
      </c>
      <c r="H48" s="284" t="s">
        <v>270</v>
      </c>
      <c r="I48" s="285" t="s">
        <v>238</v>
      </c>
      <c r="J48" s="284" t="s">
        <v>271</v>
      </c>
      <c r="K48" s="285" t="s">
        <v>239</v>
      </c>
      <c r="L48" s="284" t="s">
        <v>272</v>
      </c>
      <c r="M48" s="285" t="s">
        <v>240</v>
      </c>
      <c r="N48" s="284" t="s">
        <v>273</v>
      </c>
      <c r="O48" s="285" t="s">
        <v>241</v>
      </c>
      <c r="P48" s="284" t="s">
        <v>274</v>
      </c>
      <c r="Q48" s="285" t="s">
        <v>242</v>
      </c>
      <c r="R48" s="284" t="s">
        <v>275</v>
      </c>
      <c r="S48" s="285" t="s">
        <v>243</v>
      </c>
      <c r="T48" s="284" t="s">
        <v>276</v>
      </c>
      <c r="U48" s="285" t="s">
        <v>244</v>
      </c>
      <c r="V48" s="284" t="s">
        <v>277</v>
      </c>
      <c r="W48" s="285" t="s">
        <v>245</v>
      </c>
      <c r="X48" s="284" t="s">
        <v>278</v>
      </c>
      <c r="Y48" s="285" t="s">
        <v>246</v>
      </c>
      <c r="Z48" s="286" t="s">
        <v>279</v>
      </c>
      <c r="AA48" s="250" t="s">
        <v>247</v>
      </c>
    </row>
    <row r="49" spans="2:27" x14ac:dyDescent="0.35">
      <c r="B49" s="251" t="s">
        <v>248</v>
      </c>
      <c r="C49" s="252">
        <f>+'A) Resumen Ingresos y Egresos'!$D$13*'J) ESTRUCTURA ECONÓMICA MENS'!C60</f>
        <v>0</v>
      </c>
      <c r="D49" s="252"/>
      <c r="E49" s="252">
        <f>+'A) Resumen Ingresos y Egresos'!$D$13*'J) ESTRUCTURA ECONÓMICA MENS'!D60</f>
        <v>0</v>
      </c>
      <c r="F49" s="252"/>
      <c r="G49" s="252">
        <f>+'A) Resumen Ingresos y Egresos'!$D$13*'J) ESTRUCTURA ECONÓMICA MENS'!E60</f>
        <v>0</v>
      </c>
      <c r="H49" s="252"/>
      <c r="I49" s="252">
        <f>+'A) Resumen Ingresos y Egresos'!$D$13*'J) ESTRUCTURA ECONÓMICA MENS'!F60</f>
        <v>0</v>
      </c>
      <c r="J49" s="252"/>
      <c r="K49" s="252">
        <f>+'A) Resumen Ingresos y Egresos'!$D$13*'J) ESTRUCTURA ECONÓMICA MENS'!G60</f>
        <v>0</v>
      </c>
      <c r="L49" s="252"/>
      <c r="M49" s="252">
        <f>+'A) Resumen Ingresos y Egresos'!$D$13*'J) ESTRUCTURA ECONÓMICA MENS'!H60</f>
        <v>0</v>
      </c>
      <c r="N49" s="252"/>
      <c r="O49" s="252">
        <f>+'A) Resumen Ingresos y Egresos'!$D$13*'J) ESTRUCTURA ECONÓMICA MENS'!I60</f>
        <v>0</v>
      </c>
      <c r="P49" s="252"/>
      <c r="Q49" s="252">
        <f>+'A) Resumen Ingresos y Egresos'!$D$13*'J) ESTRUCTURA ECONÓMICA MENS'!J60</f>
        <v>0</v>
      </c>
      <c r="R49" s="252"/>
      <c r="S49" s="252">
        <f>+'A) Resumen Ingresos y Egresos'!$D$13*'J) ESTRUCTURA ECONÓMICA MENS'!K60</f>
        <v>0</v>
      </c>
      <c r="T49" s="252"/>
      <c r="U49" s="252">
        <f>+'A) Resumen Ingresos y Egresos'!$D$13*'J) ESTRUCTURA ECONÓMICA MENS'!L60</f>
        <v>0</v>
      </c>
      <c r="V49" s="252"/>
      <c r="W49" s="252">
        <f>+'A) Resumen Ingresos y Egresos'!$D$13*'J) ESTRUCTURA ECONÓMICA MENS'!M60</f>
        <v>0</v>
      </c>
      <c r="X49" s="252"/>
      <c r="Y49" s="252">
        <f>+'A) Resumen Ingresos y Egresos'!$D$13*'J) ESTRUCTURA ECONÓMICA MENS'!N60</f>
        <v>0</v>
      </c>
      <c r="Z49" s="270"/>
      <c r="AA49" s="253">
        <f>SUM(C49:Y49)</f>
        <v>0</v>
      </c>
    </row>
    <row r="50" spans="2:27" x14ac:dyDescent="0.35">
      <c r="B50" s="251" t="s">
        <v>249</v>
      </c>
      <c r="C50" s="252">
        <f>SUM('F) Remuneraciones'!$K$114:$K$124)/12</f>
        <v>0</v>
      </c>
      <c r="D50" s="1506"/>
      <c r="E50" s="252">
        <f>SUM('F) Remuneraciones'!$K$114:$K$124)/12</f>
        <v>0</v>
      </c>
      <c r="F50" s="1506"/>
      <c r="G50" s="252">
        <f>SUM('F) Remuneraciones'!$K$114:$K$124)/12</f>
        <v>0</v>
      </c>
      <c r="H50" s="1506"/>
      <c r="I50" s="252">
        <f>SUM('F) Remuneraciones'!$K$114:$K$124)/12</f>
        <v>0</v>
      </c>
      <c r="J50" s="1506"/>
      <c r="K50" s="252">
        <f>SUM('F) Remuneraciones'!$K$114:$K$124)/12</f>
        <v>0</v>
      </c>
      <c r="L50" s="1506"/>
      <c r="M50" s="252">
        <f>SUM('F) Remuneraciones'!$K$114:$K$124)/12</f>
        <v>0</v>
      </c>
      <c r="N50" s="1506"/>
      <c r="O50" s="252">
        <f>SUM('F) Remuneraciones'!$K$114:$K$124)/12</f>
        <v>0</v>
      </c>
      <c r="P50" s="1503"/>
      <c r="Q50" s="252">
        <f>SUM('F) Remuneraciones'!$K$114:$K$124)/12</f>
        <v>0</v>
      </c>
      <c r="R50" s="1503"/>
      <c r="S50" s="252">
        <f>SUM('F) Remuneraciones'!$K$114:$K$124)/12</f>
        <v>0</v>
      </c>
      <c r="T50" s="1503"/>
      <c r="U50" s="252">
        <f>SUM('F) Remuneraciones'!$K$114:$K$124)/12</f>
        <v>0</v>
      </c>
      <c r="V50" s="1503"/>
      <c r="W50" s="252">
        <f>SUM('F) Remuneraciones'!$K$114:$K$124)/12</f>
        <v>0</v>
      </c>
      <c r="X50" s="1503"/>
      <c r="Y50" s="252">
        <f>SUM('F) Remuneraciones'!$K$114:$K$124)/12</f>
        <v>0</v>
      </c>
      <c r="Z50" s="1503"/>
      <c r="AA50" s="253">
        <f>SUM(C50:Y50)</f>
        <v>0</v>
      </c>
    </row>
    <row r="51" spans="2:27" x14ac:dyDescent="0.35">
      <c r="B51" s="251" t="s">
        <v>250</v>
      </c>
      <c r="C51" s="252">
        <f>SUM('F) Remuneraciones'!$K$125:$K$135)/4</f>
        <v>0</v>
      </c>
      <c r="D51" s="1507"/>
      <c r="E51" s="252">
        <f>SUM('F) Remuneraciones'!$K$125:$K$135)/4</f>
        <v>0</v>
      </c>
      <c r="F51" s="1507"/>
      <c r="G51" s="252">
        <f>SUM('F) Remuneraciones'!$K$125:$K$135)/4</f>
        <v>0</v>
      </c>
      <c r="H51" s="1507"/>
      <c r="I51" s="252">
        <f>SUM('F) Remuneraciones'!$K$125:$K$135)/4</f>
        <v>0</v>
      </c>
      <c r="J51" s="1507"/>
      <c r="K51" s="252">
        <f>SUM('F) Remuneraciones'!$K$125:$K$135)/4</f>
        <v>0</v>
      </c>
      <c r="L51" s="1507"/>
      <c r="M51" s="252">
        <f>SUM('F) Remuneraciones'!$K$125:$K$135)/4</f>
        <v>0</v>
      </c>
      <c r="N51" s="1507"/>
      <c r="O51" s="252">
        <f>SUM('F) Remuneraciones'!$K$125:$K$135)/4</f>
        <v>0</v>
      </c>
      <c r="P51" s="1504"/>
      <c r="Q51" s="252">
        <f>SUM('F) Remuneraciones'!$K$125:$K$135)/4</f>
        <v>0</v>
      </c>
      <c r="R51" s="1504"/>
      <c r="S51" s="252">
        <f>SUM('F) Remuneraciones'!$K$125:$K$135)/4</f>
        <v>0</v>
      </c>
      <c r="T51" s="1504"/>
      <c r="U51" s="252">
        <f>SUM('F) Remuneraciones'!$K$125:$K$135)/4</f>
        <v>0</v>
      </c>
      <c r="V51" s="1504"/>
      <c r="W51" s="252">
        <f>SUM('F) Remuneraciones'!$K$125:$K$135)/4</f>
        <v>0</v>
      </c>
      <c r="X51" s="1504"/>
      <c r="Y51" s="252">
        <f>SUM('F) Remuneraciones'!$K$125:$K$135)/4</f>
        <v>0</v>
      </c>
      <c r="Z51" s="1504"/>
      <c r="AA51" s="253">
        <f>SUM(C51:Y51)</f>
        <v>0</v>
      </c>
    </row>
    <row r="52" spans="2:27" x14ac:dyDescent="0.35">
      <c r="B52" s="251" t="s">
        <v>251</v>
      </c>
      <c r="C52" s="252">
        <f>SUM('F) Remuneraciones'!I110:I131)*0.5</f>
        <v>0</v>
      </c>
      <c r="D52" s="1507"/>
      <c r="E52" s="254">
        <v>0</v>
      </c>
      <c r="F52" s="1507"/>
      <c r="G52" s="254">
        <v>0</v>
      </c>
      <c r="H52" s="1507"/>
      <c r="I52" s="254">
        <v>0</v>
      </c>
      <c r="J52" s="1507"/>
      <c r="K52" s="254">
        <v>0</v>
      </c>
      <c r="L52" s="1507"/>
      <c r="M52" s="254">
        <v>0</v>
      </c>
      <c r="N52" s="1507"/>
      <c r="O52" s="254">
        <v>0</v>
      </c>
      <c r="P52" s="1504"/>
      <c r="Q52" s="254">
        <v>0</v>
      </c>
      <c r="R52" s="1504"/>
      <c r="S52" s="254">
        <f>SUM('F) Remuneraciones'!J110:J131)*0.5</f>
        <v>0</v>
      </c>
      <c r="T52" s="1504"/>
      <c r="U52" s="254">
        <v>0</v>
      </c>
      <c r="V52" s="1504"/>
      <c r="W52" s="254">
        <v>0</v>
      </c>
      <c r="X52" s="1504"/>
      <c r="Y52" s="255">
        <f>+C52+S52</f>
        <v>0</v>
      </c>
      <c r="Z52" s="1504"/>
      <c r="AA52" s="253">
        <f>SUM(C52:Y52)</f>
        <v>0</v>
      </c>
    </row>
    <row r="53" spans="2:27" x14ac:dyDescent="0.35">
      <c r="B53" s="268" t="s">
        <v>267</v>
      </c>
      <c r="C53" s="257">
        <f>SUM(C50:C52)</f>
        <v>0</v>
      </c>
      <c r="D53" s="1508"/>
      <c r="E53" s="257">
        <f>SUM(E50:E52)</f>
        <v>0</v>
      </c>
      <c r="F53" s="1508"/>
      <c r="G53" s="257">
        <f>SUM(G50:G52)</f>
        <v>0</v>
      </c>
      <c r="H53" s="1508"/>
      <c r="I53" s="257">
        <f>SUM(I50:I52)</f>
        <v>0</v>
      </c>
      <c r="J53" s="1508"/>
      <c r="K53" s="257">
        <f>SUM(K50:K52)</f>
        <v>0</v>
      </c>
      <c r="L53" s="1508"/>
      <c r="M53" s="257">
        <f>SUM(M50:M52)</f>
        <v>0</v>
      </c>
      <c r="N53" s="1508"/>
      <c r="O53" s="257">
        <f>SUM(O50:O52)</f>
        <v>0</v>
      </c>
      <c r="P53" s="1505"/>
      <c r="Q53" s="257"/>
      <c r="R53" s="1505"/>
      <c r="S53" s="257"/>
      <c r="T53" s="1505"/>
      <c r="U53" s="257"/>
      <c r="V53" s="1505"/>
      <c r="W53" s="257"/>
      <c r="X53" s="1505"/>
      <c r="Y53" s="271"/>
      <c r="Z53" s="1505"/>
      <c r="AA53" s="253"/>
    </row>
    <row r="54" spans="2:27" ht="15" thickBot="1" x14ac:dyDescent="0.4">
      <c r="B54" s="268" t="s">
        <v>252</v>
      </c>
      <c r="C54" s="257">
        <f>(+'C) Estimación Costos Directos'!$H$368-'C) Estimación Costos Directos'!$D$301)*C57</f>
        <v>144357.02688544965</v>
      </c>
      <c r="D54" s="257"/>
      <c r="E54" s="257">
        <f>(+'C) Estimación Costos Directos'!$H$368-'C) Estimación Costos Directos'!$D$301)*E57</f>
        <v>129944.69904027974</v>
      </c>
      <c r="F54" s="257"/>
      <c r="G54" s="257">
        <f>(+'C) Estimación Costos Directos'!$H$368-'C) Estimación Costos Directos'!$D$301)*G57</f>
        <v>86669.461254754046</v>
      </c>
      <c r="H54" s="257"/>
      <c r="I54" s="257">
        <f>(+'C) Estimación Costos Directos'!$H$368-'C) Estimación Costos Directos'!$D$301)*I57</f>
        <v>89033.206492806145</v>
      </c>
      <c r="J54" s="257"/>
      <c r="K54" s="257">
        <f>(+'C) Estimación Costos Directos'!$H$368-'C) Estimación Costos Directos'!$D$301)*K57</f>
        <v>103267.70675156663</v>
      </c>
      <c r="L54" s="257"/>
      <c r="M54" s="257">
        <f>(+'C) Estimación Costos Directos'!$H$368-'C) Estimación Costos Directos'!$D$301)*M57</f>
        <v>72665.605893529981</v>
      </c>
      <c r="N54" s="257"/>
      <c r="O54" s="257">
        <f>(+'C) Estimación Costos Directos'!$H$368-'C) Estimación Costos Directos'!$D$301)*O57</f>
        <v>104503.53650612116</v>
      </c>
      <c r="P54" s="257"/>
      <c r="Q54" s="257">
        <f>(+'C) Estimación Costos Directos'!$H$368-'C) Estimación Costos Directos'!$D$301)*Q57</f>
        <v>86809.684168494685</v>
      </c>
      <c r="R54" s="257"/>
      <c r="S54" s="257">
        <f>(+'C) Estimación Costos Directos'!$H$368-'C) Estimación Costos Directos'!$D$301)*S57</f>
        <v>89327.997493818752</v>
      </c>
      <c r="T54" s="257"/>
      <c r="U54" s="257">
        <f>(+'C) Estimación Costos Directos'!$H$368-'C) Estimación Costos Directos'!$D$301)*U57</f>
        <v>64034.335318564226</v>
      </c>
      <c r="V54" s="257"/>
      <c r="W54" s="257">
        <f>(+'C) Estimación Costos Directos'!$H$368-'C) Estimación Costos Directos'!$D$301)*W57</f>
        <v>81634.075201513057</v>
      </c>
      <c r="X54" s="257"/>
      <c r="Y54" s="257">
        <f>(+'C) Estimación Costos Directos'!$H$368-'C) Estimación Costos Directos'!$D$301)*Y57</f>
        <v>50273.139993101991</v>
      </c>
      <c r="Z54" s="271"/>
      <c r="AA54" s="253">
        <f>SUM(C54:Y54)</f>
        <v>1102520.4750000001</v>
      </c>
    </row>
    <row r="55" spans="2:27" ht="15" thickBot="1" x14ac:dyDescent="0.4">
      <c r="B55" s="258" t="s">
        <v>253</v>
      </c>
      <c r="C55" s="259">
        <f>+C49-C50-C51-C52-C54</f>
        <v>-144357.02688544965</v>
      </c>
      <c r="D55" s="259"/>
      <c r="E55" s="260">
        <f t="shared" ref="E55:AA55" si="4">+E49-E50-E51-E52-E54</f>
        <v>-129944.69904027974</v>
      </c>
      <c r="F55" s="260"/>
      <c r="G55" s="260">
        <f t="shared" si="4"/>
        <v>-86669.461254754046</v>
      </c>
      <c r="H55" s="260"/>
      <c r="I55" s="260">
        <f t="shared" si="4"/>
        <v>-89033.206492806145</v>
      </c>
      <c r="J55" s="260"/>
      <c r="K55" s="260">
        <f t="shared" si="4"/>
        <v>-103267.70675156663</v>
      </c>
      <c r="L55" s="260"/>
      <c r="M55" s="260">
        <f t="shared" si="4"/>
        <v>-72665.605893529981</v>
      </c>
      <c r="N55" s="260"/>
      <c r="O55" s="260">
        <f t="shared" si="4"/>
        <v>-104503.53650612116</v>
      </c>
      <c r="P55" s="260"/>
      <c r="Q55" s="260">
        <f t="shared" si="4"/>
        <v>-86809.684168494685</v>
      </c>
      <c r="R55" s="260"/>
      <c r="S55" s="260">
        <f t="shared" si="4"/>
        <v>-89327.997493818752</v>
      </c>
      <c r="T55" s="260"/>
      <c r="U55" s="260">
        <f t="shared" si="4"/>
        <v>-64034.335318564226</v>
      </c>
      <c r="V55" s="260"/>
      <c r="W55" s="260">
        <f t="shared" si="4"/>
        <v>-81634.075201513057</v>
      </c>
      <c r="X55" s="261"/>
      <c r="Y55" s="261">
        <f t="shared" si="4"/>
        <v>-50273.139993101991</v>
      </c>
      <c r="Z55" s="272"/>
      <c r="AA55" s="262">
        <f t="shared" si="4"/>
        <v>-1102520.4750000001</v>
      </c>
    </row>
    <row r="56" spans="2:27" x14ac:dyDescent="0.35">
      <c r="B56" s="263" t="s">
        <v>254</v>
      </c>
      <c r="C56" s="264">
        <v>0.13093364718278783</v>
      </c>
      <c r="D56" s="264"/>
      <c r="E56" s="264">
        <v>0.11786148374276653</v>
      </c>
      <c r="F56" s="264"/>
      <c r="G56" s="264">
        <v>7.8610296334636356E-2</v>
      </c>
      <c r="H56" s="264"/>
      <c r="I56" s="264">
        <v>8.0754243128959707E-2</v>
      </c>
      <c r="J56" s="264"/>
      <c r="K56" s="264">
        <v>9.3665114701444993E-2</v>
      </c>
      <c r="L56" s="264"/>
      <c r="M56" s="264">
        <v>6.5908622598169861E-2</v>
      </c>
      <c r="N56" s="264"/>
      <c r="O56" s="264">
        <v>9.4786027902222098E-2</v>
      </c>
      <c r="P56" s="264"/>
      <c r="Q56" s="264">
        <v>7.8737480288966682E-2</v>
      </c>
      <c r="R56" s="264"/>
      <c r="S56" s="264">
        <v>8.1021622291249276E-2</v>
      </c>
      <c r="T56" s="264"/>
      <c r="U56" s="264">
        <v>5.8079951139741168E-2</v>
      </c>
      <c r="V56" s="264"/>
      <c r="W56" s="264">
        <v>7.4043137567593065E-2</v>
      </c>
      <c r="X56" s="264"/>
      <c r="Y56" s="264">
        <v>4.5598373121462428E-2</v>
      </c>
      <c r="Z56" s="264"/>
      <c r="AA56" s="265"/>
    </row>
    <row r="57" spans="2:27" x14ac:dyDescent="0.35">
      <c r="B57" s="266" t="s">
        <v>255</v>
      </c>
      <c r="C57" s="267">
        <v>0.13093364718278783</v>
      </c>
      <c r="D57" s="267"/>
      <c r="E57" s="267">
        <v>0.11786148374276653</v>
      </c>
      <c r="F57" s="267"/>
      <c r="G57" s="267">
        <v>7.8610296334636356E-2</v>
      </c>
      <c r="H57" s="267"/>
      <c r="I57" s="267">
        <v>8.0754243128959707E-2</v>
      </c>
      <c r="J57" s="267"/>
      <c r="K57" s="267">
        <v>9.3665114701444993E-2</v>
      </c>
      <c r="L57" s="267"/>
      <c r="M57" s="267">
        <v>6.5908622598169861E-2</v>
      </c>
      <c r="N57" s="267"/>
      <c r="O57" s="267">
        <v>9.4786027902222098E-2</v>
      </c>
      <c r="P57" s="267"/>
      <c r="Q57" s="267">
        <v>7.8737480288966682E-2</v>
      </c>
      <c r="R57" s="267"/>
      <c r="S57" s="267">
        <v>8.1021622291249276E-2</v>
      </c>
      <c r="T57" s="267"/>
      <c r="U57" s="267">
        <v>5.8079951139741168E-2</v>
      </c>
      <c r="V57" s="267"/>
      <c r="W57" s="267">
        <v>7.4043137567593065E-2</v>
      </c>
      <c r="X57" s="267"/>
      <c r="Y57" s="267">
        <v>4.5598373121462428E-2</v>
      </c>
      <c r="Z57" s="267"/>
      <c r="AA57" s="206"/>
    </row>
    <row r="58" spans="2:27" ht="15" thickBot="1" x14ac:dyDescent="0.4"/>
    <row r="59" spans="2:27" ht="29.5" thickBot="1" x14ac:dyDescent="0.4">
      <c r="B59" s="249" t="s">
        <v>260</v>
      </c>
      <c r="C59" s="283" t="s">
        <v>235</v>
      </c>
      <c r="D59" s="284" t="s">
        <v>268</v>
      </c>
      <c r="E59" s="285" t="s">
        <v>236</v>
      </c>
      <c r="F59" s="284" t="s">
        <v>269</v>
      </c>
      <c r="G59" s="285" t="s">
        <v>237</v>
      </c>
      <c r="H59" s="284" t="s">
        <v>270</v>
      </c>
      <c r="I59" s="285" t="s">
        <v>238</v>
      </c>
      <c r="J59" s="284" t="s">
        <v>271</v>
      </c>
      <c r="K59" s="285" t="s">
        <v>239</v>
      </c>
      <c r="L59" s="284" t="s">
        <v>272</v>
      </c>
      <c r="M59" s="285" t="s">
        <v>240</v>
      </c>
      <c r="N59" s="284" t="s">
        <v>273</v>
      </c>
      <c r="O59" s="285" t="s">
        <v>241</v>
      </c>
      <c r="P59" s="284" t="s">
        <v>274</v>
      </c>
      <c r="Q59" s="285" t="s">
        <v>242</v>
      </c>
      <c r="R59" s="284" t="s">
        <v>275</v>
      </c>
      <c r="S59" s="285" t="s">
        <v>243</v>
      </c>
      <c r="T59" s="284" t="s">
        <v>276</v>
      </c>
      <c r="U59" s="285" t="s">
        <v>244</v>
      </c>
      <c r="V59" s="284" t="s">
        <v>277</v>
      </c>
      <c r="W59" s="285" t="s">
        <v>245</v>
      </c>
      <c r="X59" s="284" t="s">
        <v>278</v>
      </c>
      <c r="Y59" s="285" t="s">
        <v>246</v>
      </c>
      <c r="Z59" s="286" t="s">
        <v>279</v>
      </c>
      <c r="AA59" s="250" t="s">
        <v>247</v>
      </c>
    </row>
    <row r="60" spans="2:27" x14ac:dyDescent="0.35">
      <c r="B60" s="251" t="s">
        <v>248</v>
      </c>
      <c r="C60" s="252">
        <f>+'A) Resumen Ingresos y Egresos'!$D$14*'J) ESTRUCTURA ECONÓMICA MENS'!C71</f>
        <v>11470732.799999999</v>
      </c>
      <c r="D60" s="252">
        <v>0</v>
      </c>
      <c r="E60" s="252">
        <f>+'A) Resumen Ingresos y Egresos'!$D$14*'J) ESTRUCTURA ECONÓMICA MENS'!D71</f>
        <v>10514838.4</v>
      </c>
      <c r="F60" s="252">
        <v>0</v>
      </c>
      <c r="G60" s="252">
        <f>+'A) Resumen Ingresos y Egresos'!$D$14*'J) ESTRUCTURA ECONÓMICA MENS'!E71</f>
        <v>8603049.5999999996</v>
      </c>
      <c r="H60" s="252">
        <v>0</v>
      </c>
      <c r="I60" s="252">
        <f>+'A) Resumen Ingresos y Egresos'!$D$14*'J) ESTRUCTURA ECONÓMICA MENS'!F71</f>
        <v>6691260.8000000007</v>
      </c>
      <c r="J60" s="252">
        <v>0</v>
      </c>
      <c r="K60" s="252">
        <f>+'A) Resumen Ingresos y Egresos'!$D$14*'J) ESTRUCTURA ECONÓMICA MENS'!G71</f>
        <v>7647155.2000000002</v>
      </c>
      <c r="L60" s="252">
        <v>0</v>
      </c>
      <c r="M60" s="252">
        <f>+'A) Resumen Ingresos y Egresos'!$D$14*'J) ESTRUCTURA ECONÓMICA MENS'!H71</f>
        <v>8603049.5999999996</v>
      </c>
      <c r="N60" s="252"/>
      <c r="O60" s="252">
        <f>+'A) Resumen Ingresos y Egresos'!$D$14*'J) ESTRUCTURA ECONÓMICA MENS'!I71</f>
        <v>10514838.4</v>
      </c>
      <c r="P60" s="252"/>
      <c r="Q60" s="252">
        <f>+'A) Resumen Ingresos y Egresos'!$D$14*'J) ESTRUCTURA ECONÓMICA MENS'!J71</f>
        <v>6691260.8000000007</v>
      </c>
      <c r="R60" s="252"/>
      <c r="S60" s="252">
        <f>+'A) Resumen Ingresos y Egresos'!$D$14*'J) ESTRUCTURA ECONÓMICA MENS'!K71</f>
        <v>7647155.2000000002</v>
      </c>
      <c r="T60" s="252"/>
      <c r="U60" s="252">
        <f>+'A) Resumen Ingresos y Egresos'!$D$14*'J) ESTRUCTURA ECONÓMICA MENS'!L71</f>
        <v>4779472</v>
      </c>
      <c r="V60" s="252"/>
      <c r="W60" s="252">
        <f>+'A) Resumen Ingresos y Egresos'!$D$14*'J) ESTRUCTURA ECONÓMICA MENS'!M71</f>
        <v>7647155.2000000002</v>
      </c>
      <c r="X60" s="252"/>
      <c r="Y60" s="252">
        <f>+'A) Resumen Ingresos y Egresos'!$D$14*'J) ESTRUCTURA ECONÓMICA MENS'!N71</f>
        <v>4779472</v>
      </c>
      <c r="Z60" s="270"/>
      <c r="AA60" s="253">
        <f>SUM(C60:Y60)</f>
        <v>95589440</v>
      </c>
    </row>
    <row r="61" spans="2:27" x14ac:dyDescent="0.35">
      <c r="B61" s="251" t="s">
        <v>249</v>
      </c>
      <c r="C61" s="252">
        <f>SUM('F) Remuneraciones'!$K$136:$K$146)/12</f>
        <v>732578</v>
      </c>
      <c r="D61" s="1506">
        <v>0</v>
      </c>
      <c r="E61" s="252">
        <f>SUM('F) Remuneraciones'!$K$136:$K$146)/12</f>
        <v>732578</v>
      </c>
      <c r="F61" s="1506">
        <v>0</v>
      </c>
      <c r="G61" s="252">
        <f>SUM('F) Remuneraciones'!$K$136:$K$146)/12</f>
        <v>732578</v>
      </c>
      <c r="H61" s="1506">
        <v>0</v>
      </c>
      <c r="I61" s="252">
        <f>SUM('F) Remuneraciones'!$K$136:$K$146)/12</f>
        <v>732578</v>
      </c>
      <c r="J61" s="1506">
        <v>0</v>
      </c>
      <c r="K61" s="252">
        <f>SUM('F) Remuneraciones'!$K$136:$K$146)/12</f>
        <v>732578</v>
      </c>
      <c r="L61" s="1506">
        <v>0</v>
      </c>
      <c r="M61" s="252">
        <f>SUM('F) Remuneraciones'!$K$136:$K$146)/12</f>
        <v>732578</v>
      </c>
      <c r="N61" s="1506"/>
      <c r="O61" s="252">
        <f>SUM('F) Remuneraciones'!$K$136:$K$146)/12</f>
        <v>732578</v>
      </c>
      <c r="P61" s="1503"/>
      <c r="Q61" s="252">
        <f>SUM('F) Remuneraciones'!$K$136:$K$146)/12</f>
        <v>732578</v>
      </c>
      <c r="R61" s="1503"/>
      <c r="S61" s="252">
        <f>SUM('F) Remuneraciones'!$K$136:$K$146)/12</f>
        <v>732578</v>
      </c>
      <c r="T61" s="1503"/>
      <c r="U61" s="252">
        <f>SUM('F) Remuneraciones'!$K$136:$K$146)/12</f>
        <v>732578</v>
      </c>
      <c r="V61" s="1503"/>
      <c r="W61" s="252">
        <f>SUM('F) Remuneraciones'!$K$136:$K$146)/12</f>
        <v>732578</v>
      </c>
      <c r="X61" s="1503"/>
      <c r="Y61" s="252">
        <f>SUM('F) Remuneraciones'!$K$136:$K$146)/12</f>
        <v>732578</v>
      </c>
      <c r="Z61" s="1503"/>
      <c r="AA61" s="253">
        <f>SUM(C61:Y61)</f>
        <v>8790936</v>
      </c>
    </row>
    <row r="62" spans="2:27" x14ac:dyDescent="0.35">
      <c r="B62" s="251" t="s">
        <v>250</v>
      </c>
      <c r="C62" s="252">
        <f>SUM('F) Remuneraciones'!$K$147:$K$157)/4</f>
        <v>0</v>
      </c>
      <c r="D62" s="1507"/>
      <c r="E62" s="252">
        <f>SUM('F) Remuneraciones'!$K$147:$K$157)/4</f>
        <v>0</v>
      </c>
      <c r="F62" s="1507"/>
      <c r="G62" s="252">
        <f>SUM('F) Remuneraciones'!$K$147:$K$157)/4</f>
        <v>0</v>
      </c>
      <c r="H62" s="1507"/>
      <c r="I62" s="252">
        <f>SUM('F) Remuneraciones'!$K$147:$K$157)/4</f>
        <v>0</v>
      </c>
      <c r="J62" s="1507"/>
      <c r="K62" s="252">
        <f>SUM('F) Remuneraciones'!$K$147:$K$157)/4</f>
        <v>0</v>
      </c>
      <c r="L62" s="1507"/>
      <c r="M62" s="252">
        <f>SUM('F) Remuneraciones'!$K$147:$K$157)/4</f>
        <v>0</v>
      </c>
      <c r="N62" s="1507"/>
      <c r="O62" s="252">
        <f>SUM('F) Remuneraciones'!$K$147:$K$157)/4</f>
        <v>0</v>
      </c>
      <c r="P62" s="1504"/>
      <c r="Q62" s="252">
        <f>SUM('F) Remuneraciones'!$K$147:$K$157)/4</f>
        <v>0</v>
      </c>
      <c r="R62" s="1504"/>
      <c r="S62" s="252">
        <f>SUM('F) Remuneraciones'!$K$147:$K$157)/4</f>
        <v>0</v>
      </c>
      <c r="T62" s="1504"/>
      <c r="U62" s="252">
        <f>SUM('F) Remuneraciones'!$K$147:$K$157)/4</f>
        <v>0</v>
      </c>
      <c r="V62" s="1504"/>
      <c r="W62" s="252">
        <f>SUM('F) Remuneraciones'!$K$147:$K$157)/4</f>
        <v>0</v>
      </c>
      <c r="X62" s="1504"/>
      <c r="Y62" s="252">
        <f>SUM('F) Remuneraciones'!$K$147:$K$157)/4</f>
        <v>0</v>
      </c>
      <c r="Z62" s="1504"/>
      <c r="AA62" s="253">
        <f>SUM(C62:Y62)</f>
        <v>0</v>
      </c>
    </row>
    <row r="63" spans="2:27" x14ac:dyDescent="0.35">
      <c r="B63" s="251" t="s">
        <v>251</v>
      </c>
      <c r="C63" s="252">
        <f>SUM('F) Remuneraciones'!I132:I153)*0.5</f>
        <v>193238</v>
      </c>
      <c r="D63" s="1507"/>
      <c r="E63" s="254">
        <v>0</v>
      </c>
      <c r="F63" s="1507"/>
      <c r="G63" s="254">
        <v>0</v>
      </c>
      <c r="H63" s="1507"/>
      <c r="I63" s="254">
        <v>0</v>
      </c>
      <c r="J63" s="1507"/>
      <c r="K63" s="254">
        <v>0</v>
      </c>
      <c r="L63" s="1507"/>
      <c r="M63" s="254">
        <v>0</v>
      </c>
      <c r="N63" s="1507"/>
      <c r="O63" s="254">
        <v>0</v>
      </c>
      <c r="P63" s="1504"/>
      <c r="Q63" s="254">
        <v>0</v>
      </c>
      <c r="R63" s="1504"/>
      <c r="S63" s="254">
        <f>SUM('F) Remuneraciones'!J132:J153)*0.5</f>
        <v>87236</v>
      </c>
      <c r="T63" s="1504"/>
      <c r="U63" s="254">
        <v>0</v>
      </c>
      <c r="V63" s="1504"/>
      <c r="W63" s="254">
        <v>0</v>
      </c>
      <c r="X63" s="1504"/>
      <c r="Y63" s="255">
        <f>+C63+S63</f>
        <v>280474</v>
      </c>
      <c r="Z63" s="1504"/>
      <c r="AA63" s="253">
        <f>SUM(C63:Y63)</f>
        <v>560948</v>
      </c>
    </row>
    <row r="64" spans="2:27" x14ac:dyDescent="0.35">
      <c r="B64" s="268" t="s">
        <v>267</v>
      </c>
      <c r="C64" s="257">
        <f>SUM(C61:C63)</f>
        <v>925816</v>
      </c>
      <c r="D64" s="1508"/>
      <c r="E64" s="257">
        <f>SUM(E61:E63)</f>
        <v>732578</v>
      </c>
      <c r="F64" s="1508"/>
      <c r="G64" s="257">
        <f>SUM(G61:G63)</f>
        <v>732578</v>
      </c>
      <c r="H64" s="1508"/>
      <c r="I64" s="257">
        <f>SUM(I61:I63)</f>
        <v>732578</v>
      </c>
      <c r="J64" s="1508"/>
      <c r="K64" s="257">
        <f>SUM(K61:K63)</f>
        <v>732578</v>
      </c>
      <c r="L64" s="1508"/>
      <c r="M64" s="257">
        <f>SUM(M61:M63)</f>
        <v>732578</v>
      </c>
      <c r="N64" s="1508"/>
      <c r="O64" s="257">
        <f>SUM(O61:O63)</f>
        <v>732578</v>
      </c>
      <c r="P64" s="1505"/>
      <c r="Q64" s="257"/>
      <c r="R64" s="1505"/>
      <c r="S64" s="257"/>
      <c r="T64" s="1505"/>
      <c r="U64" s="257"/>
      <c r="V64" s="1505"/>
      <c r="W64" s="257"/>
      <c r="X64" s="1505"/>
      <c r="Y64" s="271"/>
      <c r="Z64" s="1505"/>
      <c r="AA64" s="253"/>
    </row>
    <row r="65" spans="2:27" ht="15" thickBot="1" x14ac:dyDescent="0.4">
      <c r="B65" s="268" t="s">
        <v>252</v>
      </c>
      <c r="C65" s="257">
        <f>(+'C) Estimación Costos Directos'!$H$440-'C) Estimación Costos Directos'!$D$373)*C68</f>
        <v>5852181.1745923683</v>
      </c>
      <c r="D65" s="257">
        <v>0</v>
      </c>
      <c r="E65" s="257">
        <f>(+'C) Estimación Costos Directos'!$H$440-'C) Estimación Costos Directos'!$D$373)*E68</f>
        <v>1236461.5291280381</v>
      </c>
      <c r="F65" s="257">
        <v>0</v>
      </c>
      <c r="G65" s="257">
        <f>(+'C) Estimación Costos Directos'!$H$440-'C) Estimación Costos Directos'!$D$373)*G68</f>
        <v>4907005.1926893545</v>
      </c>
      <c r="H65" s="257">
        <v>0</v>
      </c>
      <c r="I65" s="257">
        <f>(+'C) Estimación Costos Directos'!$H$440-'C) Estimación Costos Directos'!$D$373)*I68</f>
        <v>3535813.0636163848</v>
      </c>
      <c r="J65" s="257">
        <v>0</v>
      </c>
      <c r="K65" s="257">
        <f>(+'C) Estimación Costos Directos'!$H$440-'C) Estimación Costos Directos'!$D$373)*K68</f>
        <v>8728126.162140293</v>
      </c>
      <c r="L65" s="257">
        <v>0</v>
      </c>
      <c r="M65" s="257">
        <f>(+'C) Estimación Costos Directos'!$H$440-'C) Estimación Costos Directos'!$D$373)*M68</f>
        <v>3626387.9231726448</v>
      </c>
      <c r="N65" s="257"/>
      <c r="O65" s="257">
        <f>(+'C) Estimación Costos Directos'!$H$440-'C) Estimación Costos Directos'!$D$373)*O68</f>
        <v>4137352.5551205049</v>
      </c>
      <c r="P65" s="257"/>
      <c r="Q65" s="257">
        <f>(+'C) Estimación Costos Directos'!$H$440-'C) Estimación Costos Directos'!$D$373)*Q68</f>
        <v>2701102.7949920325</v>
      </c>
      <c r="R65" s="257"/>
      <c r="S65" s="257">
        <f>(+'C) Estimación Costos Directos'!$H$440-'C) Estimación Costos Directos'!$D$373)*S68</f>
        <v>2194609.9397409777</v>
      </c>
      <c r="T65" s="257"/>
      <c r="U65" s="257">
        <f>(+'C) Estimación Costos Directos'!$H$440-'C) Estimación Costos Directos'!$D$373)*U68</f>
        <v>1138601.7054857938</v>
      </c>
      <c r="V65" s="257"/>
      <c r="W65" s="257">
        <f>(+'C) Estimación Costos Directos'!$H$440-'C) Estimación Costos Directos'!$D$373)*W68</f>
        <v>1792898.3876369218</v>
      </c>
      <c r="X65" s="257"/>
      <c r="Y65" s="257">
        <f>(+'C) Estimación Costos Directos'!$H$440-'C) Estimación Costos Directos'!$D$373)*Y68</f>
        <v>9546647.6216846816</v>
      </c>
      <c r="Z65" s="271"/>
      <c r="AA65" s="253">
        <f>SUM(C65:Y65)</f>
        <v>49397188.049999997</v>
      </c>
    </row>
    <row r="66" spans="2:27" ht="15" thickBot="1" x14ac:dyDescent="0.4">
      <c r="B66" s="258" t="s">
        <v>253</v>
      </c>
      <c r="C66" s="259">
        <f>+C60-C61-C62-C63-C65</f>
        <v>4692735.6254076306</v>
      </c>
      <c r="D66" s="259">
        <f>+D60-D61-D65</f>
        <v>0</v>
      </c>
      <c r="E66" s="260">
        <f>+E60-E61-E62-E63-E65</f>
        <v>8545798.870871963</v>
      </c>
      <c r="F66" s="260">
        <f>+F60-F61-F65</f>
        <v>0</v>
      </c>
      <c r="G66" s="260">
        <f>+G60-G61-G62-G63-G65</f>
        <v>2963466.4073106451</v>
      </c>
      <c r="H66" s="260">
        <f>+H60-H61-H65</f>
        <v>0</v>
      </c>
      <c r="I66" s="260">
        <f>+I60-I61-I62-I63-I65</f>
        <v>2422869.736383616</v>
      </c>
      <c r="J66" s="260">
        <f>+J60-J61-J65</f>
        <v>0</v>
      </c>
      <c r="K66" s="260">
        <f>+K60-K61-K62-K63-K65</f>
        <v>-1813548.9621402929</v>
      </c>
      <c r="L66" s="260">
        <f>+L60-L61-L65</f>
        <v>0</v>
      </c>
      <c r="M66" s="260">
        <f>+M60-M61-M62-M63-M65</f>
        <v>4244083.6768273544</v>
      </c>
      <c r="N66" s="260"/>
      <c r="O66" s="260">
        <f>+O60-O61-O62-O63-O65</f>
        <v>5644907.844879495</v>
      </c>
      <c r="P66" s="260"/>
      <c r="Q66" s="260">
        <f>+Q60-Q61-Q62-Q63-Q65</f>
        <v>3257580.0050079683</v>
      </c>
      <c r="R66" s="260"/>
      <c r="S66" s="260">
        <f>+S60-S61-S62-S63-S65</f>
        <v>4632731.2602590229</v>
      </c>
      <c r="T66" s="260"/>
      <c r="U66" s="260">
        <f>+U60-U61-U62-U63-U65</f>
        <v>2908292.2945142062</v>
      </c>
      <c r="V66" s="260"/>
      <c r="W66" s="260">
        <f>+W60-W61-W62-W63-W65</f>
        <v>5121678.8123630788</v>
      </c>
      <c r="X66" s="261"/>
      <c r="Y66" s="261">
        <f>+Y60-Y61-Y62-Y63-Y65</f>
        <v>-5780227.6216846816</v>
      </c>
      <c r="Z66" s="272"/>
      <c r="AA66" s="262">
        <f>+AA60-AA61-AA62-AA63-AA65</f>
        <v>36840367.950000003</v>
      </c>
    </row>
    <row r="67" spans="2:27" x14ac:dyDescent="0.35">
      <c r="B67" s="263" t="s">
        <v>254</v>
      </c>
      <c r="C67" s="264">
        <v>0.12177538630517323</v>
      </c>
      <c r="D67" s="264"/>
      <c r="E67" s="264">
        <v>0.1098119487245989</v>
      </c>
      <c r="F67" s="264"/>
      <c r="G67" s="264">
        <v>8.9497535713706305E-2</v>
      </c>
      <c r="H67" s="264"/>
      <c r="I67" s="264">
        <v>6.5850661517051462E-2</v>
      </c>
      <c r="J67" s="264"/>
      <c r="K67" s="264">
        <v>7.7063669499588414E-2</v>
      </c>
      <c r="L67" s="264"/>
      <c r="M67" s="264">
        <v>9.5463138678048273E-2</v>
      </c>
      <c r="N67" s="264"/>
      <c r="O67" s="264">
        <v>0.11515142882836088</v>
      </c>
      <c r="P67" s="264"/>
      <c r="Q67" s="264">
        <v>7.1126261556447745E-2</v>
      </c>
      <c r="R67" s="264"/>
      <c r="S67" s="264">
        <v>7.6611444075160101E-2</v>
      </c>
      <c r="T67" s="264"/>
      <c r="U67" s="264">
        <v>5.2552572625317318E-2</v>
      </c>
      <c r="V67" s="264"/>
      <c r="W67" s="264">
        <v>7.8286645811150732E-2</v>
      </c>
      <c r="X67" s="264"/>
      <c r="Y67" s="264">
        <v>4.6809306665396636E-2</v>
      </c>
      <c r="Z67" s="264"/>
      <c r="AA67" s="265"/>
    </row>
    <row r="68" spans="2:27" x14ac:dyDescent="0.35">
      <c r="B68" s="266" t="s">
        <v>255</v>
      </c>
      <c r="C68" s="267">
        <v>0.1184719496313995</v>
      </c>
      <c r="D68" s="267"/>
      <c r="E68" s="267">
        <v>2.5031010426676263E-2</v>
      </c>
      <c r="F68" s="267"/>
      <c r="G68" s="267">
        <v>9.9337743430303521E-2</v>
      </c>
      <c r="H68" s="267"/>
      <c r="I68" s="267">
        <v>7.157923766910422E-2</v>
      </c>
      <c r="J68" s="267"/>
      <c r="K68" s="267">
        <v>0.17669277355030119</v>
      </c>
      <c r="L68" s="267"/>
      <c r="M68" s="267">
        <v>7.3412841222905298E-2</v>
      </c>
      <c r="N68" s="267"/>
      <c r="O68" s="267">
        <v>8.3756843627063607E-2</v>
      </c>
      <c r="P68" s="267"/>
      <c r="Q68" s="267">
        <v>5.4681306803495922E-2</v>
      </c>
      <c r="R68" s="267"/>
      <c r="S68" s="267">
        <v>4.4427831347800331E-2</v>
      </c>
      <c r="T68" s="267"/>
      <c r="U68" s="267">
        <v>2.3049929569539412E-2</v>
      </c>
      <c r="V68" s="267"/>
      <c r="W68" s="267">
        <v>3.6295555646247396E-2</v>
      </c>
      <c r="X68" s="267"/>
      <c r="Y68" s="267">
        <v>0.19326297707516335</v>
      </c>
      <c r="Z68" s="267"/>
      <c r="AA68" s="206"/>
    </row>
    <row r="69" spans="2:27" ht="15" thickBot="1" x14ac:dyDescent="0.4"/>
    <row r="70" spans="2:27" ht="29.5" thickBot="1" x14ac:dyDescent="0.4">
      <c r="B70" s="249" t="s">
        <v>261</v>
      </c>
      <c r="C70" s="283" t="s">
        <v>235</v>
      </c>
      <c r="D70" s="284" t="s">
        <v>268</v>
      </c>
      <c r="E70" s="285" t="s">
        <v>236</v>
      </c>
      <c r="F70" s="284" t="s">
        <v>269</v>
      </c>
      <c r="G70" s="285" t="s">
        <v>237</v>
      </c>
      <c r="H70" s="284" t="s">
        <v>270</v>
      </c>
      <c r="I70" s="285" t="s">
        <v>238</v>
      </c>
      <c r="J70" s="284" t="s">
        <v>271</v>
      </c>
      <c r="K70" s="285" t="s">
        <v>239</v>
      </c>
      <c r="L70" s="284" t="s">
        <v>272</v>
      </c>
      <c r="M70" s="285" t="s">
        <v>240</v>
      </c>
      <c r="N70" s="284" t="s">
        <v>273</v>
      </c>
      <c r="O70" s="285" t="s">
        <v>241</v>
      </c>
      <c r="P70" s="284" t="s">
        <v>274</v>
      </c>
      <c r="Q70" s="285" t="s">
        <v>242</v>
      </c>
      <c r="R70" s="284" t="s">
        <v>275</v>
      </c>
      <c r="S70" s="285" t="s">
        <v>243</v>
      </c>
      <c r="T70" s="284" t="s">
        <v>276</v>
      </c>
      <c r="U70" s="285" t="s">
        <v>244</v>
      </c>
      <c r="V70" s="284" t="s">
        <v>277</v>
      </c>
      <c r="W70" s="285" t="s">
        <v>245</v>
      </c>
      <c r="X70" s="284" t="s">
        <v>278</v>
      </c>
      <c r="Y70" s="285" t="s">
        <v>246</v>
      </c>
      <c r="Z70" s="286" t="s">
        <v>279</v>
      </c>
      <c r="AA70" s="250" t="s">
        <v>247</v>
      </c>
    </row>
    <row r="71" spans="2:27" x14ac:dyDescent="0.35">
      <c r="B71" s="251" t="s">
        <v>248</v>
      </c>
      <c r="C71" s="252">
        <f>+'A) Resumen Ingresos y Egresos'!$D$15*'J) ESTRUCTURA ECONÓMICA MENS'!C82</f>
        <v>2312756.25</v>
      </c>
      <c r="D71" s="252">
        <v>0</v>
      </c>
      <c r="E71" s="252">
        <f>+'A) Resumen Ingresos y Egresos'!$D$15*'J) ESTRUCTURA ECONÓMICA MENS'!D82</f>
        <v>2312756.25</v>
      </c>
      <c r="F71" s="252">
        <v>0</v>
      </c>
      <c r="G71" s="252">
        <f>+'A) Resumen Ingresos y Egresos'!$D$15*'J) ESTRUCTURA ECONÓMICA MENS'!E82</f>
        <v>991181.25</v>
      </c>
      <c r="H71" s="252">
        <v>0</v>
      </c>
      <c r="I71" s="252">
        <f>+'A) Resumen Ingresos y Egresos'!$D$15*'J) ESTRUCTURA ECONÓMICA MENS'!F82</f>
        <v>0</v>
      </c>
      <c r="J71" s="252">
        <v>0</v>
      </c>
      <c r="K71" s="252">
        <f>+'A) Resumen Ingresos y Egresos'!$D$15*'J) ESTRUCTURA ECONÓMICA MENS'!G82</f>
        <v>0</v>
      </c>
      <c r="L71" s="252">
        <v>0</v>
      </c>
      <c r="M71" s="252">
        <f>+'A) Resumen Ingresos y Egresos'!$D$15*'J) ESTRUCTURA ECONÓMICA MENS'!H82</f>
        <v>0</v>
      </c>
      <c r="N71" s="252"/>
      <c r="O71" s="252">
        <f>+'A) Resumen Ingresos y Egresos'!$D$15*'J) ESTRUCTURA ECONÓMICA MENS'!I82</f>
        <v>0</v>
      </c>
      <c r="P71" s="252"/>
      <c r="Q71" s="252">
        <f>+'A) Resumen Ingresos y Egresos'!$D$15*'J) ESTRUCTURA ECONÓMICA MENS'!J82</f>
        <v>0</v>
      </c>
      <c r="R71" s="252"/>
      <c r="S71" s="252">
        <f>+'A) Resumen Ingresos y Egresos'!$D$15*'J) ESTRUCTURA ECONÓMICA MENS'!K82</f>
        <v>0</v>
      </c>
      <c r="T71" s="252"/>
      <c r="U71" s="252">
        <f>+'A) Resumen Ingresos y Egresos'!$D$15*'J) ESTRUCTURA ECONÓMICA MENS'!L82</f>
        <v>0</v>
      </c>
      <c r="V71" s="252"/>
      <c r="W71" s="252">
        <f>+'A) Resumen Ingresos y Egresos'!$D$15*'J) ESTRUCTURA ECONÓMICA MENS'!M82</f>
        <v>0</v>
      </c>
      <c r="X71" s="252"/>
      <c r="Y71" s="252">
        <f>+'A) Resumen Ingresos y Egresos'!$D$15*'J) ESTRUCTURA ECONÓMICA MENS'!N82</f>
        <v>991181.25</v>
      </c>
      <c r="Z71" s="270"/>
      <c r="AA71" s="253">
        <f>SUM(C71:Y71)</f>
        <v>6607875</v>
      </c>
    </row>
    <row r="72" spans="2:27" x14ac:dyDescent="0.35">
      <c r="B72" s="251" t="s">
        <v>249</v>
      </c>
      <c r="C72" s="252">
        <f>SUM('F) Remuneraciones'!$K$158:$K$168)/12</f>
        <v>0</v>
      </c>
      <c r="D72" s="1506">
        <v>0</v>
      </c>
      <c r="E72" s="252">
        <f>SUM('F) Remuneraciones'!$K$158:$K$168)/12</f>
        <v>0</v>
      </c>
      <c r="F72" s="1506">
        <v>0</v>
      </c>
      <c r="G72" s="252">
        <f>SUM('F) Remuneraciones'!$K$158:$K$168)/12</f>
        <v>0</v>
      </c>
      <c r="H72" s="1506">
        <v>0</v>
      </c>
      <c r="I72" s="252">
        <f>SUM('F) Remuneraciones'!$K$158:$K$168)/12</f>
        <v>0</v>
      </c>
      <c r="J72" s="1506">
        <v>0</v>
      </c>
      <c r="K72" s="252">
        <f>SUM('F) Remuneraciones'!$K$158:$K$168)/12</f>
        <v>0</v>
      </c>
      <c r="L72" s="1506">
        <v>0</v>
      </c>
      <c r="M72" s="252">
        <f>SUM('F) Remuneraciones'!$K$158:$K$168)/12</f>
        <v>0</v>
      </c>
      <c r="N72" s="1506"/>
      <c r="O72" s="252">
        <f>SUM('F) Remuneraciones'!$K$158:$K$168)/12</f>
        <v>0</v>
      </c>
      <c r="P72" s="1503"/>
      <c r="Q72" s="252">
        <f>SUM('F) Remuneraciones'!$K$158:$K$168)/12</f>
        <v>0</v>
      </c>
      <c r="R72" s="1503"/>
      <c r="S72" s="252">
        <f>SUM('F) Remuneraciones'!$K$158:$K$168)/12</f>
        <v>0</v>
      </c>
      <c r="T72" s="1503"/>
      <c r="U72" s="252">
        <f>SUM('F) Remuneraciones'!$K$158:$K$168)/12</f>
        <v>0</v>
      </c>
      <c r="V72" s="1503"/>
      <c r="W72" s="252">
        <f>SUM('F) Remuneraciones'!$K$158:$K$168)/12</f>
        <v>0</v>
      </c>
      <c r="X72" s="1503"/>
      <c r="Y72" s="252">
        <f>SUM('F) Remuneraciones'!$K$158:$K$168)/12</f>
        <v>0</v>
      </c>
      <c r="Z72" s="1503"/>
      <c r="AA72" s="253">
        <f>SUM(C72:Y72)</f>
        <v>0</v>
      </c>
    </row>
    <row r="73" spans="2:27" x14ac:dyDescent="0.35">
      <c r="B73" s="251" t="s">
        <v>250</v>
      </c>
      <c r="C73" s="252">
        <f>SUM('F) Remuneraciones'!$K$169:$K$179)/4</f>
        <v>5214375</v>
      </c>
      <c r="D73" s="1507"/>
      <c r="E73" s="252">
        <f>SUM('F) Remuneraciones'!$K$169:$K$179)/4</f>
        <v>5214375</v>
      </c>
      <c r="F73" s="1507"/>
      <c r="G73" s="252">
        <f>SUM('F) Remuneraciones'!$K$169:$K$179)/4</f>
        <v>5214375</v>
      </c>
      <c r="H73" s="1507"/>
      <c r="I73" s="252">
        <v>0</v>
      </c>
      <c r="J73" s="1507"/>
      <c r="K73" s="252">
        <v>0</v>
      </c>
      <c r="L73" s="1507"/>
      <c r="M73" s="252">
        <v>0</v>
      </c>
      <c r="N73" s="1507"/>
      <c r="O73" s="252">
        <v>0</v>
      </c>
      <c r="P73" s="1504"/>
      <c r="Q73" s="252">
        <v>0</v>
      </c>
      <c r="R73" s="1504"/>
      <c r="S73" s="252">
        <v>0</v>
      </c>
      <c r="T73" s="1504"/>
      <c r="U73" s="252">
        <v>0</v>
      </c>
      <c r="V73" s="1504"/>
      <c r="W73" s="252">
        <v>0</v>
      </c>
      <c r="X73" s="1504"/>
      <c r="Y73" s="252">
        <f>SUM('F) Remuneraciones'!$K$169:$K$179)/4</f>
        <v>5214375</v>
      </c>
      <c r="Z73" s="1504"/>
      <c r="AA73" s="253">
        <f>SUM(C73:Y73)</f>
        <v>20857500</v>
      </c>
    </row>
    <row r="74" spans="2:27" x14ac:dyDescent="0.35">
      <c r="B74" s="251" t="s">
        <v>251</v>
      </c>
      <c r="C74" s="252">
        <f>SUM('F) Remuneraciones'!I154:I175)*0.5</f>
        <v>0</v>
      </c>
      <c r="D74" s="1507"/>
      <c r="E74" s="254">
        <v>0</v>
      </c>
      <c r="F74" s="1507"/>
      <c r="G74" s="254">
        <v>0</v>
      </c>
      <c r="H74" s="1507"/>
      <c r="I74" s="254">
        <v>0</v>
      </c>
      <c r="J74" s="1507"/>
      <c r="K74" s="254">
        <v>0</v>
      </c>
      <c r="L74" s="1507"/>
      <c r="M74" s="254">
        <v>0</v>
      </c>
      <c r="N74" s="1507"/>
      <c r="O74" s="254">
        <v>0</v>
      </c>
      <c r="P74" s="1504"/>
      <c r="Q74" s="254">
        <v>0</v>
      </c>
      <c r="R74" s="1504"/>
      <c r="S74" s="254">
        <f>SUM('F) Remuneraciones'!J154:J175)*0.5</f>
        <v>0</v>
      </c>
      <c r="T74" s="1504"/>
      <c r="U74" s="254">
        <v>0</v>
      </c>
      <c r="V74" s="1504"/>
      <c r="W74" s="254">
        <v>0</v>
      </c>
      <c r="X74" s="1504"/>
      <c r="Y74" s="255">
        <f>+C74+S74</f>
        <v>0</v>
      </c>
      <c r="Z74" s="1504"/>
      <c r="AA74" s="253">
        <f>SUM(C74:Y74)</f>
        <v>0</v>
      </c>
    </row>
    <row r="75" spans="2:27" x14ac:dyDescent="0.35">
      <c r="B75" s="268" t="s">
        <v>267</v>
      </c>
      <c r="C75" s="257">
        <f>SUM(C72:C74)</f>
        <v>5214375</v>
      </c>
      <c r="D75" s="1508"/>
      <c r="E75" s="257">
        <f>SUM(E72:E74)</f>
        <v>5214375</v>
      </c>
      <c r="F75" s="1508"/>
      <c r="G75" s="257">
        <f>SUM(G72:G74)</f>
        <v>5214375</v>
      </c>
      <c r="H75" s="1508"/>
      <c r="I75" s="257">
        <f>SUM(I72:I74)</f>
        <v>0</v>
      </c>
      <c r="J75" s="1508"/>
      <c r="K75" s="257">
        <f>SUM(K72:K74)</f>
        <v>0</v>
      </c>
      <c r="L75" s="1508"/>
      <c r="M75" s="257">
        <f>SUM(M72:M74)</f>
        <v>0</v>
      </c>
      <c r="N75" s="1508"/>
      <c r="O75" s="257"/>
      <c r="P75" s="1505"/>
      <c r="Q75" s="257"/>
      <c r="R75" s="1505"/>
      <c r="S75" s="257"/>
      <c r="T75" s="1505"/>
      <c r="U75" s="257"/>
      <c r="V75" s="1505"/>
      <c r="W75" s="257"/>
      <c r="X75" s="1505"/>
      <c r="Y75" s="271"/>
      <c r="Z75" s="1505"/>
      <c r="AA75" s="269"/>
    </row>
    <row r="76" spans="2:27" ht="15" thickBot="1" x14ac:dyDescent="0.4">
      <c r="B76" s="268" t="s">
        <v>252</v>
      </c>
      <c r="C76" s="257">
        <f>(+'C) Estimación Costos Directos'!$H$512-'C) Estimación Costos Directos'!$D$445)*C79</f>
        <v>16243152.887250001</v>
      </c>
      <c r="D76" s="257">
        <v>0</v>
      </c>
      <c r="E76" s="257">
        <f>(+'C) Estimación Costos Directos'!$H$512-'C) Estimación Costos Directos'!$D$445)*E79</f>
        <v>16243152.887250001</v>
      </c>
      <c r="F76" s="257">
        <v>0</v>
      </c>
      <c r="G76" s="257">
        <f>(+'C) Estimación Costos Directos'!$H$512-'C) Estimación Costos Directos'!$D$445)*G79</f>
        <v>6961351.2373928577</v>
      </c>
      <c r="H76" s="257">
        <v>0</v>
      </c>
      <c r="I76" s="257">
        <f>(+'C) Estimación Costos Directos'!$H$512-'C) Estimación Costos Directos'!$D$445)*I79</f>
        <v>0</v>
      </c>
      <c r="J76" s="257">
        <v>0</v>
      </c>
      <c r="K76" s="257">
        <f>(+'C) Estimación Costos Directos'!$H$512-'C) Estimación Costos Directos'!$D$445)*K79</f>
        <v>0</v>
      </c>
      <c r="L76" s="257">
        <v>0</v>
      </c>
      <c r="M76" s="257">
        <f>(+'C) Estimación Costos Directos'!$H$512-'C) Estimación Costos Directos'!$D$445)*M79</f>
        <v>0</v>
      </c>
      <c r="N76" s="257"/>
      <c r="O76" s="257">
        <f>(+'C) Estimación Costos Directos'!$H$512-'C) Estimación Costos Directos'!$D$445)*O79</f>
        <v>0</v>
      </c>
      <c r="P76" s="257"/>
      <c r="Q76" s="257">
        <f>(+'C) Estimación Costos Directos'!$H$512-'C) Estimación Costos Directos'!$D$445)*Q79</f>
        <v>0</v>
      </c>
      <c r="R76" s="257"/>
      <c r="S76" s="257">
        <f>(+'C) Estimación Costos Directos'!$H$512-'C) Estimación Costos Directos'!$D$445)*S79</f>
        <v>0</v>
      </c>
      <c r="T76" s="257"/>
      <c r="U76" s="257">
        <f>(+'C) Estimación Costos Directos'!$H$512-'C) Estimación Costos Directos'!$D$445)*U79</f>
        <v>0</v>
      </c>
      <c r="V76" s="257"/>
      <c r="W76" s="257">
        <f>(+'C) Estimación Costos Directos'!$H$512-'C) Estimación Costos Directos'!$D$445)*W79</f>
        <v>0</v>
      </c>
      <c r="X76" s="257"/>
      <c r="Y76" s="257">
        <f>(+'C) Estimación Costos Directos'!$H$512-'C) Estimación Costos Directos'!$D$445)*Y79</f>
        <v>6961351.2373928577</v>
      </c>
      <c r="Z76" s="271"/>
      <c r="AA76" s="269">
        <f>SUM(C76:Y76)</f>
        <v>46409008.249285713</v>
      </c>
    </row>
    <row r="77" spans="2:27" ht="15" thickBot="1" x14ac:dyDescent="0.4">
      <c r="B77" s="258" t="s">
        <v>253</v>
      </c>
      <c r="C77" s="259">
        <f>+C71-C72-C73-C74-C76</f>
        <v>-19144771.637249999</v>
      </c>
      <c r="D77" s="259">
        <f>+D71-D72-D76</f>
        <v>0</v>
      </c>
      <c r="E77" s="260">
        <f t="shared" ref="E77:AA77" si="5">+E71-E72-E73-E74-E76</f>
        <v>-19144771.637249999</v>
      </c>
      <c r="F77" s="260">
        <f>+F71-F72-F76</f>
        <v>0</v>
      </c>
      <c r="G77" s="260">
        <f t="shared" si="5"/>
        <v>-11184544.987392858</v>
      </c>
      <c r="H77" s="260">
        <f>+H71-H72-H76</f>
        <v>0</v>
      </c>
      <c r="I77" s="260">
        <f t="shared" si="5"/>
        <v>0</v>
      </c>
      <c r="J77" s="260">
        <f>+J71-J72-J76</f>
        <v>0</v>
      </c>
      <c r="K77" s="260">
        <f t="shared" si="5"/>
        <v>0</v>
      </c>
      <c r="L77" s="260">
        <f>+L71-L72-L76</f>
        <v>0</v>
      </c>
      <c r="M77" s="260">
        <f t="shared" si="5"/>
        <v>0</v>
      </c>
      <c r="N77" s="260"/>
      <c r="O77" s="260">
        <f t="shared" si="5"/>
        <v>0</v>
      </c>
      <c r="P77" s="260"/>
      <c r="Q77" s="260">
        <f t="shared" si="5"/>
        <v>0</v>
      </c>
      <c r="R77" s="260"/>
      <c r="S77" s="260">
        <f t="shared" si="5"/>
        <v>0</v>
      </c>
      <c r="T77" s="260"/>
      <c r="U77" s="260">
        <f t="shared" si="5"/>
        <v>0</v>
      </c>
      <c r="V77" s="260"/>
      <c r="W77" s="260">
        <f t="shared" si="5"/>
        <v>0</v>
      </c>
      <c r="X77" s="261"/>
      <c r="Y77" s="261">
        <f t="shared" si="5"/>
        <v>-11184544.987392858</v>
      </c>
      <c r="Z77" s="272"/>
      <c r="AA77" s="262">
        <f t="shared" si="5"/>
        <v>-60658633.249285713</v>
      </c>
    </row>
    <row r="78" spans="2:27" x14ac:dyDescent="0.35">
      <c r="B78" s="263" t="s">
        <v>254</v>
      </c>
      <c r="C78" s="267">
        <v>0.35</v>
      </c>
      <c r="D78" s="267"/>
      <c r="E78" s="267">
        <v>0.35</v>
      </c>
      <c r="F78" s="267"/>
      <c r="G78" s="267">
        <v>0.15</v>
      </c>
      <c r="H78" s="267"/>
      <c r="I78" s="267">
        <v>0</v>
      </c>
      <c r="J78" s="267"/>
      <c r="K78" s="267">
        <v>0</v>
      </c>
      <c r="L78" s="267"/>
      <c r="M78" s="267">
        <v>0</v>
      </c>
      <c r="N78" s="267"/>
      <c r="O78" s="267">
        <v>0</v>
      </c>
      <c r="P78" s="267"/>
      <c r="Q78" s="267">
        <v>0</v>
      </c>
      <c r="R78" s="267"/>
      <c r="S78" s="267">
        <v>0</v>
      </c>
      <c r="T78" s="267"/>
      <c r="U78" s="267">
        <v>0</v>
      </c>
      <c r="V78" s="267"/>
      <c r="W78" s="267">
        <v>0</v>
      </c>
      <c r="X78" s="267"/>
      <c r="Y78" s="267">
        <v>0.15</v>
      </c>
      <c r="Z78" s="267"/>
      <c r="AA78" s="265"/>
    </row>
    <row r="79" spans="2:27" x14ac:dyDescent="0.35">
      <c r="B79" s="266" t="s">
        <v>255</v>
      </c>
      <c r="C79" s="267">
        <v>0.35</v>
      </c>
      <c r="D79" s="267"/>
      <c r="E79" s="267">
        <v>0.35</v>
      </c>
      <c r="F79" s="267"/>
      <c r="G79" s="267">
        <v>0.15</v>
      </c>
      <c r="H79" s="267"/>
      <c r="I79" s="267">
        <v>0</v>
      </c>
      <c r="J79" s="267"/>
      <c r="K79" s="267">
        <v>0</v>
      </c>
      <c r="L79" s="267"/>
      <c r="M79" s="267">
        <v>0</v>
      </c>
      <c r="N79" s="267"/>
      <c r="O79" s="267">
        <v>0</v>
      </c>
      <c r="P79" s="267"/>
      <c r="Q79" s="267">
        <v>0</v>
      </c>
      <c r="R79" s="267"/>
      <c r="S79" s="267">
        <v>0</v>
      </c>
      <c r="T79" s="267"/>
      <c r="U79" s="267">
        <v>0</v>
      </c>
      <c r="V79" s="267"/>
      <c r="W79" s="267">
        <v>0</v>
      </c>
      <c r="X79" s="267"/>
      <c r="Y79" s="267">
        <v>0.15</v>
      </c>
      <c r="Z79" s="267"/>
      <c r="AA79" s="206"/>
    </row>
    <row r="80" spans="2:27" ht="15" thickBot="1" x14ac:dyDescent="0.4"/>
    <row r="81" spans="2:27" ht="29.5" thickBot="1" x14ac:dyDescent="0.4">
      <c r="B81" s="249" t="s">
        <v>262</v>
      </c>
      <c r="C81" s="283" t="s">
        <v>235</v>
      </c>
      <c r="D81" s="284" t="s">
        <v>268</v>
      </c>
      <c r="E81" s="285" t="s">
        <v>236</v>
      </c>
      <c r="F81" s="284" t="s">
        <v>269</v>
      </c>
      <c r="G81" s="285" t="s">
        <v>237</v>
      </c>
      <c r="H81" s="284" t="s">
        <v>270</v>
      </c>
      <c r="I81" s="285" t="s">
        <v>238</v>
      </c>
      <c r="J81" s="284" t="s">
        <v>271</v>
      </c>
      <c r="K81" s="285" t="s">
        <v>239</v>
      </c>
      <c r="L81" s="284" t="s">
        <v>272</v>
      </c>
      <c r="M81" s="285" t="s">
        <v>240</v>
      </c>
      <c r="N81" s="284" t="s">
        <v>273</v>
      </c>
      <c r="O81" s="285" t="s">
        <v>241</v>
      </c>
      <c r="P81" s="284" t="s">
        <v>274</v>
      </c>
      <c r="Q81" s="285" t="s">
        <v>242</v>
      </c>
      <c r="R81" s="284" t="s">
        <v>275</v>
      </c>
      <c r="S81" s="285" t="s">
        <v>243</v>
      </c>
      <c r="T81" s="284" t="s">
        <v>276</v>
      </c>
      <c r="U81" s="285" t="s">
        <v>244</v>
      </c>
      <c r="V81" s="284" t="s">
        <v>277</v>
      </c>
      <c r="W81" s="285" t="s">
        <v>245</v>
      </c>
      <c r="X81" s="284" t="s">
        <v>278</v>
      </c>
      <c r="Y81" s="285" t="s">
        <v>246</v>
      </c>
      <c r="Z81" s="286" t="s">
        <v>279</v>
      </c>
      <c r="AA81" s="250" t="s">
        <v>247</v>
      </c>
    </row>
    <row r="82" spans="2:27" x14ac:dyDescent="0.35">
      <c r="B82" s="251" t="s">
        <v>248</v>
      </c>
      <c r="C82" s="252">
        <f>+'A) Resumen Ingresos y Egresos'!$D$16*'J) ESTRUCTURA ECONÓMICA MENS'!C93</f>
        <v>1843689.7793455536</v>
      </c>
      <c r="D82" s="252"/>
      <c r="E82" s="252">
        <f>+'A) Resumen Ingresos y Egresos'!$D$16*'J) ESTRUCTURA ECONÓMICA MENS'!D93</f>
        <v>1659619.3387302698</v>
      </c>
      <c r="F82" s="252"/>
      <c r="G82" s="252">
        <f>+'A) Resumen Ingresos y Egresos'!$D$16*'J) ESTRUCTURA ECONÓMICA MENS'!E93</f>
        <v>1106919.443717648</v>
      </c>
      <c r="H82" s="252"/>
      <c r="I82" s="252">
        <f>+'A) Resumen Ingresos y Egresos'!$D$16*'J) ESTRUCTURA ECONÓMICA MENS'!F93</f>
        <v>1137108.5729231946</v>
      </c>
      <c r="J82" s="252"/>
      <c r="K82" s="252">
        <f>+'A) Resumen Ingresos y Egresos'!$D$16*'J) ESTRUCTURA ECONÓMICA MENS'!G93</f>
        <v>1318907.8466225171</v>
      </c>
      <c r="L82" s="252"/>
      <c r="M82" s="252">
        <f>+'A) Resumen Ingresos y Egresos'!$D$16*'J) ESTRUCTURA ECONÓMICA MENS'!H93</f>
        <v>928065.90566708962</v>
      </c>
      <c r="N82" s="252"/>
      <c r="O82" s="252">
        <f>+'A) Resumen Ingresos y Egresos'!$D$16*'J) ESTRUCTURA ECONÓMICA MENS'!I93</f>
        <v>1334691.5374939796</v>
      </c>
      <c r="P82" s="252"/>
      <c r="Q82" s="252">
        <f>+'A) Resumen Ingresos y Egresos'!$D$16*'J) ESTRUCTURA ECONÓMICA MENS'!J93</f>
        <v>1108710.3336969689</v>
      </c>
      <c r="R82" s="252"/>
      <c r="S82" s="252">
        <f>+'A) Resumen Ingresos y Egresos'!$D$16*'J) ESTRUCTURA ECONÓMICA MENS'!K93</f>
        <v>1140873.5656453101</v>
      </c>
      <c r="T82" s="252"/>
      <c r="U82" s="252">
        <f>+'A) Resumen Ingresos y Egresos'!$D$16*'J) ESTRUCTURA ECONÓMICA MENS'!L93</f>
        <v>817829.59999380936</v>
      </c>
      <c r="V82" s="252"/>
      <c r="W82" s="252">
        <f>+'A) Resumen Ingresos y Egresos'!$D$16*'J) ESTRUCTURA ECONÓMICA MENS'!M93</f>
        <v>1042608.8244030348</v>
      </c>
      <c r="X82" s="252"/>
      <c r="Y82" s="252">
        <f>+'A) Resumen Ingresos y Egresos'!$D$16*'J) ESTRUCTURA ECONÓMICA MENS'!N93</f>
        <v>642075.25176062458</v>
      </c>
      <c r="Z82" s="270"/>
      <c r="AA82" s="253">
        <f>SUM(C82:Y82)</f>
        <v>14081100.000000002</v>
      </c>
    </row>
    <row r="83" spans="2:27" x14ac:dyDescent="0.35">
      <c r="B83" s="251" t="s">
        <v>249</v>
      </c>
      <c r="C83" s="252">
        <f>SUM('F) Remuneraciones'!$K$180:$K$190)/12</f>
        <v>2693768.3684375002</v>
      </c>
      <c r="D83" s="1506"/>
      <c r="E83" s="252">
        <f>SUM('F) Remuneraciones'!$K$180:$K$190)/12</f>
        <v>2693768.3684375002</v>
      </c>
      <c r="F83" s="1506"/>
      <c r="G83" s="252">
        <f>SUM('F) Remuneraciones'!$K$180:$K$190)/12</f>
        <v>2693768.3684375002</v>
      </c>
      <c r="H83" s="1506"/>
      <c r="I83" s="252">
        <f>SUM('F) Remuneraciones'!$K$180:$K$190)/12</f>
        <v>2693768.3684375002</v>
      </c>
      <c r="J83" s="1506"/>
      <c r="K83" s="252">
        <f>SUM('F) Remuneraciones'!$K$180:$K$190)/12</f>
        <v>2693768.3684375002</v>
      </c>
      <c r="L83" s="1506"/>
      <c r="M83" s="252">
        <f>SUM('F) Remuneraciones'!$K$180:$K$190)/12</f>
        <v>2693768.3684375002</v>
      </c>
      <c r="N83" s="1506"/>
      <c r="O83" s="252">
        <f>SUM('F) Remuneraciones'!$K$180:$K$190)/12</f>
        <v>2693768.3684375002</v>
      </c>
      <c r="P83" s="1506"/>
      <c r="Q83" s="252">
        <f>SUM('F) Remuneraciones'!$K$180:$K$190)/12</f>
        <v>2693768.3684375002</v>
      </c>
      <c r="R83" s="1503"/>
      <c r="S83" s="252">
        <f>SUM('F) Remuneraciones'!$K$180:$K$190)/12</f>
        <v>2693768.3684375002</v>
      </c>
      <c r="T83" s="1503"/>
      <c r="U83" s="252">
        <f>SUM('F) Remuneraciones'!$K$180:$K$190)/12</f>
        <v>2693768.3684375002</v>
      </c>
      <c r="V83" s="1503"/>
      <c r="W83" s="252">
        <f>SUM('F) Remuneraciones'!$K$180:$K$190)/12</f>
        <v>2693768.3684375002</v>
      </c>
      <c r="X83" s="1503"/>
      <c r="Y83" s="252">
        <f>SUM('F) Remuneraciones'!$K$180:$K$190)/12</f>
        <v>2693768.3684375002</v>
      </c>
      <c r="Z83" s="1503"/>
      <c r="AA83" s="253">
        <f>SUM(C83:Y83)</f>
        <v>32325220.421249997</v>
      </c>
    </row>
    <row r="84" spans="2:27" x14ac:dyDescent="0.35">
      <c r="B84" s="251" t="s">
        <v>250</v>
      </c>
      <c r="C84" s="252">
        <f>SUM('F) Remuneraciones'!$K$191:$K$201)/4</f>
        <v>0</v>
      </c>
      <c r="D84" s="1507"/>
      <c r="E84" s="252">
        <f>SUM('F) Remuneraciones'!$K$191:$K$201)/4</f>
        <v>0</v>
      </c>
      <c r="F84" s="1507"/>
      <c r="G84" s="252">
        <f>SUM('F) Remuneraciones'!$K$191:$K$201)/4</f>
        <v>0</v>
      </c>
      <c r="H84" s="1507"/>
      <c r="I84" s="252">
        <f>SUM('F) Remuneraciones'!$K$191:$K$201)/4</f>
        <v>0</v>
      </c>
      <c r="J84" s="1507"/>
      <c r="K84" s="252">
        <f>SUM('F) Remuneraciones'!$K$191:$K$201)/4</f>
        <v>0</v>
      </c>
      <c r="L84" s="1507"/>
      <c r="M84" s="252">
        <f>SUM('F) Remuneraciones'!$K$191:$K$201)/4</f>
        <v>0</v>
      </c>
      <c r="N84" s="1507"/>
      <c r="O84" s="252">
        <f>SUM('F) Remuneraciones'!$K$191:$K$201)/4</f>
        <v>0</v>
      </c>
      <c r="P84" s="1507"/>
      <c r="Q84" s="252">
        <f>SUM('F) Remuneraciones'!$K$191:$K$201)/4</f>
        <v>0</v>
      </c>
      <c r="R84" s="1504"/>
      <c r="S84" s="252">
        <f>SUM('F) Remuneraciones'!$K$191:$K$201)/4</f>
        <v>0</v>
      </c>
      <c r="T84" s="1504"/>
      <c r="U84" s="252">
        <f>SUM('F) Remuneraciones'!$K$191:$K$201)/4</f>
        <v>0</v>
      </c>
      <c r="V84" s="1504"/>
      <c r="W84" s="252">
        <f>SUM('F) Remuneraciones'!$K$191:$K$201)/4</f>
        <v>0</v>
      </c>
      <c r="X84" s="1504"/>
      <c r="Y84" s="252">
        <f>SUM('F) Remuneraciones'!$K$191:$K$201)/4</f>
        <v>0</v>
      </c>
      <c r="Z84" s="1504"/>
      <c r="AA84" s="253">
        <f>SUM(C84:Y84)</f>
        <v>0</v>
      </c>
    </row>
    <row r="85" spans="2:27" x14ac:dyDescent="0.35">
      <c r="B85" s="251" t="s">
        <v>251</v>
      </c>
      <c r="C85" s="252">
        <f>SUM('F) Remuneraciones'!I176:I197)*0.5</f>
        <v>579714</v>
      </c>
      <c r="D85" s="1507"/>
      <c r="E85" s="254">
        <v>0</v>
      </c>
      <c r="F85" s="1507"/>
      <c r="G85" s="254">
        <v>0</v>
      </c>
      <c r="H85" s="1507"/>
      <c r="I85" s="254">
        <v>0</v>
      </c>
      <c r="J85" s="1507"/>
      <c r="K85" s="254">
        <v>0</v>
      </c>
      <c r="L85" s="1507"/>
      <c r="M85" s="254">
        <v>0</v>
      </c>
      <c r="N85" s="1507"/>
      <c r="O85" s="254">
        <v>0</v>
      </c>
      <c r="P85" s="1507"/>
      <c r="Q85" s="254">
        <v>0</v>
      </c>
      <c r="R85" s="1504"/>
      <c r="S85" s="254">
        <f>SUM('F) Remuneraciones'!J176:J197)*0.5</f>
        <v>261708</v>
      </c>
      <c r="T85" s="1504"/>
      <c r="U85" s="254">
        <v>0</v>
      </c>
      <c r="V85" s="1504"/>
      <c r="W85" s="254">
        <v>0</v>
      </c>
      <c r="X85" s="1504"/>
      <c r="Y85" s="255">
        <f>+C85+S85</f>
        <v>841422</v>
      </c>
      <c r="Z85" s="1504"/>
      <c r="AA85" s="253">
        <f>SUM(C85:Y85)</f>
        <v>1682844</v>
      </c>
    </row>
    <row r="86" spans="2:27" x14ac:dyDescent="0.35">
      <c r="B86" s="268" t="s">
        <v>267</v>
      </c>
      <c r="C86" s="257">
        <f>SUM(C83:C85)</f>
        <v>3273482.3684375002</v>
      </c>
      <c r="D86" s="1508"/>
      <c r="E86" s="257">
        <f>SUM(E83:E85)</f>
        <v>2693768.3684375002</v>
      </c>
      <c r="F86" s="1508"/>
      <c r="G86" s="257">
        <f>SUM(G83:G85)</f>
        <v>2693768.3684375002</v>
      </c>
      <c r="H86" s="1508"/>
      <c r="I86" s="257">
        <f>SUM(I83:I85)</f>
        <v>2693768.3684375002</v>
      </c>
      <c r="J86" s="1508"/>
      <c r="K86" s="257">
        <f>SUM(K83:K85)</f>
        <v>2693768.3684375002</v>
      </c>
      <c r="L86" s="1508"/>
      <c r="M86" s="257">
        <f>SUM(M83:M85)</f>
        <v>2693768.3684375002</v>
      </c>
      <c r="N86" s="1508"/>
      <c r="O86" s="257">
        <f>SUM(O83:O85)</f>
        <v>2693768.3684375002</v>
      </c>
      <c r="P86" s="1508"/>
      <c r="Q86" s="257"/>
      <c r="R86" s="1505"/>
      <c r="S86" s="257"/>
      <c r="T86" s="1505"/>
      <c r="U86" s="257"/>
      <c r="V86" s="1505"/>
      <c r="W86" s="257"/>
      <c r="X86" s="1505"/>
      <c r="Y86" s="271"/>
      <c r="Z86" s="1505"/>
      <c r="AA86" s="269"/>
    </row>
    <row r="87" spans="2:27" ht="15" thickBot="1" x14ac:dyDescent="0.4">
      <c r="B87" s="268" t="s">
        <v>252</v>
      </c>
      <c r="C87" s="257">
        <f>(+'C) Estimación Costos Directos'!$H$584-'C) Estimación Costos Directos'!$D$517)*C90</f>
        <v>2170601.4922633464</v>
      </c>
      <c r="D87" s="257"/>
      <c r="E87" s="257">
        <f>(+'C) Estimación Costos Directos'!$H$584-'C) Estimación Costos Directos'!$D$517)*E90</f>
        <v>1953892.8151544835</v>
      </c>
      <c r="F87" s="257"/>
      <c r="G87" s="257">
        <f>(+'C) Estimación Costos Directos'!$H$584-'C) Estimación Costos Directos'!$D$517)*G90</f>
        <v>1303191.5798772336</v>
      </c>
      <c r="H87" s="257"/>
      <c r="I87" s="257">
        <f>(+'C) Estimación Costos Directos'!$H$584-'C) Estimación Costos Directos'!$D$517)*I90</f>
        <v>1338733.6594818353</v>
      </c>
      <c r="J87" s="257"/>
      <c r="K87" s="257">
        <f>(+'C) Estimación Costos Directos'!$H$584-'C) Estimación Costos Directos'!$D$517)*K90</f>
        <v>1552768.4603495912</v>
      </c>
      <c r="L87" s="257"/>
      <c r="M87" s="257">
        <f>(+'C) Estimación Costos Directos'!$H$584-'C) Estimación Costos Directos'!$D$517)*M90</f>
        <v>1092624.8343551501</v>
      </c>
      <c r="N87" s="257"/>
      <c r="O87" s="257">
        <f>(+'C) Estimación Costos Directos'!$H$584-'C) Estimación Costos Directos'!$D$517)*O90</f>
        <v>1571350.8180449193</v>
      </c>
      <c r="P87" s="257"/>
      <c r="Q87" s="257">
        <f>(+'C) Estimación Costos Directos'!$H$584-'C) Estimación Costos Directos'!$D$517)*Q90</f>
        <v>1305300.019434225</v>
      </c>
      <c r="R87" s="257"/>
      <c r="S87" s="257">
        <f>(+'C) Estimación Costos Directos'!$H$584-'C) Estimación Costos Directos'!$D$517)*S90</f>
        <v>1343166.2375177594</v>
      </c>
      <c r="T87" s="257"/>
      <c r="U87" s="257">
        <f>(+'C) Estimación Costos Directos'!$H$584-'C) Estimación Costos Directos'!$D$517)*U90</f>
        <v>962842.10611279029</v>
      </c>
      <c r="V87" s="257"/>
      <c r="W87" s="257">
        <f>(+'C) Estimación Costos Directos'!$H$584-'C) Estimación Costos Directos'!$D$517)*W90</f>
        <v>1227477.7977559105</v>
      </c>
      <c r="X87" s="257"/>
      <c r="Y87" s="257">
        <f>(+'C) Estimación Costos Directos'!$H$584-'C) Estimación Costos Directos'!$D$517)*Y90</f>
        <v>755924.07965275343</v>
      </c>
      <c r="Z87" s="271"/>
      <c r="AA87" s="269">
        <f>SUM(C87:Y87)</f>
        <v>16577873.899999997</v>
      </c>
    </row>
    <row r="88" spans="2:27" ht="15" thickBot="1" x14ac:dyDescent="0.4">
      <c r="B88" s="258" t="s">
        <v>253</v>
      </c>
      <c r="C88" s="259">
        <f>+C82-C83-C84-C85-C87</f>
        <v>-3600394.0813552933</v>
      </c>
      <c r="D88" s="259"/>
      <c r="E88" s="260">
        <f t="shared" ref="E88:AA88" si="6">+E82-E83-E84-E85-E87</f>
        <v>-2988041.8448617142</v>
      </c>
      <c r="F88" s="260"/>
      <c r="G88" s="260">
        <f t="shared" si="6"/>
        <v>-2890040.5045970855</v>
      </c>
      <c r="H88" s="260"/>
      <c r="I88" s="260">
        <f t="shared" si="6"/>
        <v>-2895393.4549961407</v>
      </c>
      <c r="J88" s="260"/>
      <c r="K88" s="260">
        <f t="shared" si="6"/>
        <v>-2927628.9821645743</v>
      </c>
      <c r="L88" s="260"/>
      <c r="M88" s="260">
        <f t="shared" si="6"/>
        <v>-2858327.2971255607</v>
      </c>
      <c r="N88" s="260"/>
      <c r="O88" s="260">
        <f t="shared" si="6"/>
        <v>-2930427.6489884397</v>
      </c>
      <c r="P88" s="260"/>
      <c r="Q88" s="260">
        <f t="shared" si="6"/>
        <v>-2890358.0541747566</v>
      </c>
      <c r="R88" s="260"/>
      <c r="S88" s="260">
        <f t="shared" si="6"/>
        <v>-3157769.0403099498</v>
      </c>
      <c r="T88" s="260"/>
      <c r="U88" s="260">
        <f t="shared" si="6"/>
        <v>-2838780.8745564809</v>
      </c>
      <c r="V88" s="260"/>
      <c r="W88" s="260">
        <f t="shared" si="6"/>
        <v>-2878637.3417903762</v>
      </c>
      <c r="X88" s="261"/>
      <c r="Y88" s="261">
        <f t="shared" si="6"/>
        <v>-3649039.196329629</v>
      </c>
      <c r="Z88" s="272"/>
      <c r="AA88" s="262">
        <f t="shared" si="6"/>
        <v>-36504838.321249992</v>
      </c>
    </row>
    <row r="89" spans="2:27" x14ac:dyDescent="0.35">
      <c r="B89" s="263" t="s">
        <v>254</v>
      </c>
      <c r="C89" s="264">
        <v>0.13093364718278783</v>
      </c>
      <c r="D89" s="264"/>
      <c r="E89" s="264">
        <v>0.11786148374276653</v>
      </c>
      <c r="F89" s="264"/>
      <c r="G89" s="264">
        <v>7.8610296334636356E-2</v>
      </c>
      <c r="H89" s="264"/>
      <c r="I89" s="264">
        <v>8.0754243128959707E-2</v>
      </c>
      <c r="J89" s="264"/>
      <c r="K89" s="264">
        <v>9.3665114701444993E-2</v>
      </c>
      <c r="L89" s="264"/>
      <c r="M89" s="264">
        <v>6.5908622598169861E-2</v>
      </c>
      <c r="N89" s="264"/>
      <c r="O89" s="264">
        <v>9.4786027902222098E-2</v>
      </c>
      <c r="P89" s="264"/>
      <c r="Q89" s="264">
        <v>7.8737480288966682E-2</v>
      </c>
      <c r="R89" s="264"/>
      <c r="S89" s="264">
        <v>8.1021622291249276E-2</v>
      </c>
      <c r="T89" s="264"/>
      <c r="U89" s="264">
        <v>5.8079951139741168E-2</v>
      </c>
      <c r="V89" s="264"/>
      <c r="W89" s="264">
        <v>7.4043137567593065E-2</v>
      </c>
      <c r="X89" s="264"/>
      <c r="Y89" s="264">
        <v>4.5598373121462428E-2</v>
      </c>
      <c r="Z89" s="264"/>
      <c r="AA89" s="265"/>
    </row>
    <row r="90" spans="2:27" x14ac:dyDescent="0.35">
      <c r="B90" s="266" t="s">
        <v>255</v>
      </c>
      <c r="C90" s="267">
        <v>0.13093364718278783</v>
      </c>
      <c r="D90" s="267"/>
      <c r="E90" s="267">
        <v>0.11786148374276653</v>
      </c>
      <c r="F90" s="267"/>
      <c r="G90" s="267">
        <v>7.8610296334636356E-2</v>
      </c>
      <c r="H90" s="267"/>
      <c r="I90" s="267">
        <v>8.0754243128959707E-2</v>
      </c>
      <c r="J90" s="267"/>
      <c r="K90" s="267">
        <v>9.3665114701444993E-2</v>
      </c>
      <c r="L90" s="267"/>
      <c r="M90" s="267">
        <v>6.5908622598169861E-2</v>
      </c>
      <c r="N90" s="267"/>
      <c r="O90" s="267">
        <v>9.4786027902222098E-2</v>
      </c>
      <c r="P90" s="267"/>
      <c r="Q90" s="267">
        <v>7.8737480288966682E-2</v>
      </c>
      <c r="R90" s="267"/>
      <c r="S90" s="267">
        <v>8.1021622291249276E-2</v>
      </c>
      <c r="T90" s="267"/>
      <c r="U90" s="267">
        <v>5.8079951139741168E-2</v>
      </c>
      <c r="V90" s="267"/>
      <c r="W90" s="267">
        <v>7.4043137567593065E-2</v>
      </c>
      <c r="X90" s="267"/>
      <c r="Y90" s="267">
        <v>4.5598373121462428E-2</v>
      </c>
      <c r="Z90" s="267"/>
      <c r="AA90" s="206"/>
    </row>
    <row r="91" spans="2:27" ht="15" thickBot="1" x14ac:dyDescent="0.4"/>
    <row r="92" spans="2:27" ht="29.5" thickBot="1" x14ac:dyDescent="0.4">
      <c r="B92" s="249" t="s">
        <v>263</v>
      </c>
      <c r="C92" s="283" t="s">
        <v>235</v>
      </c>
      <c r="D92" s="284" t="s">
        <v>268</v>
      </c>
      <c r="E92" s="285" t="s">
        <v>236</v>
      </c>
      <c r="F92" s="284" t="s">
        <v>269</v>
      </c>
      <c r="G92" s="285" t="s">
        <v>237</v>
      </c>
      <c r="H92" s="284" t="s">
        <v>270</v>
      </c>
      <c r="I92" s="285" t="s">
        <v>238</v>
      </c>
      <c r="J92" s="284" t="s">
        <v>271</v>
      </c>
      <c r="K92" s="285" t="s">
        <v>239</v>
      </c>
      <c r="L92" s="284" t="s">
        <v>272</v>
      </c>
      <c r="M92" s="285" t="s">
        <v>240</v>
      </c>
      <c r="N92" s="284" t="s">
        <v>273</v>
      </c>
      <c r="O92" s="285" t="s">
        <v>241</v>
      </c>
      <c r="P92" s="284" t="s">
        <v>274</v>
      </c>
      <c r="Q92" s="285" t="s">
        <v>242</v>
      </c>
      <c r="R92" s="284" t="s">
        <v>275</v>
      </c>
      <c r="S92" s="285" t="s">
        <v>243</v>
      </c>
      <c r="T92" s="284" t="s">
        <v>276</v>
      </c>
      <c r="U92" s="285" t="s">
        <v>244</v>
      </c>
      <c r="V92" s="284" t="s">
        <v>277</v>
      </c>
      <c r="W92" s="285" t="s">
        <v>245</v>
      </c>
      <c r="X92" s="284" t="s">
        <v>278</v>
      </c>
      <c r="Y92" s="285" t="s">
        <v>246</v>
      </c>
      <c r="Z92" s="286" t="s">
        <v>279</v>
      </c>
      <c r="AA92" s="250" t="s">
        <v>247</v>
      </c>
    </row>
    <row r="93" spans="2:27" x14ac:dyDescent="0.35">
      <c r="B93" s="251" t="s">
        <v>248</v>
      </c>
      <c r="C93" s="252" t="e">
        <f>+'A) Resumen Ingresos y Egresos'!#REF!*'J) ESTRUCTURA ECONÓMICA MENS'!#REF!</f>
        <v>#REF!</v>
      </c>
      <c r="D93" s="252">
        <v>0</v>
      </c>
      <c r="E93" s="252" t="e">
        <f>+'A) Resumen Ingresos y Egresos'!#REF!*'J) ESTRUCTURA ECONÓMICA MENS'!#REF!</f>
        <v>#REF!</v>
      </c>
      <c r="F93" s="252">
        <v>0</v>
      </c>
      <c r="G93" s="252" t="e">
        <f>+'A) Resumen Ingresos y Egresos'!#REF!*'J) ESTRUCTURA ECONÓMICA MENS'!#REF!</f>
        <v>#REF!</v>
      </c>
      <c r="H93" s="252">
        <v>0</v>
      </c>
      <c r="I93" s="252" t="e">
        <f>+'A) Resumen Ingresos y Egresos'!#REF!*'J) ESTRUCTURA ECONÓMICA MENS'!#REF!</f>
        <v>#REF!</v>
      </c>
      <c r="J93" s="252">
        <v>0</v>
      </c>
      <c r="K93" s="252" t="e">
        <f>+'A) Resumen Ingresos y Egresos'!#REF!*'J) ESTRUCTURA ECONÓMICA MENS'!#REF!</f>
        <v>#REF!</v>
      </c>
      <c r="L93" s="252">
        <v>0</v>
      </c>
      <c r="M93" s="252" t="e">
        <f>+'A) Resumen Ingresos y Egresos'!#REF!*'J) ESTRUCTURA ECONÓMICA MENS'!#REF!</f>
        <v>#REF!</v>
      </c>
      <c r="N93" s="252"/>
      <c r="O93" s="252" t="e">
        <f>+'A) Resumen Ingresos y Egresos'!#REF!*'J) ESTRUCTURA ECONÓMICA MENS'!#REF!</f>
        <v>#REF!</v>
      </c>
      <c r="P93" s="252"/>
      <c r="Q93" s="252" t="e">
        <f>+'A) Resumen Ingresos y Egresos'!#REF!*'J) ESTRUCTURA ECONÓMICA MENS'!#REF!</f>
        <v>#REF!</v>
      </c>
      <c r="R93" s="252"/>
      <c r="S93" s="252" t="e">
        <f>+'A) Resumen Ingresos y Egresos'!#REF!*'J) ESTRUCTURA ECONÓMICA MENS'!#REF!</f>
        <v>#REF!</v>
      </c>
      <c r="T93" s="252"/>
      <c r="U93" s="252" t="e">
        <f>+'A) Resumen Ingresos y Egresos'!#REF!*'J) ESTRUCTURA ECONÓMICA MENS'!#REF!</f>
        <v>#REF!</v>
      </c>
      <c r="V93" s="252"/>
      <c r="W93" s="252" t="e">
        <f>+'A) Resumen Ingresos y Egresos'!#REF!*'J) ESTRUCTURA ECONÓMICA MENS'!#REF!</f>
        <v>#REF!</v>
      </c>
      <c r="X93" s="252"/>
      <c r="Y93" s="252" t="e">
        <f>+'A) Resumen Ingresos y Egresos'!#REF!*'J) ESTRUCTURA ECONÓMICA MENS'!#REF!</f>
        <v>#REF!</v>
      </c>
      <c r="Z93" s="270"/>
      <c r="AA93" s="253" t="e">
        <f>SUM(C93:Y93)</f>
        <v>#REF!</v>
      </c>
    </row>
    <row r="94" spans="2:27" x14ac:dyDescent="0.35">
      <c r="B94" s="251" t="s">
        <v>249</v>
      </c>
      <c r="C94" s="252" t="e">
        <f>SUM('F) Remuneraciones'!#REF!)/12</f>
        <v>#REF!</v>
      </c>
      <c r="D94" s="1506">
        <v>0</v>
      </c>
      <c r="E94" s="252" t="e">
        <f>SUM('F) Remuneraciones'!#REF!)/12</f>
        <v>#REF!</v>
      </c>
      <c r="F94" s="1506">
        <v>0</v>
      </c>
      <c r="G94" s="252" t="e">
        <f>SUM('F) Remuneraciones'!#REF!)/12</f>
        <v>#REF!</v>
      </c>
      <c r="H94" s="1506">
        <v>0</v>
      </c>
      <c r="I94" s="252" t="e">
        <f>SUM('F) Remuneraciones'!#REF!)/12</f>
        <v>#REF!</v>
      </c>
      <c r="J94" s="1506">
        <v>0</v>
      </c>
      <c r="K94" s="252" t="e">
        <f>SUM('F) Remuneraciones'!#REF!)/12</f>
        <v>#REF!</v>
      </c>
      <c r="L94" s="1506">
        <v>0</v>
      </c>
      <c r="M94" s="252" t="e">
        <f>SUM('F) Remuneraciones'!#REF!)/12</f>
        <v>#REF!</v>
      </c>
      <c r="N94" s="1506"/>
      <c r="O94" s="252" t="e">
        <f>SUM('F) Remuneraciones'!#REF!)/12</f>
        <v>#REF!</v>
      </c>
      <c r="P94" s="1506"/>
      <c r="Q94" s="252" t="e">
        <f>SUM('F) Remuneraciones'!#REF!)/12</f>
        <v>#REF!</v>
      </c>
      <c r="R94" s="252"/>
      <c r="S94" s="252" t="e">
        <f>SUM('F) Remuneraciones'!#REF!)/12</f>
        <v>#REF!</v>
      </c>
      <c r="T94" s="252"/>
      <c r="U94" s="252" t="e">
        <f>SUM('F) Remuneraciones'!#REF!)/12</f>
        <v>#REF!</v>
      </c>
      <c r="V94" s="252"/>
      <c r="W94" s="252" t="e">
        <f>SUM('F) Remuneraciones'!#REF!)/12</f>
        <v>#REF!</v>
      </c>
      <c r="X94" s="252"/>
      <c r="Y94" s="252" t="e">
        <f>SUM('F) Remuneraciones'!#REF!)/12</f>
        <v>#REF!</v>
      </c>
      <c r="Z94" s="270"/>
      <c r="AA94" s="253" t="e">
        <f>SUM(C94:Y94)</f>
        <v>#REF!</v>
      </c>
    </row>
    <row r="95" spans="2:27" x14ac:dyDescent="0.35">
      <c r="B95" s="251" t="s">
        <v>250</v>
      </c>
      <c r="C95" s="252" t="e">
        <f>SUM('F) Remuneraciones'!#REF!)/4</f>
        <v>#REF!</v>
      </c>
      <c r="D95" s="1507"/>
      <c r="E95" s="252" t="e">
        <f>SUM('F) Remuneraciones'!#REF!)/4</f>
        <v>#REF!</v>
      </c>
      <c r="F95" s="1507"/>
      <c r="G95" s="252" t="e">
        <f>SUM('F) Remuneraciones'!#REF!)/4</f>
        <v>#REF!</v>
      </c>
      <c r="H95" s="1507"/>
      <c r="I95" s="252" t="e">
        <f>SUM('F) Remuneraciones'!#REF!)/4</f>
        <v>#REF!</v>
      </c>
      <c r="J95" s="1507"/>
      <c r="K95" s="252" t="e">
        <f>SUM('F) Remuneraciones'!#REF!)/4</f>
        <v>#REF!</v>
      </c>
      <c r="L95" s="1507"/>
      <c r="M95" s="252" t="e">
        <f>SUM('F) Remuneraciones'!#REF!)/4</f>
        <v>#REF!</v>
      </c>
      <c r="N95" s="1507"/>
      <c r="O95" s="252" t="e">
        <f>SUM('F) Remuneraciones'!#REF!)/4</f>
        <v>#REF!</v>
      </c>
      <c r="P95" s="1507"/>
      <c r="Q95" s="252" t="e">
        <f>SUM('F) Remuneraciones'!#REF!)/4</f>
        <v>#REF!</v>
      </c>
      <c r="R95" s="252"/>
      <c r="S95" s="252" t="e">
        <f>SUM('F) Remuneraciones'!#REF!)/4</f>
        <v>#REF!</v>
      </c>
      <c r="T95" s="252"/>
      <c r="U95" s="252" t="e">
        <f>SUM('F) Remuneraciones'!#REF!)/4</f>
        <v>#REF!</v>
      </c>
      <c r="V95" s="252"/>
      <c r="W95" s="252" t="e">
        <f>SUM('F) Remuneraciones'!#REF!)/4</f>
        <v>#REF!</v>
      </c>
      <c r="X95" s="252"/>
      <c r="Y95" s="252" t="e">
        <f>SUM('F) Remuneraciones'!#REF!)/4</f>
        <v>#REF!</v>
      </c>
      <c r="Z95" s="270"/>
      <c r="AA95" s="253" t="e">
        <f>SUM(C95:Y95)</f>
        <v>#REF!</v>
      </c>
    </row>
    <row r="96" spans="2:27" x14ac:dyDescent="0.35">
      <c r="B96" s="251" t="s">
        <v>251</v>
      </c>
      <c r="C96" s="252">
        <f>SUM('F) Remuneraciones'!I198:I201)*0.5</f>
        <v>0</v>
      </c>
      <c r="D96" s="1507"/>
      <c r="E96" s="254">
        <v>0</v>
      </c>
      <c r="F96" s="1507"/>
      <c r="G96" s="254">
        <v>0</v>
      </c>
      <c r="H96" s="1507"/>
      <c r="I96" s="254">
        <v>0</v>
      </c>
      <c r="J96" s="1507"/>
      <c r="K96" s="254">
        <v>0</v>
      </c>
      <c r="L96" s="1507"/>
      <c r="M96" s="254">
        <v>0</v>
      </c>
      <c r="N96" s="1507"/>
      <c r="O96" s="254">
        <v>0</v>
      </c>
      <c r="P96" s="1507"/>
      <c r="Q96" s="254">
        <v>0</v>
      </c>
      <c r="R96" s="254"/>
      <c r="S96" s="254">
        <f>SUM('F) Remuneraciones'!J198:J201)*0.5</f>
        <v>0</v>
      </c>
      <c r="T96" s="254"/>
      <c r="U96" s="254">
        <v>0</v>
      </c>
      <c r="V96" s="254"/>
      <c r="W96" s="254">
        <v>0</v>
      </c>
      <c r="X96" s="255"/>
      <c r="Y96" s="255">
        <f>+C96+S96</f>
        <v>0</v>
      </c>
      <c r="Z96" s="270"/>
      <c r="AA96" s="253">
        <f>SUM(C96:Y96)</f>
        <v>0</v>
      </c>
    </row>
    <row r="97" spans="2:27" x14ac:dyDescent="0.35">
      <c r="B97" s="268" t="s">
        <v>267</v>
      </c>
      <c r="C97" s="257"/>
      <c r="D97" s="1508"/>
      <c r="E97" s="257"/>
      <c r="F97" s="1508"/>
      <c r="G97" s="257"/>
      <c r="H97" s="1508"/>
      <c r="I97" s="257"/>
      <c r="J97" s="1508"/>
      <c r="K97" s="257"/>
      <c r="L97" s="1508"/>
      <c r="M97" s="257"/>
      <c r="N97" s="1508"/>
      <c r="O97" s="257"/>
      <c r="P97" s="1508"/>
      <c r="Q97" s="257"/>
      <c r="R97" s="257"/>
      <c r="S97" s="257"/>
      <c r="T97" s="257"/>
      <c r="U97" s="257"/>
      <c r="V97" s="257"/>
      <c r="W97" s="257"/>
      <c r="X97" s="271"/>
      <c r="Y97" s="271"/>
      <c r="Z97" s="271"/>
      <c r="AA97" s="253"/>
    </row>
    <row r="98" spans="2:27" ht="15" thickBot="1" x14ac:dyDescent="0.4">
      <c r="B98" s="268" t="s">
        <v>252</v>
      </c>
      <c r="C98" s="257" t="e">
        <f>(+'C) Estimación Costos Directos'!#REF!-'C) Estimación Costos Directos'!#REF!)*C101</f>
        <v>#REF!</v>
      </c>
      <c r="D98" s="257">
        <v>0</v>
      </c>
      <c r="E98" s="257" t="e">
        <f>(+'C) Estimación Costos Directos'!#REF!-'C) Estimación Costos Directos'!#REF!)*E101</f>
        <v>#REF!</v>
      </c>
      <c r="F98" s="257">
        <v>0</v>
      </c>
      <c r="G98" s="257" t="e">
        <f>(+'C) Estimación Costos Directos'!#REF!-'C) Estimación Costos Directos'!#REF!)*G101</f>
        <v>#REF!</v>
      </c>
      <c r="H98" s="257">
        <v>0</v>
      </c>
      <c r="I98" s="257" t="e">
        <f>(+'C) Estimación Costos Directos'!#REF!-'C) Estimación Costos Directos'!#REF!)*I101</f>
        <v>#REF!</v>
      </c>
      <c r="J98" s="257">
        <v>0</v>
      </c>
      <c r="K98" s="257" t="e">
        <f>(+'C) Estimación Costos Directos'!#REF!-'C) Estimación Costos Directos'!#REF!)*K101</f>
        <v>#REF!</v>
      </c>
      <c r="L98" s="257">
        <f>0-0+0</f>
        <v>0</v>
      </c>
      <c r="M98" s="257" t="e">
        <f>(+'C) Estimación Costos Directos'!#REF!-'C) Estimación Costos Directos'!#REF!)*M101</f>
        <v>#REF!</v>
      </c>
      <c r="N98" s="257"/>
      <c r="O98" s="257" t="e">
        <f>(+'C) Estimación Costos Directos'!#REF!-'C) Estimación Costos Directos'!#REF!)*O101</f>
        <v>#REF!</v>
      </c>
      <c r="P98" s="257"/>
      <c r="Q98" s="257" t="e">
        <f>(+'C) Estimación Costos Directos'!#REF!-'C) Estimación Costos Directos'!#REF!)*Q101</f>
        <v>#REF!</v>
      </c>
      <c r="R98" s="257"/>
      <c r="S98" s="257" t="e">
        <f>(+'C) Estimación Costos Directos'!#REF!-'C) Estimación Costos Directos'!#REF!)*S101</f>
        <v>#REF!</v>
      </c>
      <c r="T98" s="257"/>
      <c r="U98" s="257" t="e">
        <f>(+'C) Estimación Costos Directos'!#REF!-'C) Estimación Costos Directos'!#REF!)*U101</f>
        <v>#REF!</v>
      </c>
      <c r="V98" s="257"/>
      <c r="W98" s="257" t="e">
        <f>(+'C) Estimación Costos Directos'!#REF!-'C) Estimación Costos Directos'!#REF!)*W101</f>
        <v>#REF!</v>
      </c>
      <c r="X98" s="257"/>
      <c r="Y98" s="257" t="e">
        <f>(+'C) Estimación Costos Directos'!#REF!-'C) Estimación Costos Directos'!#REF!)*Y101</f>
        <v>#REF!</v>
      </c>
      <c r="Z98" s="271"/>
      <c r="AA98" s="253" t="e">
        <f>SUM(C98:Y98)</f>
        <v>#REF!</v>
      </c>
    </row>
    <row r="99" spans="2:27" ht="15" thickBot="1" x14ac:dyDescent="0.4">
      <c r="B99" s="258" t="s">
        <v>253</v>
      </c>
      <c r="C99" s="259" t="e">
        <f>+C93-C94-C95-C96-C98</f>
        <v>#REF!</v>
      </c>
      <c r="D99" s="259">
        <v>0</v>
      </c>
      <c r="E99" s="260" t="e">
        <f t="shared" ref="E99:Y99" si="7">+E93-E94-E95-E96-E98</f>
        <v>#REF!</v>
      </c>
      <c r="F99" s="260">
        <v>0</v>
      </c>
      <c r="G99" s="260" t="e">
        <f t="shared" si="7"/>
        <v>#REF!</v>
      </c>
      <c r="H99" s="260">
        <v>0</v>
      </c>
      <c r="I99" s="260" t="e">
        <f t="shared" si="7"/>
        <v>#REF!</v>
      </c>
      <c r="J99" s="260">
        <f>+J93-J94-J98</f>
        <v>0</v>
      </c>
      <c r="K99" s="260" t="e">
        <f t="shared" si="7"/>
        <v>#REF!</v>
      </c>
      <c r="L99" s="260">
        <f>+L93-L94-L98</f>
        <v>0</v>
      </c>
      <c r="M99" s="260" t="e">
        <f t="shared" si="7"/>
        <v>#REF!</v>
      </c>
      <c r="N99" s="260"/>
      <c r="O99" s="260" t="e">
        <f t="shared" si="7"/>
        <v>#REF!</v>
      </c>
      <c r="P99" s="260"/>
      <c r="Q99" s="260" t="e">
        <f t="shared" si="7"/>
        <v>#REF!</v>
      </c>
      <c r="R99" s="260"/>
      <c r="S99" s="260" t="e">
        <f t="shared" si="7"/>
        <v>#REF!</v>
      </c>
      <c r="T99" s="260"/>
      <c r="U99" s="260" t="e">
        <f t="shared" si="7"/>
        <v>#REF!</v>
      </c>
      <c r="V99" s="260"/>
      <c r="W99" s="260" t="e">
        <f t="shared" si="7"/>
        <v>#REF!</v>
      </c>
      <c r="X99" s="261"/>
      <c r="Y99" s="261" t="e">
        <f t="shared" si="7"/>
        <v>#REF!</v>
      </c>
      <c r="Z99" s="272"/>
      <c r="AA99" s="262" t="e">
        <f>+AA93-AA94-AA95-AA96-AA98</f>
        <v>#REF!</v>
      </c>
    </row>
    <row r="100" spans="2:27" x14ac:dyDescent="0.35">
      <c r="B100" s="263" t="s">
        <v>254</v>
      </c>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06"/>
    </row>
    <row r="101" spans="2:27" x14ac:dyDescent="0.35">
      <c r="B101" s="266" t="s">
        <v>255</v>
      </c>
      <c r="C101" s="26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7"/>
      <c r="Z101" s="267"/>
      <c r="AA101" s="206"/>
    </row>
    <row r="102" spans="2:27" ht="15" thickBot="1" x14ac:dyDescent="0.4"/>
    <row r="103" spans="2:27" ht="29.5" thickBot="1" x14ac:dyDescent="0.4">
      <c r="B103" s="249" t="s">
        <v>264</v>
      </c>
      <c r="C103" s="283" t="s">
        <v>235</v>
      </c>
      <c r="D103" s="284" t="s">
        <v>268</v>
      </c>
      <c r="E103" s="285" t="s">
        <v>236</v>
      </c>
      <c r="F103" s="284" t="s">
        <v>269</v>
      </c>
      <c r="G103" s="285" t="s">
        <v>237</v>
      </c>
      <c r="H103" s="284" t="s">
        <v>270</v>
      </c>
      <c r="I103" s="285" t="s">
        <v>238</v>
      </c>
      <c r="J103" s="284" t="s">
        <v>271</v>
      </c>
      <c r="K103" s="285" t="s">
        <v>239</v>
      </c>
      <c r="L103" s="284" t="s">
        <v>272</v>
      </c>
      <c r="M103" s="285" t="s">
        <v>240</v>
      </c>
      <c r="N103" s="284" t="s">
        <v>273</v>
      </c>
      <c r="O103" s="285" t="s">
        <v>241</v>
      </c>
      <c r="P103" s="284" t="s">
        <v>274</v>
      </c>
      <c r="Q103" s="285" t="s">
        <v>242</v>
      </c>
      <c r="R103" s="284" t="s">
        <v>275</v>
      </c>
      <c r="S103" s="285" t="s">
        <v>243</v>
      </c>
      <c r="T103" s="284" t="s">
        <v>276</v>
      </c>
      <c r="U103" s="285" t="s">
        <v>244</v>
      </c>
      <c r="V103" s="284" t="s">
        <v>277</v>
      </c>
      <c r="W103" s="285" t="s">
        <v>245</v>
      </c>
      <c r="X103" s="284" t="s">
        <v>278</v>
      </c>
      <c r="Y103" s="285" t="s">
        <v>246</v>
      </c>
      <c r="Z103" s="286" t="s">
        <v>279</v>
      </c>
      <c r="AA103" s="250" t="s">
        <v>247</v>
      </c>
    </row>
    <row r="104" spans="2:27" x14ac:dyDescent="0.35">
      <c r="B104" s="251" t="s">
        <v>248</v>
      </c>
      <c r="C104" s="252">
        <f>+'A) Resumen Ingresos y Egresos'!$D$17*'J) ESTRUCTURA ECONÓMICA MENS'!C104</f>
        <v>25710205.900000002</v>
      </c>
      <c r="D104" s="252">
        <v>0</v>
      </c>
      <c r="E104" s="252">
        <f>+'A) Resumen Ingresos y Egresos'!$D$17*'J) ESTRUCTURA ECONÓMICA MENS'!D104</f>
        <v>23139185.309999999</v>
      </c>
      <c r="F104" s="252">
        <v>0</v>
      </c>
      <c r="G104" s="252">
        <f>+'A) Resumen Ingresos y Egresos'!$D$17*'J) ESTRUCTURA ECONÓMICA MENS'!E104</f>
        <v>23139185.309999999</v>
      </c>
      <c r="H104" s="252">
        <v>0</v>
      </c>
      <c r="I104" s="252">
        <f>+'A) Resumen Ingresos y Egresos'!$D$17*'J) ESTRUCTURA ECONÓMICA MENS'!F104</f>
        <v>20568164.719999999</v>
      </c>
      <c r="J104" s="252">
        <v>0</v>
      </c>
      <c r="K104" s="252">
        <f>+'A) Resumen Ingresos y Egresos'!$D$17*'J) ESTRUCTURA ECONÓMICA MENS'!G104</f>
        <v>23139185.309999999</v>
      </c>
      <c r="L104" s="252">
        <v>0</v>
      </c>
      <c r="M104" s="252">
        <f>+'A) Resumen Ingresos y Egresos'!$D$17*'J) ESTRUCTURA ECONÓMICA MENS'!H104</f>
        <v>23139185.309999999</v>
      </c>
      <c r="N104" s="252"/>
      <c r="O104" s="252">
        <f>+'A) Resumen Ingresos y Egresos'!$D$17*'J) ESTRUCTURA ECONÓMICA MENS'!I104</f>
        <v>15426123.539999999</v>
      </c>
      <c r="P104" s="252"/>
      <c r="Q104" s="252">
        <f>+'A) Resumen Ingresos y Egresos'!$D$17*'J) ESTRUCTURA ECONÓMICA MENS'!J104</f>
        <v>20568164.719999999</v>
      </c>
      <c r="R104" s="252"/>
      <c r="S104" s="252">
        <f>+'A) Resumen Ingresos y Egresos'!$D$17*'J) ESTRUCTURA ECONÓMICA MENS'!K104</f>
        <v>20568164.719999999</v>
      </c>
      <c r="T104" s="252"/>
      <c r="U104" s="252">
        <f>+'A) Resumen Ingresos y Egresos'!$D$17*'J) ESTRUCTURA ECONÓMICA MENS'!L104</f>
        <v>17997144.130000003</v>
      </c>
      <c r="V104" s="252"/>
      <c r="W104" s="252">
        <f>+'A) Resumen Ingresos y Egresos'!$D$17*'J) ESTRUCTURA ECONÓMICA MENS'!M104</f>
        <v>12855102.950000001</v>
      </c>
      <c r="X104" s="252"/>
      <c r="Y104" s="252">
        <f>+'A) Resumen Ingresos y Egresos'!$D$17*'J) ESTRUCTURA ECONÓMICA MENS'!N104</f>
        <v>30852247.079999998</v>
      </c>
      <c r="Z104" s="270"/>
      <c r="AA104" s="253">
        <f>SUM(C104:Y104)</f>
        <v>257102058.99999994</v>
      </c>
    </row>
    <row r="105" spans="2:27" x14ac:dyDescent="0.35">
      <c r="B105" s="251" t="s">
        <v>249</v>
      </c>
      <c r="C105" s="252">
        <f>SUM('F) Remuneraciones'!$K$202:$K$218)/12</f>
        <v>10770739.708333334</v>
      </c>
      <c r="D105" s="1506">
        <v>0</v>
      </c>
      <c r="E105" s="252">
        <f>SUM('F) Remuneraciones'!$K$202:$K$218)/12</f>
        <v>10770739.708333334</v>
      </c>
      <c r="F105" s="1506">
        <v>0</v>
      </c>
      <c r="G105" s="252">
        <f>SUM('F) Remuneraciones'!$K$202:$K$218)/12</f>
        <v>10770739.708333334</v>
      </c>
      <c r="H105" s="1506">
        <v>0</v>
      </c>
      <c r="I105" s="252">
        <f>SUM('F) Remuneraciones'!$K$202:$K$218)/12</f>
        <v>10770739.708333334</v>
      </c>
      <c r="J105" s="1506">
        <v>0</v>
      </c>
      <c r="K105" s="252">
        <f>SUM('F) Remuneraciones'!$K$202:$K$218)/12</f>
        <v>10770739.708333334</v>
      </c>
      <c r="L105" s="1506">
        <v>0</v>
      </c>
      <c r="M105" s="252">
        <f>SUM('F) Remuneraciones'!$K$202:$K$218)/12</f>
        <v>10770739.708333334</v>
      </c>
      <c r="N105" s="1506"/>
      <c r="O105" s="252">
        <f>SUM('F) Remuneraciones'!$K$202:$K$218)/12</f>
        <v>10770739.708333334</v>
      </c>
      <c r="P105" s="1506"/>
      <c r="Q105" s="252">
        <f>SUM('F) Remuneraciones'!$K$202:$K$218)/12</f>
        <v>10770739.708333334</v>
      </c>
      <c r="R105" s="1503"/>
      <c r="S105" s="252">
        <f>SUM('F) Remuneraciones'!$K$202:$K$218)/12</f>
        <v>10770739.708333334</v>
      </c>
      <c r="T105" s="1503"/>
      <c r="U105" s="252">
        <f>SUM('F) Remuneraciones'!$K$202:$K$218)/12</f>
        <v>10770739.708333334</v>
      </c>
      <c r="V105" s="1503"/>
      <c r="W105" s="252">
        <f>SUM('F) Remuneraciones'!$K$202:$K$218)/12</f>
        <v>10770739.708333334</v>
      </c>
      <c r="X105" s="1503"/>
      <c r="Y105" s="252">
        <f>SUM('F) Remuneraciones'!$K$202:$K$218)/12</f>
        <v>10770739.708333334</v>
      </c>
      <c r="Z105" s="1503"/>
      <c r="AA105" s="253">
        <f>SUM(C105:Y105)</f>
        <v>129248876.49999999</v>
      </c>
    </row>
    <row r="106" spans="2:27" x14ac:dyDescent="0.35">
      <c r="B106" s="251" t="s">
        <v>250</v>
      </c>
      <c r="C106" s="252">
        <f>SUM('F) Remuneraciones'!$K$219:$K$229)/4</f>
        <v>0</v>
      </c>
      <c r="D106" s="1507"/>
      <c r="E106" s="252">
        <f>SUM('F) Remuneraciones'!$K$219:$K$229)/4</f>
        <v>0</v>
      </c>
      <c r="F106" s="1507"/>
      <c r="G106" s="252">
        <f>SUM('F) Remuneraciones'!$K$219:$K$229)/4</f>
        <v>0</v>
      </c>
      <c r="H106" s="1507"/>
      <c r="I106" s="252">
        <f>SUM('F) Remuneraciones'!$K$219:$K$229)/4</f>
        <v>0</v>
      </c>
      <c r="J106" s="1507"/>
      <c r="K106" s="252">
        <f>SUM('F) Remuneraciones'!$K$219:$K$229)/4</f>
        <v>0</v>
      </c>
      <c r="L106" s="1507"/>
      <c r="M106" s="252">
        <f>SUM('F) Remuneraciones'!$K$219:$K$229)/4</f>
        <v>0</v>
      </c>
      <c r="N106" s="1507"/>
      <c r="O106" s="252">
        <f>SUM('F) Remuneraciones'!$K$219:$K$229)/4</f>
        <v>0</v>
      </c>
      <c r="P106" s="1507"/>
      <c r="Q106" s="252">
        <f>SUM('F) Remuneraciones'!$K$219:$K$229)/4</f>
        <v>0</v>
      </c>
      <c r="R106" s="1504"/>
      <c r="S106" s="252">
        <f>SUM('F) Remuneraciones'!$K$219:$K$229)/4</f>
        <v>0</v>
      </c>
      <c r="T106" s="1504"/>
      <c r="U106" s="252">
        <f>SUM('F) Remuneraciones'!$K$219:$K$229)/4</f>
        <v>0</v>
      </c>
      <c r="V106" s="1504"/>
      <c r="W106" s="252">
        <f>SUM('F) Remuneraciones'!$K$219:$K$229)/4</f>
        <v>0</v>
      </c>
      <c r="X106" s="1504"/>
      <c r="Y106" s="252">
        <f>SUM('F) Remuneraciones'!$K$219:$K$229)/4</f>
        <v>0</v>
      </c>
      <c r="Z106" s="1504"/>
      <c r="AA106" s="253">
        <f>SUM(C106:Y106)</f>
        <v>0</v>
      </c>
    </row>
    <row r="107" spans="2:27" x14ac:dyDescent="0.35">
      <c r="B107" s="251" t="s">
        <v>251</v>
      </c>
      <c r="C107" s="252">
        <f>SUM('F) Remuneraciones'!I202:I225)*0.5</f>
        <v>2813904.5</v>
      </c>
      <c r="D107" s="1507"/>
      <c r="E107" s="254">
        <v>0</v>
      </c>
      <c r="F107" s="1507"/>
      <c r="G107" s="254">
        <v>0</v>
      </c>
      <c r="H107" s="1507"/>
      <c r="I107" s="254">
        <v>0</v>
      </c>
      <c r="J107" s="1507"/>
      <c r="K107" s="254">
        <v>0</v>
      </c>
      <c r="L107" s="1507"/>
      <c r="M107" s="254">
        <v>0</v>
      </c>
      <c r="N107" s="1507"/>
      <c r="O107" s="254">
        <v>0</v>
      </c>
      <c r="P107" s="1507"/>
      <c r="Q107" s="254">
        <v>0</v>
      </c>
      <c r="R107" s="1504"/>
      <c r="S107" s="254">
        <f>SUM('F) Remuneraciones'!J202:J225)*0.5</f>
        <v>1308540</v>
      </c>
      <c r="T107" s="1504"/>
      <c r="U107" s="254">
        <v>0</v>
      </c>
      <c r="V107" s="1504"/>
      <c r="W107" s="254">
        <v>0</v>
      </c>
      <c r="X107" s="1504"/>
      <c r="Y107" s="255">
        <f>+C107+S107</f>
        <v>4122444.5</v>
      </c>
      <c r="Z107" s="1504"/>
      <c r="AA107" s="253">
        <f>SUM(C107:Y107)</f>
        <v>8244889</v>
      </c>
    </row>
    <row r="108" spans="2:27" x14ac:dyDescent="0.35">
      <c r="B108" s="268" t="s">
        <v>267</v>
      </c>
      <c r="C108" s="257">
        <f>SUM(C105:C107)</f>
        <v>13584644.208333334</v>
      </c>
      <c r="D108" s="1508"/>
      <c r="E108" s="257">
        <f>SUM(E105:E107)</f>
        <v>10770739.708333334</v>
      </c>
      <c r="F108" s="1508"/>
      <c r="G108" s="257">
        <f>SUM(G105:G107)</f>
        <v>10770739.708333334</v>
      </c>
      <c r="H108" s="1508"/>
      <c r="I108" s="257">
        <f>SUM(I105:I107)</f>
        <v>10770739.708333334</v>
      </c>
      <c r="J108" s="1508"/>
      <c r="K108" s="257">
        <f>SUM(K105:K107)</f>
        <v>10770739.708333334</v>
      </c>
      <c r="L108" s="1508"/>
      <c r="M108" s="257">
        <f>SUM(M105:M107)</f>
        <v>10770739.708333334</v>
      </c>
      <c r="N108" s="1508"/>
      <c r="O108" s="257">
        <f>SUM(O105:O107)</f>
        <v>10770739.708333334</v>
      </c>
      <c r="P108" s="1508"/>
      <c r="Q108" s="257"/>
      <c r="R108" s="1505"/>
      <c r="S108" s="257"/>
      <c r="T108" s="1505"/>
      <c r="U108" s="257"/>
      <c r="V108" s="1505"/>
      <c r="W108" s="257"/>
      <c r="X108" s="1505"/>
      <c r="Y108" s="271"/>
      <c r="Z108" s="1505"/>
      <c r="AA108" s="269"/>
    </row>
    <row r="109" spans="2:27" ht="15" thickBot="1" x14ac:dyDescent="0.4">
      <c r="B109" s="268" t="s">
        <v>252</v>
      </c>
      <c r="C109" s="257">
        <f>(+'C) Estimación Costos Directos'!$H$656-'C) Estimación Costos Directos'!$D$589)*C112</f>
        <v>19815528.787524808</v>
      </c>
      <c r="D109" s="257">
        <v>0</v>
      </c>
      <c r="E109" s="257">
        <f>(+'C) Estimación Costos Directos'!$H$656-'C) Estimación Costos Directos'!$D$589)*E112</f>
        <v>17556685.805942278</v>
      </c>
      <c r="F109" s="257">
        <v>0</v>
      </c>
      <c r="G109" s="257">
        <f>(+'C) Estimación Costos Directos'!$H$656-'C) Estimación Costos Directos'!$D$589)*G112</f>
        <v>18646460.058488511</v>
      </c>
      <c r="H109" s="257">
        <v>0</v>
      </c>
      <c r="I109" s="257">
        <f>(+'C) Estimación Costos Directos'!$H$656-'C) Estimación Costos Directos'!$D$589)*I112</f>
        <v>15109180.706962639</v>
      </c>
      <c r="J109" s="257">
        <v>0</v>
      </c>
      <c r="K109" s="257">
        <f>(+'C) Estimación Costos Directos'!$H$656-'C) Estimación Costos Directos'!$D$589)*K112</f>
        <v>19061853.303300049</v>
      </c>
      <c r="L109" s="257">
        <v>0</v>
      </c>
      <c r="M109" s="257">
        <f>(+'C) Estimación Costos Directos'!$H$656-'C) Estimación Costos Directos'!$D$589)*M112</f>
        <v>17945615.636498477</v>
      </c>
      <c r="N109" s="257"/>
      <c r="O109" s="257">
        <f>(+'C) Estimación Costos Directos'!$H$656-'C) Estimación Costos Directos'!$D$589)*O112</f>
        <v>12813061.660127701</v>
      </c>
      <c r="P109" s="257"/>
      <c r="Q109" s="257">
        <f>(+'C) Estimación Costos Directos'!$H$656-'C) Estimación Costos Directos'!$D$589)*Q112</f>
        <v>16353686.446893571</v>
      </c>
      <c r="R109" s="257"/>
      <c r="S109" s="257">
        <f>(+'C) Estimación Costos Directos'!$H$656-'C) Estimación Costos Directos'!$D$589)*S112</f>
        <v>16949498.248068087</v>
      </c>
      <c r="T109" s="257"/>
      <c r="U109" s="257">
        <f>(+'C) Estimación Costos Directos'!$H$656-'C) Estimación Costos Directos'!$D$589)*U112</f>
        <v>14718829.704871282</v>
      </c>
      <c r="V109" s="257"/>
      <c r="W109" s="257">
        <f>(+'C) Estimación Costos Directos'!$H$656-'C) Estimación Costos Directos'!$D$589)*W112</f>
        <v>8575490.7772449739</v>
      </c>
      <c r="X109" s="257"/>
      <c r="Y109" s="257">
        <f>(+'C) Estimación Costos Directos'!$H$656-'C) Estimación Costos Directos'!$D$589)*Y112</f>
        <v>23490442.15396836</v>
      </c>
      <c r="Z109" s="271"/>
      <c r="AA109" s="269">
        <f>SUM(C109:Y109)</f>
        <v>201036333.28989074</v>
      </c>
    </row>
    <row r="110" spans="2:27" ht="15" thickBot="1" x14ac:dyDescent="0.4">
      <c r="B110" s="258" t="s">
        <v>253</v>
      </c>
      <c r="C110" s="259">
        <f>+C104-C105-C106-C107-C109</f>
        <v>-7689967.0958581399</v>
      </c>
      <c r="D110" s="259">
        <f>+D104-D105-D109</f>
        <v>0</v>
      </c>
      <c r="E110" s="260">
        <f t="shared" ref="E110:AA110" si="8">+E104-E105-E106-E107-E109</f>
        <v>-5188240.2042756137</v>
      </c>
      <c r="F110" s="260">
        <f>+F104-F105-F109</f>
        <v>0</v>
      </c>
      <c r="G110" s="260">
        <f t="shared" si="8"/>
        <v>-6278014.4568218458</v>
      </c>
      <c r="H110" s="260">
        <f>+H104-H105-H109</f>
        <v>0</v>
      </c>
      <c r="I110" s="260">
        <f t="shared" si="8"/>
        <v>-5311755.6952959746</v>
      </c>
      <c r="J110" s="260">
        <f>+J104-J105-J109</f>
        <v>0</v>
      </c>
      <c r="K110" s="260">
        <f t="shared" si="8"/>
        <v>-6693407.7016333845</v>
      </c>
      <c r="L110" s="260">
        <f>+L104-L105-L109</f>
        <v>0</v>
      </c>
      <c r="M110" s="260">
        <f t="shared" si="8"/>
        <v>-5577170.0348318126</v>
      </c>
      <c r="N110" s="260"/>
      <c r="O110" s="260">
        <f t="shared" si="8"/>
        <v>-8157677.8284610361</v>
      </c>
      <c r="P110" s="260"/>
      <c r="Q110" s="260">
        <f t="shared" si="8"/>
        <v>-6556261.4352269061</v>
      </c>
      <c r="R110" s="260"/>
      <c r="S110" s="260">
        <f t="shared" si="8"/>
        <v>-8460613.2364014219</v>
      </c>
      <c r="T110" s="260"/>
      <c r="U110" s="260">
        <f t="shared" si="8"/>
        <v>-7492425.2832046133</v>
      </c>
      <c r="V110" s="260"/>
      <c r="W110" s="260">
        <f t="shared" si="8"/>
        <v>-6491127.5355783068</v>
      </c>
      <c r="X110" s="261"/>
      <c r="Y110" s="261">
        <f t="shared" si="8"/>
        <v>-7531379.2823016979</v>
      </c>
      <c r="Z110" s="272"/>
      <c r="AA110" s="262">
        <f t="shared" si="8"/>
        <v>-81428039.789890781</v>
      </c>
    </row>
    <row r="111" spans="2:27" x14ac:dyDescent="0.35">
      <c r="B111" s="263" t="s">
        <v>254</v>
      </c>
      <c r="C111" s="264">
        <v>9.8566903122686664E-2</v>
      </c>
      <c r="D111" s="264"/>
      <c r="E111" s="264">
        <v>8.7330909386542865E-2</v>
      </c>
      <c r="F111" s="264"/>
      <c r="G111" s="264">
        <v>9.2751691962072613E-2</v>
      </c>
      <c r="H111" s="264"/>
      <c r="I111" s="264">
        <v>7.515646778722071E-2</v>
      </c>
      <c r="J111" s="264"/>
      <c r="K111" s="264">
        <v>9.4817951518311877E-2</v>
      </c>
      <c r="L111" s="264"/>
      <c r="M111" s="264">
        <v>8.9265533960078872E-2</v>
      </c>
      <c r="N111" s="264"/>
      <c r="O111" s="264">
        <v>6.3735054507045252E-2</v>
      </c>
      <c r="P111" s="264"/>
      <c r="Q111" s="264">
        <v>8.1346919630253367E-2</v>
      </c>
      <c r="R111" s="264"/>
      <c r="S111" s="264">
        <v>8.4310621720439058E-2</v>
      </c>
      <c r="T111" s="264"/>
      <c r="U111" s="264">
        <v>7.3214773986386816E-2</v>
      </c>
      <c r="V111" s="264"/>
      <c r="W111" s="264">
        <v>4.2656422532733287E-2</v>
      </c>
      <c r="X111" s="264"/>
      <c r="Y111" s="264">
        <v>0.11684674988622863</v>
      </c>
      <c r="Z111" s="264"/>
      <c r="AA111" s="206"/>
    </row>
    <row r="112" spans="2:27" x14ac:dyDescent="0.35">
      <c r="B112" s="266" t="s">
        <v>255</v>
      </c>
      <c r="C112" s="267">
        <v>9.8566903122686664E-2</v>
      </c>
      <c r="D112" s="267"/>
      <c r="E112" s="267">
        <v>8.7330909386542865E-2</v>
      </c>
      <c r="F112" s="267"/>
      <c r="G112" s="267">
        <v>9.2751691962072613E-2</v>
      </c>
      <c r="H112" s="267"/>
      <c r="I112" s="267">
        <v>7.515646778722071E-2</v>
      </c>
      <c r="J112" s="267"/>
      <c r="K112" s="267">
        <v>9.4817951518311877E-2</v>
      </c>
      <c r="L112" s="267"/>
      <c r="M112" s="267">
        <v>8.9265533960078872E-2</v>
      </c>
      <c r="N112" s="267"/>
      <c r="O112" s="267">
        <v>6.3735054507045252E-2</v>
      </c>
      <c r="P112" s="267"/>
      <c r="Q112" s="267">
        <v>8.1346919630253367E-2</v>
      </c>
      <c r="R112" s="267"/>
      <c r="S112" s="267">
        <v>8.4310621720439058E-2</v>
      </c>
      <c r="T112" s="267"/>
      <c r="U112" s="267">
        <v>7.3214773986386816E-2</v>
      </c>
      <c r="V112" s="267"/>
      <c r="W112" s="267">
        <v>4.2656422532733287E-2</v>
      </c>
      <c r="X112" s="267"/>
      <c r="Y112" s="267">
        <v>0.11684674988622863</v>
      </c>
      <c r="Z112" s="267"/>
      <c r="AA112" s="206"/>
    </row>
    <row r="113" spans="2:27" ht="15" thickBot="1" x14ac:dyDescent="0.4"/>
    <row r="114" spans="2:27" ht="29.5" thickBot="1" x14ac:dyDescent="0.4">
      <c r="B114" s="249" t="s">
        <v>265</v>
      </c>
      <c r="C114" s="283" t="s">
        <v>235</v>
      </c>
      <c r="D114" s="284" t="s">
        <v>268</v>
      </c>
      <c r="E114" s="285" t="s">
        <v>236</v>
      </c>
      <c r="F114" s="284" t="s">
        <v>269</v>
      </c>
      <c r="G114" s="285" t="s">
        <v>237</v>
      </c>
      <c r="H114" s="284" t="s">
        <v>270</v>
      </c>
      <c r="I114" s="285" t="s">
        <v>238</v>
      </c>
      <c r="J114" s="284" t="s">
        <v>271</v>
      </c>
      <c r="K114" s="285" t="s">
        <v>239</v>
      </c>
      <c r="L114" s="284" t="s">
        <v>272</v>
      </c>
      <c r="M114" s="285" t="s">
        <v>240</v>
      </c>
      <c r="N114" s="284" t="s">
        <v>273</v>
      </c>
      <c r="O114" s="285" t="s">
        <v>241</v>
      </c>
      <c r="P114" s="284" t="s">
        <v>274</v>
      </c>
      <c r="Q114" s="285" t="s">
        <v>242</v>
      </c>
      <c r="R114" s="284" t="s">
        <v>275</v>
      </c>
      <c r="S114" s="285" t="s">
        <v>243</v>
      </c>
      <c r="T114" s="284" t="s">
        <v>276</v>
      </c>
      <c r="U114" s="285" t="s">
        <v>244</v>
      </c>
      <c r="V114" s="284" t="s">
        <v>277</v>
      </c>
      <c r="W114" s="285" t="s">
        <v>245</v>
      </c>
      <c r="X114" s="284" t="s">
        <v>278</v>
      </c>
      <c r="Y114" s="285" t="s">
        <v>246</v>
      </c>
      <c r="Z114" s="286" t="s">
        <v>279</v>
      </c>
      <c r="AA114" s="250" t="s">
        <v>247</v>
      </c>
    </row>
    <row r="115" spans="2:27" x14ac:dyDescent="0.35">
      <c r="B115" s="251" t="s">
        <v>248</v>
      </c>
      <c r="C115" s="252">
        <f>+'A) Resumen Ingresos y Egresos'!$D$18*'J) ESTRUCTURA ECONÓMICA MENS'!C115</f>
        <v>2405896.4859173214</v>
      </c>
      <c r="D115" s="252">
        <v>0</v>
      </c>
      <c r="E115" s="252">
        <f>+'A) Resumen Ingresos y Egresos'!$D$18*'J) ESTRUCTURA ECONÓMICA MENS'!D115</f>
        <v>2188577.9058176945</v>
      </c>
      <c r="F115" s="252">
        <v>0</v>
      </c>
      <c r="G115" s="252">
        <f>+'A) Resumen Ingresos y Egresos'!$D$18*'J) ESTRUCTURA ECONÓMICA MENS'!E115</f>
        <v>1824710.4270808946</v>
      </c>
      <c r="H115" s="252">
        <v>0</v>
      </c>
      <c r="I115" s="252">
        <f>+'A) Resumen Ingresos y Egresos'!$D$18*'J) ESTRUCTURA ECONÓMICA MENS'!F115</f>
        <v>1990613.5795189289</v>
      </c>
      <c r="J115" s="252">
        <v>0</v>
      </c>
      <c r="K115" s="252">
        <f>+'A) Resumen Ingresos y Egresos'!$D$18*'J) ESTRUCTURA ECONÓMICA MENS'!G115</f>
        <v>2797829.0856874259</v>
      </c>
      <c r="L115" s="252">
        <v>0</v>
      </c>
      <c r="M115" s="252">
        <f>+'A) Resumen Ingresos y Egresos'!$D$18*'J) ESTRUCTURA ECONÓMICA MENS'!H115</f>
        <v>1297616.9890463063</v>
      </c>
      <c r="N115" s="252"/>
      <c r="O115" s="252">
        <f>+'A) Resumen Ingresos y Egresos'!$D$18*'J) ESTRUCTURA ECONÓMICA MENS'!I115</f>
        <v>1386688.9363402629</v>
      </c>
      <c r="P115" s="252"/>
      <c r="Q115" s="252">
        <f>+'A) Resumen Ingresos y Egresos'!$D$18*'J) ESTRUCTURA ECONÓMICA MENS'!J115</f>
        <v>1518410.7135658821</v>
      </c>
      <c r="R115" s="252"/>
      <c r="S115" s="252">
        <f>+'A) Resumen Ingresos y Egresos'!$D$18*'J) ESTRUCTURA ECONÓMICA MENS'!K115</f>
        <v>1610117.9585307713</v>
      </c>
      <c r="T115" s="252"/>
      <c r="U115" s="252">
        <f>+'A) Resumen Ingresos y Egresos'!$D$18*'J) ESTRUCTURA ECONÓMICA MENS'!L115</f>
        <v>994531.36032164714</v>
      </c>
      <c r="V115" s="252"/>
      <c r="W115" s="252">
        <f>+'A) Resumen Ingresos y Egresos'!$D$18*'J) ESTRUCTURA ECONÓMICA MENS'!M115</f>
        <v>5379401.7503989814</v>
      </c>
      <c r="X115" s="252"/>
      <c r="Y115" s="252">
        <f>+'A) Resumen Ingresos y Egresos'!$D$18*'J) ESTRUCTURA ECONÓMICA MENS'!N115</f>
        <v>5254976.8077738844</v>
      </c>
      <c r="Z115" s="270"/>
      <c r="AA115" s="253">
        <f>SUM(C115:Y115)</f>
        <v>28649372</v>
      </c>
    </row>
    <row r="116" spans="2:27" x14ac:dyDescent="0.35">
      <c r="B116" s="251" t="s">
        <v>249</v>
      </c>
      <c r="C116" s="252">
        <f>SUM('F) Remuneraciones'!$K$230:$K$240)/12</f>
        <v>2369244.5</v>
      </c>
      <c r="D116" s="1506">
        <v>0</v>
      </c>
      <c r="E116" s="252">
        <f>SUM('F) Remuneraciones'!$K$230:$K$240)/12</f>
        <v>2369244.5</v>
      </c>
      <c r="F116" s="1506">
        <v>0</v>
      </c>
      <c r="G116" s="252">
        <f>SUM('F) Remuneraciones'!$K$230:$K$240)/12</f>
        <v>2369244.5</v>
      </c>
      <c r="H116" s="1506">
        <v>0</v>
      </c>
      <c r="I116" s="252">
        <f>SUM('F) Remuneraciones'!$K$230:$K$240)/12</f>
        <v>2369244.5</v>
      </c>
      <c r="J116" s="1506">
        <v>0</v>
      </c>
      <c r="K116" s="252">
        <f>SUM('F) Remuneraciones'!$K$230:$K$240)/12</f>
        <v>2369244.5</v>
      </c>
      <c r="L116" s="1506">
        <v>0</v>
      </c>
      <c r="M116" s="252">
        <f>SUM('F) Remuneraciones'!$K$230:$K$240)/12</f>
        <v>2369244.5</v>
      </c>
      <c r="N116" s="1506"/>
      <c r="O116" s="252">
        <f>SUM('F) Remuneraciones'!$K$230:$K$240)/12</f>
        <v>2369244.5</v>
      </c>
      <c r="P116" s="1506"/>
      <c r="Q116" s="252">
        <f>SUM('F) Remuneraciones'!$K$230:$K$240)/12</f>
        <v>2369244.5</v>
      </c>
      <c r="R116" s="1503"/>
      <c r="S116" s="252">
        <f>SUM('F) Remuneraciones'!$K$230:$K$240)/12</f>
        <v>2369244.5</v>
      </c>
      <c r="T116" s="1503"/>
      <c r="U116" s="252">
        <f>SUM('F) Remuneraciones'!$K$230:$K$240)/12</f>
        <v>2369244.5</v>
      </c>
      <c r="V116" s="1503"/>
      <c r="W116" s="252">
        <f>SUM('F) Remuneraciones'!$K$230:$K$240)/12</f>
        <v>2369244.5</v>
      </c>
      <c r="X116" s="1503"/>
      <c r="Y116" s="252">
        <f>SUM('F) Remuneraciones'!$K$230:$K$240)/12</f>
        <v>2369244.5</v>
      </c>
      <c r="Z116" s="1503"/>
      <c r="AA116" s="253">
        <f>SUM(C116:Y116)</f>
        <v>28430934</v>
      </c>
    </row>
    <row r="117" spans="2:27" x14ac:dyDescent="0.35">
      <c r="B117" s="251" t="s">
        <v>250</v>
      </c>
      <c r="C117" s="252">
        <f>SUM('F) Remuneraciones'!$K$241:$K$251)/4</f>
        <v>0</v>
      </c>
      <c r="D117" s="1507"/>
      <c r="E117" s="252">
        <f>SUM('F) Remuneraciones'!$K$241:$K$251)/4</f>
        <v>0</v>
      </c>
      <c r="F117" s="1507"/>
      <c r="G117" s="252">
        <f>SUM('F) Remuneraciones'!$K$241:$K$251)/4</f>
        <v>0</v>
      </c>
      <c r="H117" s="1507"/>
      <c r="I117" s="252">
        <v>0</v>
      </c>
      <c r="J117" s="1507"/>
      <c r="K117" s="252">
        <v>0</v>
      </c>
      <c r="L117" s="1507"/>
      <c r="M117" s="252">
        <v>0</v>
      </c>
      <c r="N117" s="1507"/>
      <c r="O117" s="252">
        <v>0</v>
      </c>
      <c r="P117" s="1507"/>
      <c r="Q117" s="252">
        <v>0</v>
      </c>
      <c r="R117" s="1504"/>
      <c r="S117" s="252">
        <v>0</v>
      </c>
      <c r="T117" s="1504"/>
      <c r="U117" s="252">
        <v>0</v>
      </c>
      <c r="V117" s="1504"/>
      <c r="W117" s="252">
        <v>0</v>
      </c>
      <c r="X117" s="1504"/>
      <c r="Y117" s="252">
        <f>SUM('F) Remuneraciones'!$K$241:$K$251)/4</f>
        <v>0</v>
      </c>
      <c r="Z117" s="1504"/>
      <c r="AA117" s="253">
        <f>SUM(C117:Y117)</f>
        <v>0</v>
      </c>
    </row>
    <row r="118" spans="2:27" x14ac:dyDescent="0.35">
      <c r="B118" s="251" t="s">
        <v>251</v>
      </c>
      <c r="C118" s="252">
        <f>SUM('F) Remuneraciones'!I226:I247)*0.5</f>
        <v>303251</v>
      </c>
      <c r="D118" s="1507"/>
      <c r="E118" s="254">
        <v>0</v>
      </c>
      <c r="F118" s="1507"/>
      <c r="G118" s="254">
        <v>0</v>
      </c>
      <c r="H118" s="1507"/>
      <c r="I118" s="254">
        <v>0</v>
      </c>
      <c r="J118" s="1507"/>
      <c r="K118" s="254">
        <v>0</v>
      </c>
      <c r="L118" s="1507"/>
      <c r="M118" s="254">
        <v>0</v>
      </c>
      <c r="N118" s="1507"/>
      <c r="O118" s="254">
        <v>0</v>
      </c>
      <c r="P118" s="1507"/>
      <c r="Q118" s="254">
        <v>0</v>
      </c>
      <c r="R118" s="1504"/>
      <c r="S118" s="254">
        <f>SUM('F) Remuneraciones'!J226:J247)*0.5</f>
        <v>174835</v>
      </c>
      <c r="T118" s="1504"/>
      <c r="U118" s="254">
        <v>0</v>
      </c>
      <c r="V118" s="1504"/>
      <c r="W118" s="254">
        <v>0</v>
      </c>
      <c r="X118" s="1504"/>
      <c r="Y118" s="255">
        <f>+C118+S118</f>
        <v>478086</v>
      </c>
      <c r="Z118" s="1504"/>
      <c r="AA118" s="253">
        <f>SUM(C118:Y118)</f>
        <v>956172</v>
      </c>
    </row>
    <row r="119" spans="2:27" x14ac:dyDescent="0.35">
      <c r="B119" s="268" t="s">
        <v>267</v>
      </c>
      <c r="C119" s="257">
        <f>SUM(C116:C118)</f>
        <v>2672495.5</v>
      </c>
      <c r="D119" s="1508"/>
      <c r="E119" s="257">
        <f>SUM(E116:E118)</f>
        <v>2369244.5</v>
      </c>
      <c r="F119" s="1508"/>
      <c r="G119" s="257">
        <f>SUM(G116:G118)</f>
        <v>2369244.5</v>
      </c>
      <c r="H119" s="1508"/>
      <c r="I119" s="257">
        <f>SUM(I116:I118)</f>
        <v>2369244.5</v>
      </c>
      <c r="J119" s="1508"/>
      <c r="K119" s="257">
        <f>SUM(K116:K118)</f>
        <v>2369244.5</v>
      </c>
      <c r="L119" s="1508"/>
      <c r="M119" s="257">
        <f>SUM(M116:M118)</f>
        <v>2369244.5</v>
      </c>
      <c r="N119" s="1508"/>
      <c r="O119" s="257"/>
      <c r="P119" s="1508"/>
      <c r="Q119" s="257"/>
      <c r="R119" s="1505"/>
      <c r="S119" s="257"/>
      <c r="T119" s="1505"/>
      <c r="U119" s="257"/>
      <c r="V119" s="1505"/>
      <c r="W119" s="257"/>
      <c r="X119" s="1505"/>
      <c r="Y119" s="271"/>
      <c r="Z119" s="1505"/>
      <c r="AA119" s="269"/>
    </row>
    <row r="120" spans="2:27" ht="15" thickBot="1" x14ac:dyDescent="0.4">
      <c r="B120" s="268" t="s">
        <v>252</v>
      </c>
      <c r="C120" s="257">
        <f>(+'C) Estimación Costos Directos'!$H$728-'C) Estimación Costos Directos'!$D$661)*C123</f>
        <v>845734.53827417025</v>
      </c>
      <c r="D120" s="257">
        <v>0</v>
      </c>
      <c r="E120" s="257">
        <f>(+'C) Estimación Costos Directos'!$H$728-'C) Estimación Costos Directos'!$D$661)*E123</f>
        <v>734205.27447554085</v>
      </c>
      <c r="F120" s="257">
        <v>0</v>
      </c>
      <c r="G120" s="257">
        <f>(+'C) Estimación Costos Directos'!$H$728-'C) Estimación Costos Directos'!$D$661)*G123</f>
        <v>470842.44158066448</v>
      </c>
      <c r="H120" s="257">
        <v>0</v>
      </c>
      <c r="I120" s="257">
        <f>(+'C) Estimación Costos Directos'!$H$728-'C) Estimación Costos Directos'!$D$661)*I123</f>
        <v>765905.68777238647</v>
      </c>
      <c r="J120" s="257">
        <v>0</v>
      </c>
      <c r="K120" s="257">
        <f>(+'C) Estimación Costos Directos'!$H$728-'C) Estimación Costos Directos'!$D$661)*K123</f>
        <v>998823.37537132401</v>
      </c>
      <c r="L120" s="257">
        <v>0</v>
      </c>
      <c r="M120" s="257">
        <f>(+'C) Estimación Costos Directos'!$H$728-'C) Estimación Costos Directos'!$D$661)*M123</f>
        <v>785296.9822225325</v>
      </c>
      <c r="N120" s="257"/>
      <c r="O120" s="257">
        <f>(+'C) Estimación Costos Directos'!$H$728-'C) Estimación Costos Directos'!$D$661)*O123</f>
        <v>597842.22306281968</v>
      </c>
      <c r="P120" s="257"/>
      <c r="Q120" s="257">
        <f>(+'C) Estimación Costos Directos'!$H$728-'C) Estimación Costos Directos'!$D$661)*Q123</f>
        <v>630346.87782287318</v>
      </c>
      <c r="R120" s="257"/>
      <c r="S120" s="257">
        <f>(+'C) Estimación Costos Directos'!$H$728-'C) Estimación Costos Directos'!$D$661)*S123</f>
        <v>583042.83651112835</v>
      </c>
      <c r="T120" s="257"/>
      <c r="U120" s="257">
        <f>(+'C) Estimación Costos Directos'!$H$728-'C) Estimación Costos Directos'!$D$661)*U123</f>
        <v>366938.61206040235</v>
      </c>
      <c r="V120" s="257"/>
      <c r="W120" s="257">
        <f>(+'C) Estimación Costos Directos'!$H$728-'C) Estimación Costos Directos'!$D$661)*W123</f>
        <v>914404.66657413484</v>
      </c>
      <c r="X120" s="257"/>
      <c r="Y120" s="257">
        <f>(+'C) Estimación Costos Directos'!$H$728-'C) Estimación Costos Directos'!$D$661)*Y123</f>
        <v>1936345.0592720262</v>
      </c>
      <c r="Z120" s="271"/>
      <c r="AA120" s="269">
        <f>SUM(C120:Y120)</f>
        <v>9629728.575000003</v>
      </c>
    </row>
    <row r="121" spans="2:27" ht="15" thickBot="1" x14ac:dyDescent="0.4">
      <c r="B121" s="258" t="s">
        <v>253</v>
      </c>
      <c r="C121" s="259">
        <f>+C115-C116-C117-C118-C120</f>
        <v>-1112333.552356849</v>
      </c>
      <c r="D121" s="259">
        <f>+D115-D116-D120</f>
        <v>0</v>
      </c>
      <c r="E121" s="260">
        <f t="shared" ref="E121:AA121" si="9">+E115-E116-E117-E118-E120</f>
        <v>-914871.86865784635</v>
      </c>
      <c r="F121" s="260">
        <f>+F115-F116-F120</f>
        <v>0</v>
      </c>
      <c r="G121" s="260">
        <f t="shared" si="9"/>
        <v>-1015376.5144997699</v>
      </c>
      <c r="H121" s="260">
        <f>+H115-H116-H120</f>
        <v>0</v>
      </c>
      <c r="I121" s="260">
        <f t="shared" si="9"/>
        <v>-1144536.6082534576</v>
      </c>
      <c r="J121" s="260">
        <f>+J115-J116-J120</f>
        <v>0</v>
      </c>
      <c r="K121" s="260">
        <f t="shared" si="9"/>
        <v>-570238.7896838981</v>
      </c>
      <c r="L121" s="260">
        <f>+L115-L116-L120</f>
        <v>0</v>
      </c>
      <c r="M121" s="260">
        <f t="shared" si="9"/>
        <v>-1856924.493176226</v>
      </c>
      <c r="N121" s="260"/>
      <c r="O121" s="260">
        <f t="shared" si="9"/>
        <v>-1580397.7867225567</v>
      </c>
      <c r="P121" s="260"/>
      <c r="Q121" s="260">
        <f t="shared" si="9"/>
        <v>-1481180.6642569911</v>
      </c>
      <c r="R121" s="260"/>
      <c r="S121" s="260">
        <f t="shared" si="9"/>
        <v>-1517004.377980357</v>
      </c>
      <c r="T121" s="260"/>
      <c r="U121" s="260">
        <f t="shared" si="9"/>
        <v>-1741651.7517387553</v>
      </c>
      <c r="V121" s="260"/>
      <c r="W121" s="260">
        <f t="shared" si="9"/>
        <v>2095752.5838248464</v>
      </c>
      <c r="X121" s="261"/>
      <c r="Y121" s="261">
        <f t="shared" si="9"/>
        <v>471301.24850185821</v>
      </c>
      <c r="Z121" s="272"/>
      <c r="AA121" s="262">
        <f t="shared" si="9"/>
        <v>-10367462.575000003</v>
      </c>
    </row>
    <row r="122" spans="2:27" x14ac:dyDescent="0.35">
      <c r="B122" s="263" t="s">
        <v>254</v>
      </c>
      <c r="C122" s="264">
        <v>8.3977285293280468E-2</v>
      </c>
      <c r="D122" s="264"/>
      <c r="E122" s="264">
        <v>7.6391828268266918E-2</v>
      </c>
      <c r="F122" s="264"/>
      <c r="G122" s="264">
        <v>6.3691114314159997E-2</v>
      </c>
      <c r="H122" s="264"/>
      <c r="I122" s="264">
        <v>6.9481927196132914E-2</v>
      </c>
      <c r="J122" s="264"/>
      <c r="K122" s="264">
        <v>9.7657606096476599E-2</v>
      </c>
      <c r="L122" s="264"/>
      <c r="M122" s="264">
        <v>4.5293034313153756E-2</v>
      </c>
      <c r="N122" s="264"/>
      <c r="O122" s="264">
        <v>4.8402070954304439E-2</v>
      </c>
      <c r="P122" s="264"/>
      <c r="Q122" s="264">
        <v>5.299979048636326E-2</v>
      </c>
      <c r="R122" s="264"/>
      <c r="S122" s="264">
        <v>5.6200811610487351E-2</v>
      </c>
      <c r="T122" s="264"/>
      <c r="U122" s="264">
        <v>3.4713897404859244E-2</v>
      </c>
      <c r="V122" s="264"/>
      <c r="W122" s="264">
        <v>0.18776682959748581</v>
      </c>
      <c r="X122" s="264"/>
      <c r="Y122" s="264">
        <v>0.18342380446502926</v>
      </c>
      <c r="Z122" s="264"/>
      <c r="AA122" s="206"/>
    </row>
    <row r="123" spans="2:27" x14ac:dyDescent="0.35">
      <c r="B123" s="266" t="s">
        <v>255</v>
      </c>
      <c r="C123" s="267">
        <v>8.7825376560436444E-2</v>
      </c>
      <c r="D123" s="267"/>
      <c r="E123" s="267">
        <v>7.6243610477415832E-2</v>
      </c>
      <c r="F123" s="267"/>
      <c r="G123" s="267">
        <v>4.8894674228205266E-2</v>
      </c>
      <c r="H123" s="267"/>
      <c r="I123" s="267">
        <v>7.953554264870713E-2</v>
      </c>
      <c r="J123" s="267"/>
      <c r="K123" s="267">
        <v>0.10372290014117284</v>
      </c>
      <c r="L123" s="267"/>
      <c r="M123" s="267">
        <v>8.1549233304587951E-2</v>
      </c>
      <c r="N123" s="267"/>
      <c r="O123" s="267">
        <v>6.2082977563344202E-2</v>
      </c>
      <c r="P123" s="267"/>
      <c r="Q123" s="267">
        <v>6.5458426259212915E-2</v>
      </c>
      <c r="R123" s="267"/>
      <c r="S123" s="267">
        <v>6.0546133981884138E-2</v>
      </c>
      <c r="T123" s="267"/>
      <c r="U123" s="267">
        <v>3.8104772029922164E-2</v>
      </c>
      <c r="V123" s="267"/>
      <c r="W123" s="267">
        <v>9.4956431996229398E-2</v>
      </c>
      <c r="X123" s="267"/>
      <c r="Y123" s="267">
        <v>0.20107992080888173</v>
      </c>
      <c r="Z123" s="267"/>
      <c r="AA123" s="206"/>
    </row>
    <row r="124" spans="2:27" ht="15" thickBot="1" x14ac:dyDescent="0.4"/>
    <row r="125" spans="2:27" ht="29.5" thickBot="1" x14ac:dyDescent="0.4">
      <c r="B125" s="249" t="s">
        <v>266</v>
      </c>
      <c r="C125" s="283" t="s">
        <v>235</v>
      </c>
      <c r="D125" s="284" t="s">
        <v>268</v>
      </c>
      <c r="E125" s="285" t="s">
        <v>236</v>
      </c>
      <c r="F125" s="284" t="s">
        <v>269</v>
      </c>
      <c r="G125" s="285" t="s">
        <v>237</v>
      </c>
      <c r="H125" s="284" t="s">
        <v>270</v>
      </c>
      <c r="I125" s="285" t="s">
        <v>238</v>
      </c>
      <c r="J125" s="284" t="s">
        <v>271</v>
      </c>
      <c r="K125" s="285" t="s">
        <v>239</v>
      </c>
      <c r="L125" s="284" t="s">
        <v>272</v>
      </c>
      <c r="M125" s="285" t="s">
        <v>240</v>
      </c>
      <c r="N125" s="284" t="s">
        <v>273</v>
      </c>
      <c r="O125" s="285" t="s">
        <v>241</v>
      </c>
      <c r="P125" s="284" t="s">
        <v>274</v>
      </c>
      <c r="Q125" s="285" t="s">
        <v>242</v>
      </c>
      <c r="R125" s="284" t="s">
        <v>275</v>
      </c>
      <c r="S125" s="285" t="s">
        <v>243</v>
      </c>
      <c r="T125" s="284" t="s">
        <v>276</v>
      </c>
      <c r="U125" s="285" t="s">
        <v>244</v>
      </c>
      <c r="V125" s="284" t="s">
        <v>277</v>
      </c>
      <c r="W125" s="285" t="s">
        <v>245</v>
      </c>
      <c r="X125" s="284" t="s">
        <v>278</v>
      </c>
      <c r="Y125" s="285" t="s">
        <v>246</v>
      </c>
      <c r="Z125" s="286" t="s">
        <v>279</v>
      </c>
      <c r="AA125" s="250" t="s">
        <v>247</v>
      </c>
    </row>
    <row r="126" spans="2:27" x14ac:dyDescent="0.35">
      <c r="B126" s="251" t="s">
        <v>248</v>
      </c>
      <c r="C126" s="252">
        <f>+'A) Resumen Ingresos y Egresos'!$D$19*'J) ESTRUCTURA ECONÓMICA MENS'!C126</f>
        <v>1487822.1687624624</v>
      </c>
      <c r="D126" s="252">
        <v>0</v>
      </c>
      <c r="E126" s="252">
        <f>+'A) Resumen Ingresos y Egresos'!$D$19*'J) ESTRUCTURA ECONÓMICA MENS'!D126</f>
        <v>493824.52230871073</v>
      </c>
      <c r="F126" s="252">
        <v>0</v>
      </c>
      <c r="G126" s="252">
        <f>+'A) Resumen Ingresos y Egresos'!$D$19*'J) ESTRUCTURA ECONÓMICA MENS'!E126</f>
        <v>1113969.4036720826</v>
      </c>
      <c r="H126" s="252">
        <v>0</v>
      </c>
      <c r="I126" s="252">
        <f>+'A) Resumen Ingresos y Egresos'!$D$19*'J) ESTRUCTURA ECONÓMICA MENS'!F126</f>
        <v>1211216.5298140133</v>
      </c>
      <c r="J126" s="252">
        <v>0</v>
      </c>
      <c r="K126" s="252">
        <f>+'A) Resumen Ingresos y Egresos'!$D$19*'J) ESTRUCTURA ECONÓMICA MENS'!G126</f>
        <v>847517.32328968472</v>
      </c>
      <c r="L126" s="252">
        <v>0</v>
      </c>
      <c r="M126" s="252">
        <f>+'A) Resumen Ingresos y Egresos'!$D$19*'J) ESTRUCTURA ECONÓMICA MENS'!H126</f>
        <v>2139310.6439601663</v>
      </c>
      <c r="N126" s="252"/>
      <c r="O126" s="252">
        <f>+'A) Resumen Ingresos y Egresos'!$D$19*'J) ESTRUCTURA ECONÓMICA MENS'!I126</f>
        <v>1324713.5540337029</v>
      </c>
      <c r="P126" s="252"/>
      <c r="Q126" s="252">
        <f>+'A) Resumen Ingresos y Egresos'!$D$19*'J) ESTRUCTURA ECONÓMICA MENS'!J126</f>
        <v>2051018.83034233</v>
      </c>
      <c r="R126" s="252"/>
      <c r="S126" s="252">
        <f>+'A) Resumen Ingresos y Egresos'!$D$19*'J) ESTRUCTURA ECONÓMICA MENS'!K126</f>
        <v>1403545.5304781995</v>
      </c>
      <c r="T126" s="252"/>
      <c r="U126" s="252">
        <f>+'A) Resumen Ingresos y Egresos'!$D$19*'J) ESTRUCTURA ECONÓMICA MENS'!L126</f>
        <v>753444.49806591903</v>
      </c>
      <c r="V126" s="252"/>
      <c r="W126" s="252">
        <f>+'A) Resumen Ingresos y Egresos'!$D$19*'J) ESTRUCTURA ECONÓMICA MENS'!M126</f>
        <v>759225.50967184885</v>
      </c>
      <c r="X126" s="252"/>
      <c r="Y126" s="252">
        <f>+'A) Resumen Ingresos y Egresos'!$D$19*'J) ESTRUCTURA ECONÓMICA MENS'!N126</f>
        <v>973648.48560087918</v>
      </c>
      <c r="Z126" s="270"/>
      <c r="AA126" s="253">
        <f>SUM(C126:Y126)</f>
        <v>14559256.999999998</v>
      </c>
    </row>
    <row r="127" spans="2:27" x14ac:dyDescent="0.35">
      <c r="B127" s="251" t="s">
        <v>249</v>
      </c>
      <c r="C127" s="252">
        <f>SUM('F) Remuneraciones'!$K$252:$K$262)/12</f>
        <v>2960181.75</v>
      </c>
      <c r="D127" s="1506">
        <v>0</v>
      </c>
      <c r="E127" s="252">
        <f>SUM('F) Remuneraciones'!$K$252:$K$262)/12</f>
        <v>2960181.75</v>
      </c>
      <c r="F127" s="1506">
        <v>0</v>
      </c>
      <c r="G127" s="252">
        <f>SUM('F) Remuneraciones'!$K$252:$K$262)/12</f>
        <v>2960181.75</v>
      </c>
      <c r="H127" s="1506">
        <v>0</v>
      </c>
      <c r="I127" s="252">
        <f>SUM('F) Remuneraciones'!$K$252:$K$262)/12</f>
        <v>2960181.75</v>
      </c>
      <c r="J127" s="1506">
        <v>0</v>
      </c>
      <c r="K127" s="252">
        <f>SUM('F) Remuneraciones'!$K$252:$K$262)/12</f>
        <v>2960181.75</v>
      </c>
      <c r="L127" s="1506">
        <v>0</v>
      </c>
      <c r="M127" s="252">
        <f>SUM('F) Remuneraciones'!$K$252:$K$262)/12</f>
        <v>2960181.75</v>
      </c>
      <c r="N127" s="1506"/>
      <c r="O127" s="252">
        <f>SUM('F) Remuneraciones'!$K$252:$K$262)/12</f>
        <v>2960181.75</v>
      </c>
      <c r="P127" s="1506"/>
      <c r="Q127" s="252">
        <f>SUM('F) Remuneraciones'!$K$252:$K$262)/12</f>
        <v>2960181.75</v>
      </c>
      <c r="R127" s="1503"/>
      <c r="S127" s="252">
        <f>SUM('F) Remuneraciones'!$K$252:$K$262)/12</f>
        <v>2960181.75</v>
      </c>
      <c r="T127" s="1503"/>
      <c r="U127" s="252">
        <f>SUM('F) Remuneraciones'!$K$252:$K$262)/12</f>
        <v>2960181.75</v>
      </c>
      <c r="V127" s="1503"/>
      <c r="W127" s="252">
        <f>SUM('F) Remuneraciones'!$K$252:$K$262)/12</f>
        <v>2960181.75</v>
      </c>
      <c r="X127" s="1503"/>
      <c r="Y127" s="252">
        <f>SUM('F) Remuneraciones'!$K$252:$K$262)/12</f>
        <v>2960181.75</v>
      </c>
      <c r="Z127" s="1503"/>
      <c r="AA127" s="253">
        <f>SUM(C127:Y127)</f>
        <v>35522181</v>
      </c>
    </row>
    <row r="128" spans="2:27" x14ac:dyDescent="0.35">
      <c r="B128" s="251" t="s">
        <v>250</v>
      </c>
      <c r="C128" s="252">
        <f>SUM('F) Remuneraciones'!$K$263:$K$273)/4</f>
        <v>0</v>
      </c>
      <c r="D128" s="1507"/>
      <c r="E128" s="252">
        <f>SUM('F) Remuneraciones'!$K$263:$K$273)/4</f>
        <v>0</v>
      </c>
      <c r="F128" s="1507"/>
      <c r="G128" s="252">
        <f>SUM('F) Remuneraciones'!$K$263:$K$273)/4</f>
        <v>0</v>
      </c>
      <c r="H128" s="1507"/>
      <c r="I128" s="252">
        <v>0</v>
      </c>
      <c r="J128" s="1507"/>
      <c r="K128" s="252">
        <v>0</v>
      </c>
      <c r="L128" s="1507"/>
      <c r="M128" s="252">
        <v>0</v>
      </c>
      <c r="N128" s="1507"/>
      <c r="O128" s="252">
        <v>0</v>
      </c>
      <c r="P128" s="1507"/>
      <c r="Q128" s="252">
        <v>0</v>
      </c>
      <c r="R128" s="1504"/>
      <c r="S128" s="252">
        <v>0</v>
      </c>
      <c r="T128" s="1504"/>
      <c r="U128" s="252">
        <v>0</v>
      </c>
      <c r="V128" s="1504"/>
      <c r="W128" s="252">
        <v>0</v>
      </c>
      <c r="X128" s="1504"/>
      <c r="Y128" s="252">
        <f>SUM('F) Remuneraciones'!$K$263:$K$273)/4</f>
        <v>0</v>
      </c>
      <c r="Z128" s="1504"/>
      <c r="AA128" s="253">
        <f>SUM(C128:Y128)</f>
        <v>0</v>
      </c>
    </row>
    <row r="129" spans="2:27" x14ac:dyDescent="0.35">
      <c r="B129" s="251" t="s">
        <v>251</v>
      </c>
      <c r="C129" s="252">
        <f>SUM('F) Remuneraciones'!I248:I269)*0.5</f>
        <v>772952</v>
      </c>
      <c r="D129" s="1507"/>
      <c r="E129" s="254">
        <v>0</v>
      </c>
      <c r="F129" s="1507"/>
      <c r="G129" s="254">
        <v>0</v>
      </c>
      <c r="H129" s="1507"/>
      <c r="I129" s="254">
        <v>0</v>
      </c>
      <c r="J129" s="1507"/>
      <c r="K129" s="254">
        <v>0</v>
      </c>
      <c r="L129" s="1507"/>
      <c r="M129" s="254">
        <v>0</v>
      </c>
      <c r="N129" s="1507"/>
      <c r="O129" s="254">
        <v>0</v>
      </c>
      <c r="P129" s="1507"/>
      <c r="Q129" s="254">
        <v>0</v>
      </c>
      <c r="R129" s="1504"/>
      <c r="S129" s="254">
        <f>SUM('F) Remuneraciones'!J248:J269)*0.5</f>
        <v>348944</v>
      </c>
      <c r="T129" s="1504"/>
      <c r="U129" s="254">
        <v>0</v>
      </c>
      <c r="V129" s="1504"/>
      <c r="W129" s="254">
        <v>0</v>
      </c>
      <c r="X129" s="1504"/>
      <c r="Y129" s="255">
        <f>+C129+S129</f>
        <v>1121896</v>
      </c>
      <c r="Z129" s="1504"/>
      <c r="AA129" s="253">
        <f>SUM(C129:Y129)</f>
        <v>2243792</v>
      </c>
    </row>
    <row r="130" spans="2:27" x14ac:dyDescent="0.35">
      <c r="B130" s="268" t="s">
        <v>267</v>
      </c>
      <c r="C130" s="257">
        <f>SUM(C127:C129)</f>
        <v>3733133.75</v>
      </c>
      <c r="D130" s="1508"/>
      <c r="E130" s="257">
        <f>SUM(E127:E129)</f>
        <v>2960181.75</v>
      </c>
      <c r="F130" s="1508"/>
      <c r="G130" s="257">
        <f>SUM(G127:G129)</f>
        <v>2960181.75</v>
      </c>
      <c r="H130" s="1508"/>
      <c r="I130" s="257">
        <f>SUM(I127:I129)</f>
        <v>2960181.75</v>
      </c>
      <c r="J130" s="1508"/>
      <c r="K130" s="257">
        <f>SUM(K127:K129)</f>
        <v>2960181.75</v>
      </c>
      <c r="L130" s="1508"/>
      <c r="M130" s="257">
        <f>SUM(M127:M129)</f>
        <v>2960181.75</v>
      </c>
      <c r="N130" s="1508"/>
      <c r="O130" s="257">
        <f>SUM(O127:O129)</f>
        <v>2960181.75</v>
      </c>
      <c r="P130" s="1508"/>
      <c r="Q130" s="257"/>
      <c r="R130" s="1505"/>
      <c r="S130" s="257"/>
      <c r="T130" s="1505"/>
      <c r="U130" s="257"/>
      <c r="V130" s="1505"/>
      <c r="W130" s="257"/>
      <c r="X130" s="1505"/>
      <c r="Y130" s="271"/>
      <c r="Z130" s="1505"/>
      <c r="AA130" s="269"/>
    </row>
    <row r="131" spans="2:27" ht="15" thickBot="1" x14ac:dyDescent="0.4">
      <c r="B131" s="268" t="s">
        <v>252</v>
      </c>
      <c r="C131" s="257">
        <f>(+'C) Estimación Costos Directos'!$H$800-'C) Estimación Costos Directos'!$D$733)*C134</f>
        <v>435061.72363902204</v>
      </c>
      <c r="D131" s="257">
        <v>0</v>
      </c>
      <c r="E131" s="257">
        <f>(+'C) Estimación Costos Directos'!$H$800-'C) Estimación Costos Directos'!$D$733)*E134</f>
        <v>284463.43468705285</v>
      </c>
      <c r="F131" s="257">
        <v>0</v>
      </c>
      <c r="G131" s="257">
        <f>(+'C) Estimación Costos Directos'!$H$800-'C) Estimación Costos Directos'!$D$733)*G134</f>
        <v>203639.56409229327</v>
      </c>
      <c r="H131" s="257">
        <v>0</v>
      </c>
      <c r="I131" s="257">
        <f>(+'C) Estimación Costos Directos'!$H$800-'C) Estimación Costos Directos'!$D$733)*I134</f>
        <v>455225.16121536901</v>
      </c>
      <c r="J131" s="257">
        <v>0</v>
      </c>
      <c r="K131" s="257">
        <f>(+'C) Estimación Costos Directos'!$H$800-'C) Estimación Costos Directos'!$D$733)*K134</f>
        <v>142231.71734352643</v>
      </c>
      <c r="L131" s="257">
        <v>0</v>
      </c>
      <c r="M131" s="257">
        <f>(+'C) Estimación Costos Directos'!$H$800-'C) Estimación Costos Directos'!$D$733)*M134</f>
        <v>164882.81554478372</v>
      </c>
      <c r="N131" s="257"/>
      <c r="O131" s="257">
        <f>(+'C) Estimación Costos Directos'!$H$800-'C) Estimación Costos Directos'!$D$733)*O134</f>
        <v>179881.28958151871</v>
      </c>
      <c r="P131" s="257"/>
      <c r="Q131" s="257">
        <f>(+'C) Estimación Costos Directos'!$H$800-'C) Estimación Costos Directos'!$D$733)*Q134</f>
        <v>1498860.1482237042</v>
      </c>
      <c r="R131" s="257"/>
      <c r="S131" s="257">
        <f>(+'C) Estimación Costos Directos'!$H$800-'C) Estimación Costos Directos'!$D$733)*S134</f>
        <v>1233213.1330840387</v>
      </c>
      <c r="T131" s="257"/>
      <c r="U131" s="257">
        <f>(+'C) Estimación Costos Directos'!$H$800-'C) Estimación Costos Directos'!$D$733)*U134</f>
        <v>1003386.1998573198</v>
      </c>
      <c r="V131" s="257"/>
      <c r="W131" s="257">
        <f>(+'C) Estimación Costos Directos'!$H$800-'C) Estimación Costos Directos'!$D$733)*W134</f>
        <v>1300979.5742552222</v>
      </c>
      <c r="X131" s="257"/>
      <c r="Y131" s="257">
        <f>(+'C) Estimación Costos Directos'!$H$800-'C) Estimación Costos Directos'!$D$733)*Y134</f>
        <v>1275542.4077083534</v>
      </c>
      <c r="Z131" s="271"/>
      <c r="AA131" s="269">
        <f>SUM(C131:Y131)</f>
        <v>8177367.1692322046</v>
      </c>
    </row>
    <row r="132" spans="2:27" ht="15" thickBot="1" x14ac:dyDescent="0.4">
      <c r="B132" s="258" t="s">
        <v>253</v>
      </c>
      <c r="C132" s="259">
        <f>+C126-C127-C128-C129-C131</f>
        <v>-2680373.3048765599</v>
      </c>
      <c r="D132" s="259">
        <f>+D126-D127-D131</f>
        <v>0</v>
      </c>
      <c r="E132" s="260">
        <f t="shared" ref="E132:AA132" si="10">+E126-E127-E128-E129-E131</f>
        <v>-2750820.6623783419</v>
      </c>
      <c r="F132" s="260">
        <f>+F126-F127-F131</f>
        <v>0</v>
      </c>
      <c r="G132" s="260">
        <f t="shared" si="10"/>
        <v>-2049851.9104202106</v>
      </c>
      <c r="H132" s="260">
        <f>+H126-H127-H131</f>
        <v>0</v>
      </c>
      <c r="I132" s="260">
        <f t="shared" si="10"/>
        <v>-2204190.3814013558</v>
      </c>
      <c r="J132" s="260">
        <f>+J126-J127-J131</f>
        <v>0</v>
      </c>
      <c r="K132" s="260">
        <f t="shared" si="10"/>
        <v>-2254896.1440538415</v>
      </c>
      <c r="L132" s="260">
        <f>+L126-L127-L131</f>
        <v>0</v>
      </c>
      <c r="M132" s="260">
        <f t="shared" si="10"/>
        <v>-985753.92158461746</v>
      </c>
      <c r="N132" s="260"/>
      <c r="O132" s="260">
        <f t="shared" si="10"/>
        <v>-1815349.4855478157</v>
      </c>
      <c r="P132" s="260"/>
      <c r="Q132" s="260">
        <f t="shared" si="10"/>
        <v>-2408023.0678813742</v>
      </c>
      <c r="R132" s="260"/>
      <c r="S132" s="260">
        <f t="shared" si="10"/>
        <v>-3138793.3526058393</v>
      </c>
      <c r="T132" s="260"/>
      <c r="U132" s="260">
        <f t="shared" si="10"/>
        <v>-3210123.4517914006</v>
      </c>
      <c r="V132" s="260"/>
      <c r="W132" s="260">
        <f t="shared" si="10"/>
        <v>-3501935.8145833733</v>
      </c>
      <c r="X132" s="261"/>
      <c r="Y132" s="261">
        <f t="shared" si="10"/>
        <v>-4383971.6721074739</v>
      </c>
      <c r="Z132" s="272"/>
      <c r="AA132" s="262">
        <f t="shared" si="10"/>
        <v>-31384083.169232205</v>
      </c>
    </row>
    <row r="133" spans="2:27" x14ac:dyDescent="0.35">
      <c r="B133" s="263" t="s">
        <v>254</v>
      </c>
      <c r="C133" s="264">
        <v>0.10219080333305899</v>
      </c>
      <c r="D133" s="264"/>
      <c r="E133" s="264">
        <v>3.3918250245099098E-2</v>
      </c>
      <c r="F133" s="264"/>
      <c r="G133" s="264">
        <v>7.6512792079436648E-2</v>
      </c>
      <c r="H133" s="264"/>
      <c r="I133" s="264">
        <v>8.3192193792170396E-2</v>
      </c>
      <c r="J133" s="264"/>
      <c r="K133" s="264">
        <v>5.8211577918411958E-2</v>
      </c>
      <c r="L133" s="264"/>
      <c r="M133" s="264">
        <v>0.14693817438349815</v>
      </c>
      <c r="N133" s="264"/>
      <c r="O133" s="264">
        <v>9.0987716889241191E-2</v>
      </c>
      <c r="P133" s="264"/>
      <c r="Q133" s="264">
        <v>0.14087386673250771</v>
      </c>
      <c r="R133" s="264"/>
      <c r="S133" s="264">
        <v>9.6402277291911226E-2</v>
      </c>
      <c r="T133" s="264"/>
      <c r="U133" s="264">
        <v>5.1750202504559063E-2</v>
      </c>
      <c r="V133" s="264"/>
      <c r="W133" s="264">
        <v>5.2147270267421532E-2</v>
      </c>
      <c r="X133" s="264"/>
      <c r="Y133" s="264">
        <v>6.6874874562684011E-2</v>
      </c>
      <c r="Z133" s="264"/>
      <c r="AA133" s="206"/>
    </row>
    <row r="134" spans="2:27" x14ac:dyDescent="0.35">
      <c r="B134" s="266" t="s">
        <v>255</v>
      </c>
      <c r="C134" s="267">
        <v>5.3203153855676893E-2</v>
      </c>
      <c r="D134" s="267"/>
      <c r="E134" s="267">
        <v>3.4786677521019507E-2</v>
      </c>
      <c r="F134" s="267"/>
      <c r="G134" s="267">
        <v>2.4902827508895328E-2</v>
      </c>
      <c r="H134" s="267"/>
      <c r="I134" s="267">
        <v>5.5668915409372688E-2</v>
      </c>
      <c r="J134" s="267"/>
      <c r="K134" s="267">
        <v>1.7393338760509754E-2</v>
      </c>
      <c r="L134" s="267"/>
      <c r="M134" s="267">
        <v>2.0163313219585446E-2</v>
      </c>
      <c r="N134" s="267"/>
      <c r="O134" s="267">
        <v>2.19974578441741E-2</v>
      </c>
      <c r="P134" s="267"/>
      <c r="Q134" s="267">
        <v>0.18329373222511619</v>
      </c>
      <c r="R134" s="267"/>
      <c r="S134" s="267">
        <v>0.15080809110835469</v>
      </c>
      <c r="T134" s="267"/>
      <c r="U134" s="267">
        <v>0.12270284299237728</v>
      </c>
      <c r="V134" s="267"/>
      <c r="W134" s="267">
        <v>0.15909516441309249</v>
      </c>
      <c r="X134" s="267"/>
      <c r="Y134" s="267">
        <v>0.15598448514182561</v>
      </c>
      <c r="Z134" s="267"/>
      <c r="AA134" s="206"/>
    </row>
  </sheetData>
  <mergeCells count="139">
    <mergeCell ref="D94:D97"/>
    <mergeCell ref="F94:F97"/>
    <mergeCell ref="H94:H97"/>
    <mergeCell ref="J94:J97"/>
    <mergeCell ref="L94:L97"/>
    <mergeCell ref="N94:N97"/>
    <mergeCell ref="P94:P97"/>
    <mergeCell ref="P5:P8"/>
    <mergeCell ref="D17:D20"/>
    <mergeCell ref="F17:F20"/>
    <mergeCell ref="H17:H20"/>
    <mergeCell ref="J17:J20"/>
    <mergeCell ref="L17:L20"/>
    <mergeCell ref="N17:N20"/>
    <mergeCell ref="P17:P20"/>
    <mergeCell ref="D5:D8"/>
    <mergeCell ref="F5:F8"/>
    <mergeCell ref="H5:H8"/>
    <mergeCell ref="J5:J8"/>
    <mergeCell ref="L5:L8"/>
    <mergeCell ref="N5:N8"/>
    <mergeCell ref="P28:P31"/>
    <mergeCell ref="H39:H42"/>
    <mergeCell ref="J39:J42"/>
    <mergeCell ref="L39:L42"/>
    <mergeCell ref="N39:N42"/>
    <mergeCell ref="P39:P42"/>
    <mergeCell ref="D28:D31"/>
    <mergeCell ref="F28:F31"/>
    <mergeCell ref="H28:H31"/>
    <mergeCell ref="J28:J31"/>
    <mergeCell ref="L28:L31"/>
    <mergeCell ref="N28:N31"/>
    <mergeCell ref="D39:D42"/>
    <mergeCell ref="F39:F42"/>
    <mergeCell ref="P50:P53"/>
    <mergeCell ref="D61:D64"/>
    <mergeCell ref="F61:F64"/>
    <mergeCell ref="H61:H64"/>
    <mergeCell ref="J61:J64"/>
    <mergeCell ref="L61:L64"/>
    <mergeCell ref="N61:N64"/>
    <mergeCell ref="P61:P64"/>
    <mergeCell ref="D50:D53"/>
    <mergeCell ref="F50:F53"/>
    <mergeCell ref="H50:H53"/>
    <mergeCell ref="J50:J53"/>
    <mergeCell ref="L50:L53"/>
    <mergeCell ref="N50:N53"/>
    <mergeCell ref="P72:P75"/>
    <mergeCell ref="D83:D86"/>
    <mergeCell ref="F83:F86"/>
    <mergeCell ref="H83:H86"/>
    <mergeCell ref="J83:J86"/>
    <mergeCell ref="L83:L86"/>
    <mergeCell ref="N83:N86"/>
    <mergeCell ref="P83:P86"/>
    <mergeCell ref="D72:D75"/>
    <mergeCell ref="F72:F75"/>
    <mergeCell ref="H72:H75"/>
    <mergeCell ref="J72:J75"/>
    <mergeCell ref="L72:L75"/>
    <mergeCell ref="N72:N75"/>
    <mergeCell ref="P105:P108"/>
    <mergeCell ref="D116:D119"/>
    <mergeCell ref="F116:F119"/>
    <mergeCell ref="H116:H119"/>
    <mergeCell ref="J116:J119"/>
    <mergeCell ref="L116:L119"/>
    <mergeCell ref="N116:N119"/>
    <mergeCell ref="P116:P119"/>
    <mergeCell ref="D105:D108"/>
    <mergeCell ref="F105:F108"/>
    <mergeCell ref="H105:H108"/>
    <mergeCell ref="J105:J108"/>
    <mergeCell ref="L105:L108"/>
    <mergeCell ref="N105:N108"/>
    <mergeCell ref="P127:P130"/>
    <mergeCell ref="R127:R130"/>
    <mergeCell ref="T127:T130"/>
    <mergeCell ref="V127:V130"/>
    <mergeCell ref="X127:X130"/>
    <mergeCell ref="Z127:Z130"/>
    <mergeCell ref="D127:D130"/>
    <mergeCell ref="F127:F130"/>
    <mergeCell ref="H127:H130"/>
    <mergeCell ref="J127:J130"/>
    <mergeCell ref="L127:L130"/>
    <mergeCell ref="N127:N130"/>
    <mergeCell ref="R116:R119"/>
    <mergeCell ref="T116:T119"/>
    <mergeCell ref="V116:V119"/>
    <mergeCell ref="X116:X119"/>
    <mergeCell ref="Z116:Z119"/>
    <mergeCell ref="R105:R108"/>
    <mergeCell ref="T105:T108"/>
    <mergeCell ref="V105:V108"/>
    <mergeCell ref="X105:X108"/>
    <mergeCell ref="Z105:Z108"/>
    <mergeCell ref="Z83:Z86"/>
    <mergeCell ref="X83:X86"/>
    <mergeCell ref="V83:V86"/>
    <mergeCell ref="T83:T86"/>
    <mergeCell ref="R83:R86"/>
    <mergeCell ref="R72:R75"/>
    <mergeCell ref="T72:T75"/>
    <mergeCell ref="V72:V75"/>
    <mergeCell ref="X72:X75"/>
    <mergeCell ref="Z72:Z75"/>
    <mergeCell ref="Z61:Z64"/>
    <mergeCell ref="X61:X64"/>
    <mergeCell ref="V61:V64"/>
    <mergeCell ref="T61:T64"/>
    <mergeCell ref="R61:R64"/>
    <mergeCell ref="R50:R53"/>
    <mergeCell ref="T50:T53"/>
    <mergeCell ref="V50:V53"/>
    <mergeCell ref="X50:X53"/>
    <mergeCell ref="Z50:Z53"/>
    <mergeCell ref="Z39:Z42"/>
    <mergeCell ref="X39:X42"/>
    <mergeCell ref="V39:V42"/>
    <mergeCell ref="T39:T42"/>
    <mergeCell ref="R39:R42"/>
    <mergeCell ref="R28:R31"/>
    <mergeCell ref="T28:T31"/>
    <mergeCell ref="V28:V31"/>
    <mergeCell ref="X28:X31"/>
    <mergeCell ref="Z28:Z31"/>
    <mergeCell ref="Z17:Z20"/>
    <mergeCell ref="X17:X20"/>
    <mergeCell ref="V17:V20"/>
    <mergeCell ref="T17:T20"/>
    <mergeCell ref="R17:R20"/>
    <mergeCell ref="R5:R8"/>
    <mergeCell ref="T5:T8"/>
    <mergeCell ref="V5:V8"/>
    <mergeCell ref="X5:X8"/>
    <mergeCell ref="Z5:Z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A97"/>
  <sheetViews>
    <sheetView workbookViewId="0"/>
  </sheetViews>
  <sheetFormatPr baseColWidth="10" defaultRowHeight="14.5" x14ac:dyDescent="0.35"/>
  <cols>
    <col min="2" max="2" width="63.54296875" bestFit="1" customWidth="1"/>
    <col min="3" max="3" width="13" bestFit="1" customWidth="1"/>
    <col min="4" max="4" width="14.81640625" bestFit="1" customWidth="1"/>
    <col min="5" max="5" width="13" bestFit="1" customWidth="1"/>
    <col min="6" max="6" width="14.54296875" customWidth="1"/>
    <col min="7" max="13" width="13" bestFit="1" customWidth="1"/>
    <col min="14" max="14" width="12" bestFit="1" customWidth="1"/>
    <col min="15" max="15" width="13" bestFit="1" customWidth="1"/>
    <col min="17" max="17" width="13" bestFit="1" customWidth="1"/>
    <col min="18" max="18" width="13.81640625" bestFit="1" customWidth="1"/>
    <col min="19" max="19" width="15.26953125" bestFit="1" customWidth="1"/>
    <col min="20" max="20" width="17.81640625" bestFit="1" customWidth="1"/>
    <col min="21" max="21" width="13" bestFit="1" customWidth="1"/>
    <col min="22" max="22" width="14.81640625" bestFit="1" customWidth="1"/>
    <col min="23" max="23" width="14.54296875" bestFit="1" customWidth="1"/>
    <col min="24" max="24" width="17.7265625" bestFit="1" customWidth="1"/>
    <col min="25" max="25" width="14.1796875" bestFit="1" customWidth="1"/>
    <col min="26" max="26" width="16.54296875" bestFit="1" customWidth="1"/>
    <col min="27" max="27" width="26.26953125" bestFit="1" customWidth="1"/>
  </cols>
  <sheetData>
    <row r="2" spans="2:27" x14ac:dyDescent="0.35">
      <c r="B2" s="273" t="s">
        <v>234</v>
      </c>
      <c r="C2" s="274" t="s">
        <v>235</v>
      </c>
      <c r="D2" s="275" t="s">
        <v>268</v>
      </c>
      <c r="E2" s="274" t="s">
        <v>236</v>
      </c>
      <c r="F2" s="275" t="s">
        <v>269</v>
      </c>
      <c r="G2" s="274" t="s">
        <v>237</v>
      </c>
      <c r="H2" s="275" t="s">
        <v>270</v>
      </c>
      <c r="I2" s="274" t="s">
        <v>238</v>
      </c>
      <c r="J2" s="275" t="s">
        <v>271</v>
      </c>
      <c r="K2" s="274" t="s">
        <v>239</v>
      </c>
      <c r="L2" s="275" t="s">
        <v>272</v>
      </c>
      <c r="M2" s="274" t="s">
        <v>240</v>
      </c>
      <c r="N2" s="275" t="s">
        <v>273</v>
      </c>
      <c r="O2" s="274" t="s">
        <v>241</v>
      </c>
      <c r="P2" s="275" t="s">
        <v>274</v>
      </c>
      <c r="Q2" s="274" t="s">
        <v>242</v>
      </c>
      <c r="R2" s="275" t="s">
        <v>275</v>
      </c>
      <c r="S2" s="274" t="s">
        <v>243</v>
      </c>
      <c r="T2" s="275" t="s">
        <v>276</v>
      </c>
      <c r="U2" s="274" t="s">
        <v>244</v>
      </c>
      <c r="V2" s="275" t="s">
        <v>277</v>
      </c>
      <c r="W2" s="274" t="s">
        <v>245</v>
      </c>
      <c r="X2" s="275" t="s">
        <v>278</v>
      </c>
      <c r="Y2" s="274" t="s">
        <v>246</v>
      </c>
      <c r="Z2" s="275" t="s">
        <v>279</v>
      </c>
      <c r="AA2" s="276" t="s">
        <v>247</v>
      </c>
    </row>
    <row r="3" spans="2:27" x14ac:dyDescent="0.35">
      <c r="B3" s="276" t="s">
        <v>248</v>
      </c>
      <c r="C3" s="277">
        <v>8854215.8276495375</v>
      </c>
      <c r="D3" s="277">
        <v>9337711</v>
      </c>
      <c r="E3" s="277">
        <v>8008339.6317720609</v>
      </c>
      <c r="F3" s="277">
        <v>6213271</v>
      </c>
      <c r="G3" s="277">
        <v>7455894.8899782021</v>
      </c>
      <c r="H3" s="277">
        <v>5364465</v>
      </c>
      <c r="I3" s="277">
        <v>10782545.907623643</v>
      </c>
      <c r="J3" s="277">
        <v>5644664</v>
      </c>
      <c r="K3" s="277">
        <v>6537811.2619828526</v>
      </c>
      <c r="L3" s="277">
        <v>5805187</v>
      </c>
      <c r="M3" s="277">
        <v>6339276.5468138075</v>
      </c>
      <c r="N3" s="277"/>
      <c r="O3" s="277">
        <v>9608649.4949974678</v>
      </c>
      <c r="P3" s="277"/>
      <c r="Q3" s="277">
        <v>8408227.5461431853</v>
      </c>
      <c r="R3" s="277"/>
      <c r="S3" s="277">
        <v>7449297.0419443306</v>
      </c>
      <c r="T3" s="277"/>
      <c r="U3" s="277">
        <v>8336781.2359421495</v>
      </c>
      <c r="V3" s="277"/>
      <c r="W3" s="277">
        <v>8765803.2059077006</v>
      </c>
      <c r="X3" s="277"/>
      <c r="Y3" s="277">
        <v>6008557.4092450654</v>
      </c>
      <c r="Z3" s="277"/>
      <c r="AA3" s="277">
        <v>128920698</v>
      </c>
    </row>
    <row r="4" spans="2:27" x14ac:dyDescent="0.35">
      <c r="B4" s="276" t="s">
        <v>267</v>
      </c>
      <c r="C4" s="277">
        <v>4972148.0199999996</v>
      </c>
      <c r="D4" s="277">
        <v>5507583</v>
      </c>
      <c r="E4" s="277">
        <v>4179230.02</v>
      </c>
      <c r="F4" s="277">
        <v>3759908</v>
      </c>
      <c r="G4" s="277">
        <v>4179230.02</v>
      </c>
      <c r="H4" s="277">
        <v>4046675</v>
      </c>
      <c r="I4" s="277">
        <v>2809358.02</v>
      </c>
      <c r="J4" s="277">
        <v>5208340</v>
      </c>
      <c r="K4" s="277">
        <v>2809358.02</v>
      </c>
      <c r="L4" s="277">
        <v>4771788</v>
      </c>
      <c r="M4" s="277">
        <v>2809358.02</v>
      </c>
      <c r="N4" s="277"/>
      <c r="O4" s="277">
        <v>2809358.02</v>
      </c>
      <c r="P4" s="277"/>
      <c r="Q4" s="277"/>
      <c r="R4" s="277"/>
      <c r="S4" s="277"/>
      <c r="T4" s="277"/>
      <c r="U4" s="277"/>
      <c r="V4" s="277"/>
      <c r="W4" s="277"/>
      <c r="X4" s="277"/>
      <c r="Y4" s="277"/>
      <c r="Z4" s="277"/>
      <c r="AA4" s="277"/>
    </row>
    <row r="5" spans="2:27" x14ac:dyDescent="0.35">
      <c r="B5" s="276" t="s">
        <v>252</v>
      </c>
      <c r="C5" s="277">
        <v>898906.22192340344</v>
      </c>
      <c r="D5" s="277">
        <v>1462384</v>
      </c>
      <c r="E5" s="277">
        <v>2007982.4751859973</v>
      </c>
      <c r="F5" s="277">
        <v>2733285</v>
      </c>
      <c r="G5" s="277">
        <v>2423652.8418551814</v>
      </c>
      <c r="H5" s="277">
        <v>8667229</v>
      </c>
      <c r="I5" s="277">
        <v>1416297.1073415582</v>
      </c>
      <c r="J5" s="277">
        <v>2901209</v>
      </c>
      <c r="K5" s="277">
        <v>2602218.1478188862</v>
      </c>
      <c r="L5" s="277">
        <v>3843115</v>
      </c>
      <c r="M5" s="277">
        <v>2350636.4432079364</v>
      </c>
      <c r="N5" s="277"/>
      <c r="O5" s="277">
        <v>2804092.3601335781</v>
      </c>
      <c r="P5" s="277"/>
      <c r="Q5" s="277">
        <v>2106966.5462108091</v>
      </c>
      <c r="R5" s="277"/>
      <c r="S5" s="277">
        <v>2742864.5255170818</v>
      </c>
      <c r="T5" s="277"/>
      <c r="U5" s="277">
        <v>760137.39619877376</v>
      </c>
      <c r="V5" s="277"/>
      <c r="W5" s="277">
        <v>1451590.9805058527</v>
      </c>
      <c r="X5" s="277"/>
      <c r="Y5" s="277">
        <v>5301038.6165009569</v>
      </c>
      <c r="Z5" s="277"/>
      <c r="AA5" s="277">
        <v>46473605.662400022</v>
      </c>
    </row>
    <row r="6" spans="2:27" x14ac:dyDescent="0.35">
      <c r="B6" s="276" t="s">
        <v>253</v>
      </c>
      <c r="C6" s="277">
        <v>2983161.5857261345</v>
      </c>
      <c r="D6" s="277">
        <v>2367744</v>
      </c>
      <c r="E6" s="277">
        <v>1821127.1365860631</v>
      </c>
      <c r="F6" s="277">
        <v>-279922</v>
      </c>
      <c r="G6" s="277">
        <v>853012.02812302113</v>
      </c>
      <c r="H6" s="277">
        <v>-7349439</v>
      </c>
      <c r="I6" s="277">
        <v>6556890.7802820858</v>
      </c>
      <c r="J6" s="277">
        <v>-2464885</v>
      </c>
      <c r="K6" s="277">
        <v>1126235.0941639664</v>
      </c>
      <c r="L6" s="277">
        <v>-2809716</v>
      </c>
      <c r="M6" s="277">
        <v>1179282.0836058711</v>
      </c>
      <c r="N6" s="277"/>
      <c r="O6" s="277">
        <v>3995199.1148638902</v>
      </c>
      <c r="P6" s="277"/>
      <c r="Q6" s="277">
        <v>3491902.9799323766</v>
      </c>
      <c r="R6" s="277"/>
      <c r="S6" s="277">
        <v>1441607.4964272492</v>
      </c>
      <c r="T6" s="277"/>
      <c r="U6" s="277">
        <v>4767285.8197433762</v>
      </c>
      <c r="V6" s="277"/>
      <c r="W6" s="277">
        <v>4504854.2054018481</v>
      </c>
      <c r="X6" s="277"/>
      <c r="Y6" s="277">
        <v>-4720096.227255892</v>
      </c>
      <c r="Z6" s="277"/>
      <c r="AA6" s="277">
        <v>17464244.097599968</v>
      </c>
    </row>
    <row r="8" spans="2:27" x14ac:dyDescent="0.35">
      <c r="B8" s="273" t="s">
        <v>256</v>
      </c>
      <c r="C8" s="274" t="s">
        <v>235</v>
      </c>
      <c r="D8" s="275" t="s">
        <v>268</v>
      </c>
      <c r="E8" s="274" t="s">
        <v>236</v>
      </c>
      <c r="F8" s="275" t="s">
        <v>269</v>
      </c>
      <c r="G8" s="274" t="s">
        <v>237</v>
      </c>
      <c r="H8" s="275" t="s">
        <v>270</v>
      </c>
      <c r="I8" s="274" t="s">
        <v>238</v>
      </c>
      <c r="J8" s="275" t="s">
        <v>271</v>
      </c>
      <c r="K8" s="274" t="s">
        <v>239</v>
      </c>
      <c r="L8" s="275" t="s">
        <v>272</v>
      </c>
      <c r="M8" s="274" t="s">
        <v>240</v>
      </c>
      <c r="N8" s="275" t="s">
        <v>273</v>
      </c>
      <c r="O8" s="274" t="s">
        <v>241</v>
      </c>
      <c r="P8" s="275" t="s">
        <v>274</v>
      </c>
      <c r="Q8" s="274" t="s">
        <v>242</v>
      </c>
      <c r="R8" s="275" t="s">
        <v>275</v>
      </c>
      <c r="S8" s="274" t="s">
        <v>243</v>
      </c>
      <c r="T8" s="275" t="s">
        <v>276</v>
      </c>
      <c r="U8" s="274" t="s">
        <v>244</v>
      </c>
      <c r="V8" s="275" t="s">
        <v>277</v>
      </c>
      <c r="W8" s="274" t="s">
        <v>245</v>
      </c>
      <c r="X8" s="275" t="s">
        <v>278</v>
      </c>
      <c r="Y8" s="274" t="s">
        <v>246</v>
      </c>
      <c r="Z8" s="275" t="s">
        <v>279</v>
      </c>
      <c r="AA8" s="276" t="s">
        <v>247</v>
      </c>
    </row>
    <row r="9" spans="2:27" x14ac:dyDescent="0.35">
      <c r="B9" s="276" t="s">
        <v>248</v>
      </c>
      <c r="C9" s="277">
        <v>40091423.435652159</v>
      </c>
      <c r="D9" s="277">
        <v>50795202</v>
      </c>
      <c r="E9" s="277">
        <v>47139370.677947126</v>
      </c>
      <c r="F9" s="277">
        <v>49760698</v>
      </c>
      <c r="G9" s="277">
        <v>22892039.463560611</v>
      </c>
      <c r="H9" s="277">
        <v>38420848</v>
      </c>
      <c r="I9" s="277">
        <v>25166605.293574478</v>
      </c>
      <c r="J9" s="277">
        <v>25530999</v>
      </c>
      <c r="K9" s="277">
        <v>14750623.43891116</v>
      </c>
      <c r="L9" s="277">
        <v>20661045</v>
      </c>
      <c r="M9" s="277">
        <v>15932171.693315512</v>
      </c>
      <c r="N9" s="277"/>
      <c r="O9" s="277">
        <v>38070598.939249784</v>
      </c>
      <c r="P9" s="277"/>
      <c r="Q9" s="277">
        <v>25481073.088689629</v>
      </c>
      <c r="R9" s="277"/>
      <c r="S9" s="277">
        <v>25896069.560136501</v>
      </c>
      <c r="T9" s="277"/>
      <c r="U9" s="277">
        <v>15645220.983926544</v>
      </c>
      <c r="V9" s="277"/>
      <c r="W9" s="277">
        <v>15626315.98065923</v>
      </c>
      <c r="X9" s="277"/>
      <c r="Y9" s="277">
        <v>13091987.444377255</v>
      </c>
      <c r="Z9" s="277"/>
      <c r="AA9" s="277">
        <v>484952291.99999994</v>
      </c>
    </row>
    <row r="10" spans="2:27" x14ac:dyDescent="0.35">
      <c r="B10" s="276" t="s">
        <v>267</v>
      </c>
      <c r="C10" s="277">
        <v>12960590.221999999</v>
      </c>
      <c r="D10" s="277">
        <v>15574792</v>
      </c>
      <c r="E10" s="277">
        <v>11922797.221999999</v>
      </c>
      <c r="F10" s="277">
        <v>11297035</v>
      </c>
      <c r="G10" s="277">
        <v>11922797.221999999</v>
      </c>
      <c r="H10" s="277">
        <v>10599340</v>
      </c>
      <c r="I10" s="277">
        <v>5606165.2219999991</v>
      </c>
      <c r="J10" s="277">
        <v>8040273</v>
      </c>
      <c r="K10" s="277">
        <v>5606165.2219999991</v>
      </c>
      <c r="L10" s="277">
        <v>9184683</v>
      </c>
      <c r="M10" s="277">
        <v>5606165.2219999991</v>
      </c>
      <c r="N10" s="277"/>
      <c r="O10" s="277">
        <v>5606165.2219999991</v>
      </c>
      <c r="P10" s="277"/>
      <c r="Q10" s="277"/>
      <c r="R10" s="277"/>
      <c r="S10" s="277"/>
      <c r="T10" s="277"/>
      <c r="U10" s="277"/>
      <c r="V10" s="277"/>
      <c r="W10" s="277"/>
      <c r="X10" s="277"/>
      <c r="Y10" s="277"/>
      <c r="Z10" s="277"/>
      <c r="AA10" s="277"/>
    </row>
    <row r="11" spans="2:27" x14ac:dyDescent="0.35">
      <c r="B11" s="276" t="s">
        <v>252</v>
      </c>
      <c r="C11" s="277">
        <v>8379115.1451289551</v>
      </c>
      <c r="D11" s="277">
        <v>7770729</v>
      </c>
      <c r="E11" s="277">
        <v>8720091.2075849716</v>
      </c>
      <c r="F11" s="277">
        <v>12916740</v>
      </c>
      <c r="G11" s="277">
        <v>7587659.0856040195</v>
      </c>
      <c r="H11" s="277">
        <v>13559917</v>
      </c>
      <c r="I11" s="277">
        <v>5995863.2351915957</v>
      </c>
      <c r="J11" s="277">
        <v>12063472</v>
      </c>
      <c r="K11" s="277">
        <v>7610952.1600780776</v>
      </c>
      <c r="L11" s="277">
        <v>5072001</v>
      </c>
      <c r="M11" s="277">
        <v>4587847.6126102014</v>
      </c>
      <c r="N11" s="277"/>
      <c r="O11" s="277">
        <v>5298955.5717242351</v>
      </c>
      <c r="P11" s="277"/>
      <c r="Q11" s="277">
        <v>4731210.9493837794</v>
      </c>
      <c r="R11" s="277"/>
      <c r="S11" s="277">
        <v>5950437.8497981951</v>
      </c>
      <c r="T11" s="277"/>
      <c r="U11" s="277">
        <v>4590446.5598515291</v>
      </c>
      <c r="V11" s="277"/>
      <c r="W11" s="277">
        <v>3643474.1184547725</v>
      </c>
      <c r="X11" s="277"/>
      <c r="Y11" s="277">
        <v>12332249.85862965</v>
      </c>
      <c r="Z11" s="277"/>
      <c r="AA11" s="277">
        <v>130811162.35403998</v>
      </c>
    </row>
    <row r="12" spans="2:27" x14ac:dyDescent="0.35">
      <c r="B12" s="276" t="s">
        <v>253</v>
      </c>
      <c r="C12" s="277">
        <v>18751718.06852321</v>
      </c>
      <c r="D12" s="277">
        <v>27449681</v>
      </c>
      <c r="E12" s="277">
        <v>26496482.248362161</v>
      </c>
      <c r="F12" s="277">
        <v>25546923</v>
      </c>
      <c r="G12" s="277">
        <v>3381583.1559565924</v>
      </c>
      <c r="H12" s="277">
        <v>14261591</v>
      </c>
      <c r="I12" s="277">
        <v>13564576.836382885</v>
      </c>
      <c r="J12" s="277">
        <v>5427254</v>
      </c>
      <c r="K12" s="277">
        <v>1533506.0568330837</v>
      </c>
      <c r="L12" s="277">
        <v>6404361</v>
      </c>
      <c r="M12" s="277">
        <v>5738158.8587053111</v>
      </c>
      <c r="N12" s="277"/>
      <c r="O12" s="277">
        <v>27165478.145525549</v>
      </c>
      <c r="P12" s="277"/>
      <c r="Q12" s="277">
        <v>15143696.917305849</v>
      </c>
      <c r="R12" s="277"/>
      <c r="S12" s="277">
        <v>13684034.488338307</v>
      </c>
      <c r="T12" s="277"/>
      <c r="U12" s="277">
        <v>5448609.2020750158</v>
      </c>
      <c r="V12" s="277"/>
      <c r="W12" s="277">
        <v>6376676.6402044576</v>
      </c>
      <c r="X12" s="277"/>
      <c r="Y12" s="277">
        <v>-12856284.636252394</v>
      </c>
      <c r="Z12" s="277"/>
      <c r="AA12" s="277">
        <v>203518045.98195994</v>
      </c>
    </row>
    <row r="14" spans="2:27" x14ac:dyDescent="0.35">
      <c r="B14" s="273" t="s">
        <v>257</v>
      </c>
      <c r="C14" s="274" t="s">
        <v>235</v>
      </c>
      <c r="D14" s="275" t="s">
        <v>268</v>
      </c>
      <c r="E14" s="274" t="s">
        <v>236</v>
      </c>
      <c r="F14" s="275" t="s">
        <v>269</v>
      </c>
      <c r="G14" s="274" t="s">
        <v>237</v>
      </c>
      <c r="H14" s="275" t="s">
        <v>270</v>
      </c>
      <c r="I14" s="274" t="s">
        <v>238</v>
      </c>
      <c r="J14" s="275" t="s">
        <v>271</v>
      </c>
      <c r="K14" s="274" t="s">
        <v>239</v>
      </c>
      <c r="L14" s="275" t="s">
        <v>272</v>
      </c>
      <c r="M14" s="274" t="s">
        <v>240</v>
      </c>
      <c r="N14" s="275" t="s">
        <v>273</v>
      </c>
      <c r="O14" s="274" t="s">
        <v>241</v>
      </c>
      <c r="P14" s="275" t="s">
        <v>274</v>
      </c>
      <c r="Q14" s="274" t="s">
        <v>242</v>
      </c>
      <c r="R14" s="275" t="s">
        <v>275</v>
      </c>
      <c r="S14" s="274" t="s">
        <v>243</v>
      </c>
      <c r="T14" s="275" t="s">
        <v>276</v>
      </c>
      <c r="U14" s="274" t="s">
        <v>244</v>
      </c>
      <c r="V14" s="275" t="s">
        <v>277</v>
      </c>
      <c r="W14" s="274" t="s">
        <v>245</v>
      </c>
      <c r="X14" s="275" t="s">
        <v>278</v>
      </c>
      <c r="Y14" s="274" t="s">
        <v>246</v>
      </c>
      <c r="Z14" s="275" t="s">
        <v>279</v>
      </c>
      <c r="AA14" s="276" t="s">
        <v>247</v>
      </c>
    </row>
    <row r="15" spans="2:27" x14ac:dyDescent="0.35">
      <c r="B15" s="276" t="s">
        <v>248</v>
      </c>
      <c r="C15" s="277">
        <v>6960852.0057434458</v>
      </c>
      <c r="D15" s="277">
        <v>4499180</v>
      </c>
      <c r="E15" s="277">
        <v>5970035.5113071986</v>
      </c>
      <c r="F15" s="277">
        <v>6731413</v>
      </c>
      <c r="G15" s="277">
        <v>2756452.5877813119</v>
      </c>
      <c r="H15" s="277">
        <v>4083993</v>
      </c>
      <c r="I15" s="277">
        <v>3093411.7049224009</v>
      </c>
      <c r="J15" s="277">
        <v>2311387</v>
      </c>
      <c r="K15" s="277">
        <v>2335684.9155766261</v>
      </c>
      <c r="L15" s="277">
        <v>2412228</v>
      </c>
      <c r="M15" s="277">
        <v>2429077.3651763774</v>
      </c>
      <c r="N15" s="277"/>
      <c r="O15" s="277">
        <v>3408806.5490326211</v>
      </c>
      <c r="P15" s="277"/>
      <c r="Q15" s="277">
        <v>3249123.9645842398</v>
      </c>
      <c r="R15" s="277"/>
      <c r="S15" s="277">
        <v>4620913.0249456605</v>
      </c>
      <c r="T15" s="277"/>
      <c r="U15" s="277">
        <v>3671151.1177109294</v>
      </c>
      <c r="V15" s="277"/>
      <c r="W15" s="277">
        <v>681460.83072756336</v>
      </c>
      <c r="X15" s="277"/>
      <c r="Y15" s="277">
        <v>3064630.422491624</v>
      </c>
      <c r="Z15" s="277"/>
      <c r="AA15" s="277">
        <v>62279801</v>
      </c>
    </row>
    <row r="16" spans="2:27" x14ac:dyDescent="0.35">
      <c r="B16" s="276" t="s">
        <v>267</v>
      </c>
      <c r="C16" s="277">
        <v>1390136.9369999999</v>
      </c>
      <c r="D16" s="277">
        <v>2603029</v>
      </c>
      <c r="E16" s="277">
        <v>1163588.9369999999</v>
      </c>
      <c r="F16" s="277">
        <v>1706605</v>
      </c>
      <c r="G16" s="277">
        <v>1163588.9369999999</v>
      </c>
      <c r="H16" s="277">
        <v>1900837</v>
      </c>
      <c r="I16" s="277">
        <v>1163588.9369999999</v>
      </c>
      <c r="J16" s="277">
        <v>1487023</v>
      </c>
      <c r="K16" s="277">
        <v>1163588.9369999999</v>
      </c>
      <c r="L16" s="277">
        <v>1453023</v>
      </c>
      <c r="M16" s="277">
        <v>1163588.9369999999</v>
      </c>
      <c r="N16" s="277"/>
      <c r="O16" s="277">
        <v>1163588.9369999999</v>
      </c>
      <c r="P16" s="277"/>
      <c r="Q16" s="277"/>
      <c r="R16" s="277"/>
      <c r="S16" s="277"/>
      <c r="T16" s="277"/>
      <c r="U16" s="277"/>
      <c r="V16" s="277"/>
      <c r="W16" s="277"/>
      <c r="X16" s="277"/>
      <c r="Y16" s="277"/>
      <c r="Z16" s="277"/>
      <c r="AA16" s="277"/>
    </row>
    <row r="17" spans="2:27" x14ac:dyDescent="0.35">
      <c r="B17" s="276" t="s">
        <v>252</v>
      </c>
      <c r="C17" s="277">
        <v>659825.66784685082</v>
      </c>
      <c r="D17" s="277">
        <v>2184242</v>
      </c>
      <c r="E17" s="277">
        <v>401731.10503354081</v>
      </c>
      <c r="F17" s="277">
        <v>2877417</v>
      </c>
      <c r="G17" s="277">
        <v>1664373.2309702672</v>
      </c>
      <c r="H17" s="277">
        <v>3366243</v>
      </c>
      <c r="I17" s="277">
        <v>871575.4942520425</v>
      </c>
      <c r="J17" s="277">
        <v>3073787</v>
      </c>
      <c r="K17" s="277">
        <v>708387.0719605746</v>
      </c>
      <c r="L17" s="277">
        <v>1747788</v>
      </c>
      <c r="M17" s="277">
        <v>810142.28023883794</v>
      </c>
      <c r="N17" s="277"/>
      <c r="O17" s="277">
        <v>1212558.70676602</v>
      </c>
      <c r="P17" s="277"/>
      <c r="Q17" s="277">
        <v>298057.8260090801</v>
      </c>
      <c r="R17" s="277"/>
      <c r="S17" s="277">
        <v>236996.82140013771</v>
      </c>
      <c r="T17" s="277"/>
      <c r="U17" s="277">
        <v>-264853.42940491013</v>
      </c>
      <c r="V17" s="277"/>
      <c r="W17" s="277">
        <v>623659.14793355332</v>
      </c>
      <c r="X17" s="277"/>
      <c r="Y17" s="277">
        <v>2572923.9452340039</v>
      </c>
      <c r="Z17" s="277"/>
      <c r="AA17" s="277">
        <v>23044854.868240003</v>
      </c>
    </row>
    <row r="18" spans="2:27" x14ac:dyDescent="0.35">
      <c r="B18" s="276" t="s">
        <v>253</v>
      </c>
      <c r="C18" s="277">
        <v>4910889.4008965949</v>
      </c>
      <c r="D18" s="277">
        <v>-288091</v>
      </c>
      <c r="E18" s="277">
        <v>4404715.4692736575</v>
      </c>
      <c r="F18" s="277">
        <v>2147391</v>
      </c>
      <c r="G18" s="277">
        <v>-71509.58018895518</v>
      </c>
      <c r="H18" s="277">
        <v>-1183087</v>
      </c>
      <c r="I18" s="277">
        <v>1058247.2736703586</v>
      </c>
      <c r="J18" s="277">
        <v>-2249423</v>
      </c>
      <c r="K18" s="277">
        <v>463708.90661605156</v>
      </c>
      <c r="L18" s="277">
        <v>-788583</v>
      </c>
      <c r="M18" s="277">
        <v>455346.1479375395</v>
      </c>
      <c r="N18" s="277"/>
      <c r="O18" s="277">
        <v>1032658.9052666011</v>
      </c>
      <c r="P18" s="277"/>
      <c r="Q18" s="277">
        <v>1787477.2015751598</v>
      </c>
      <c r="R18" s="277"/>
      <c r="S18" s="277">
        <v>3090723.266545523</v>
      </c>
      <c r="T18" s="277"/>
      <c r="U18" s="277">
        <v>2772415.6101158396</v>
      </c>
      <c r="V18" s="277"/>
      <c r="W18" s="277">
        <v>-1105787.2542059899</v>
      </c>
      <c r="X18" s="277"/>
      <c r="Y18" s="277">
        <v>-1028034.4597423798</v>
      </c>
      <c r="Z18" s="277"/>
      <c r="AA18" s="277">
        <v>15409057.88776001</v>
      </c>
    </row>
    <row r="20" spans="2:27" x14ac:dyDescent="0.35">
      <c r="B20" s="273" t="s">
        <v>258</v>
      </c>
      <c r="C20" s="274" t="s">
        <v>235</v>
      </c>
      <c r="D20" s="275" t="s">
        <v>268</v>
      </c>
      <c r="E20" s="274" t="s">
        <v>236</v>
      </c>
      <c r="F20" s="275" t="s">
        <v>269</v>
      </c>
      <c r="G20" s="274" t="s">
        <v>237</v>
      </c>
      <c r="H20" s="275" t="s">
        <v>270</v>
      </c>
      <c r="I20" s="274" t="s">
        <v>238</v>
      </c>
      <c r="J20" s="275" t="s">
        <v>271</v>
      </c>
      <c r="K20" s="274" t="s">
        <v>239</v>
      </c>
      <c r="L20" s="275" t="s">
        <v>272</v>
      </c>
      <c r="M20" s="274" t="s">
        <v>240</v>
      </c>
      <c r="N20" s="275" t="s">
        <v>273</v>
      </c>
      <c r="O20" s="274" t="s">
        <v>241</v>
      </c>
      <c r="P20" s="275" t="s">
        <v>274</v>
      </c>
      <c r="Q20" s="274" t="s">
        <v>242</v>
      </c>
      <c r="R20" s="275" t="s">
        <v>275</v>
      </c>
      <c r="S20" s="274" t="s">
        <v>243</v>
      </c>
      <c r="T20" s="275" t="s">
        <v>276</v>
      </c>
      <c r="U20" s="274" t="s">
        <v>244</v>
      </c>
      <c r="V20" s="275" t="s">
        <v>277</v>
      </c>
      <c r="W20" s="274" t="s">
        <v>245</v>
      </c>
      <c r="X20" s="275" t="s">
        <v>278</v>
      </c>
      <c r="Y20" s="274" t="s">
        <v>246</v>
      </c>
      <c r="Z20" s="275" t="s">
        <v>279</v>
      </c>
      <c r="AA20" s="276" t="s">
        <v>247</v>
      </c>
    </row>
    <row r="21" spans="2:27" x14ac:dyDescent="0.35">
      <c r="B21" s="276" t="s">
        <v>248</v>
      </c>
      <c r="C21" s="277">
        <v>175035</v>
      </c>
      <c r="D21" s="277">
        <v>355079</v>
      </c>
      <c r="E21" s="277">
        <v>175035</v>
      </c>
      <c r="F21" s="277">
        <v>351252</v>
      </c>
      <c r="G21" s="277">
        <v>75015</v>
      </c>
      <c r="H21" s="277">
        <v>0</v>
      </c>
      <c r="I21" s="277">
        <v>0</v>
      </c>
      <c r="J21" s="277">
        <v>0</v>
      </c>
      <c r="K21" s="277">
        <v>0</v>
      </c>
      <c r="L21" s="277">
        <v>0</v>
      </c>
      <c r="M21" s="277">
        <v>0</v>
      </c>
      <c r="N21" s="277"/>
      <c r="O21" s="277">
        <v>0</v>
      </c>
      <c r="P21" s="277"/>
      <c r="Q21" s="277">
        <v>0</v>
      </c>
      <c r="R21" s="277"/>
      <c r="S21" s="277">
        <v>0</v>
      </c>
      <c r="T21" s="277"/>
      <c r="U21" s="277">
        <v>0</v>
      </c>
      <c r="V21" s="277"/>
      <c r="W21" s="277">
        <v>0</v>
      </c>
      <c r="X21" s="277"/>
      <c r="Y21" s="277">
        <v>75015</v>
      </c>
      <c r="Z21" s="277"/>
      <c r="AA21" s="277">
        <v>1206431</v>
      </c>
    </row>
    <row r="22" spans="2:27" x14ac:dyDescent="0.35">
      <c r="B22" s="276" t="s">
        <v>267</v>
      </c>
      <c r="C22" s="277">
        <v>3064269.1666666665</v>
      </c>
      <c r="D22" s="277">
        <v>920000</v>
      </c>
      <c r="E22" s="277">
        <v>3056882.1666666665</v>
      </c>
      <c r="F22" s="277">
        <v>486230</v>
      </c>
      <c r="G22" s="277">
        <v>3056882.1666666665</v>
      </c>
      <c r="H22" s="277">
        <v>173333</v>
      </c>
      <c r="I22" s="277">
        <v>2152.1666666666665</v>
      </c>
      <c r="J22" s="277">
        <v>0</v>
      </c>
      <c r="K22" s="277">
        <v>2152.1666666666665</v>
      </c>
      <c r="L22" s="277">
        <v>0</v>
      </c>
      <c r="M22" s="277">
        <v>2152.1666666666665</v>
      </c>
      <c r="N22" s="277"/>
      <c r="O22" s="277"/>
      <c r="P22" s="277"/>
      <c r="Q22" s="277"/>
      <c r="R22" s="277"/>
      <c r="S22" s="277"/>
      <c r="T22" s="277"/>
      <c r="U22" s="277"/>
      <c r="V22" s="277"/>
      <c r="W22" s="277"/>
      <c r="X22" s="277"/>
      <c r="Y22" s="277"/>
      <c r="Z22" s="277"/>
      <c r="AA22" s="277"/>
    </row>
    <row r="23" spans="2:27" x14ac:dyDescent="0.35">
      <c r="B23" s="276" t="s">
        <v>252</v>
      </c>
      <c r="C23" s="277">
        <v>3314118.7431975002</v>
      </c>
      <c r="D23" s="277">
        <v>439453</v>
      </c>
      <c r="E23" s="277">
        <v>3314118.7431975002</v>
      </c>
      <c r="F23" s="277">
        <v>422000</v>
      </c>
      <c r="G23" s="277">
        <v>1420336.6042275003</v>
      </c>
      <c r="H23" s="277">
        <v>316454</v>
      </c>
      <c r="I23" s="277">
        <v>0</v>
      </c>
      <c r="J23" s="277">
        <v>0</v>
      </c>
      <c r="K23" s="277">
        <v>0</v>
      </c>
      <c r="L23" s="277">
        <v>0</v>
      </c>
      <c r="M23" s="277">
        <v>0</v>
      </c>
      <c r="N23" s="277"/>
      <c r="O23" s="277">
        <v>0</v>
      </c>
      <c r="P23" s="277"/>
      <c r="Q23" s="277">
        <v>0</v>
      </c>
      <c r="R23" s="277"/>
      <c r="S23" s="277">
        <v>0</v>
      </c>
      <c r="T23" s="277"/>
      <c r="U23" s="277">
        <v>0</v>
      </c>
      <c r="V23" s="277"/>
      <c r="W23" s="277">
        <v>0</v>
      </c>
      <c r="X23" s="277"/>
      <c r="Y23" s="277">
        <v>1420336.6042275003</v>
      </c>
      <c r="Z23" s="277"/>
      <c r="AA23" s="277">
        <v>10646817.694850001</v>
      </c>
    </row>
    <row r="24" spans="2:27" x14ac:dyDescent="0.35">
      <c r="B24" s="276" t="s">
        <v>253</v>
      </c>
      <c r="C24" s="277">
        <v>-6203352.9098641668</v>
      </c>
      <c r="D24" s="277">
        <v>-1004374</v>
      </c>
      <c r="E24" s="277">
        <v>-6195965.9098641668</v>
      </c>
      <c r="F24" s="277">
        <v>-556978</v>
      </c>
      <c r="G24" s="277">
        <v>-4402203.770894167</v>
      </c>
      <c r="H24" s="277">
        <v>-489787</v>
      </c>
      <c r="I24" s="277">
        <v>-2152.1666666666665</v>
      </c>
      <c r="J24" s="277">
        <v>0</v>
      </c>
      <c r="K24" s="277">
        <v>-2152.1666666666665</v>
      </c>
      <c r="L24" s="277">
        <v>0</v>
      </c>
      <c r="M24" s="277">
        <v>-2152.1666666666665</v>
      </c>
      <c r="N24" s="277"/>
      <c r="O24" s="277">
        <v>-2152.1666666666665</v>
      </c>
      <c r="P24" s="277"/>
      <c r="Q24" s="277">
        <v>-2152.1666666666665</v>
      </c>
      <c r="R24" s="277"/>
      <c r="S24" s="277">
        <v>-28443.566666666669</v>
      </c>
      <c r="T24" s="277"/>
      <c r="U24" s="277">
        <v>-2152.1666666666665</v>
      </c>
      <c r="V24" s="277"/>
      <c r="W24" s="277">
        <v>-2152.1666666666665</v>
      </c>
      <c r="X24" s="277"/>
      <c r="Y24" s="277">
        <v>-4435882.1708941665</v>
      </c>
      <c r="Z24" s="277"/>
      <c r="AA24" s="277">
        <v>-23332052.494850002</v>
      </c>
    </row>
    <row r="26" spans="2:27" x14ac:dyDescent="0.35">
      <c r="B26" s="273" t="s">
        <v>259</v>
      </c>
      <c r="C26" s="274" t="s">
        <v>235</v>
      </c>
      <c r="D26" s="275" t="s">
        <v>268</v>
      </c>
      <c r="E26" s="274" t="s">
        <v>236</v>
      </c>
      <c r="F26" s="275" t="s">
        <v>269</v>
      </c>
      <c r="G26" s="274" t="s">
        <v>237</v>
      </c>
      <c r="H26" s="275" t="s">
        <v>270</v>
      </c>
      <c r="I26" s="274" t="s">
        <v>238</v>
      </c>
      <c r="J26" s="275" t="s">
        <v>271</v>
      </c>
      <c r="K26" s="274" t="s">
        <v>239</v>
      </c>
      <c r="L26" s="275" t="s">
        <v>272</v>
      </c>
      <c r="M26" s="274" t="s">
        <v>240</v>
      </c>
      <c r="N26" s="275" t="s">
        <v>273</v>
      </c>
      <c r="O26" s="274" t="s">
        <v>241</v>
      </c>
      <c r="P26" s="275" t="s">
        <v>274</v>
      </c>
      <c r="Q26" s="274" t="s">
        <v>242</v>
      </c>
      <c r="R26" s="275" t="s">
        <v>275</v>
      </c>
      <c r="S26" s="274" t="s">
        <v>243</v>
      </c>
      <c r="T26" s="275" t="s">
        <v>276</v>
      </c>
      <c r="U26" s="274" t="s">
        <v>244</v>
      </c>
      <c r="V26" s="275" t="s">
        <v>277</v>
      </c>
      <c r="W26" s="274" t="s">
        <v>245</v>
      </c>
      <c r="X26" s="275" t="s">
        <v>278</v>
      </c>
      <c r="Y26" s="274" t="s">
        <v>246</v>
      </c>
      <c r="Z26" s="275" t="s">
        <v>279</v>
      </c>
      <c r="AA26" s="276" t="s">
        <v>247</v>
      </c>
    </row>
    <row r="27" spans="2:27" x14ac:dyDescent="0.35">
      <c r="B27" s="276" t="s">
        <v>248</v>
      </c>
      <c r="C27" s="277">
        <v>89453.867755280648</v>
      </c>
      <c r="D27" s="277"/>
      <c r="E27" s="277">
        <v>80522.965693058097</v>
      </c>
      <c r="F27" s="277"/>
      <c r="G27" s="277">
        <v>53706.554455823556</v>
      </c>
      <c r="H27" s="277"/>
      <c r="I27" s="277">
        <v>55171.298905705269</v>
      </c>
      <c r="J27" s="277"/>
      <c r="K27" s="277">
        <v>63992.00636402722</v>
      </c>
      <c r="L27" s="277"/>
      <c r="M27" s="277">
        <v>45028.770959069647</v>
      </c>
      <c r="N27" s="277"/>
      <c r="O27" s="277">
        <v>64757.814262798136</v>
      </c>
      <c r="P27" s="277"/>
      <c r="Q27" s="277">
        <v>53793.446533422037</v>
      </c>
      <c r="R27" s="277"/>
      <c r="S27" s="277">
        <v>55353.972349381504</v>
      </c>
      <c r="T27" s="277"/>
      <c r="U27" s="277">
        <v>39680.222618671163</v>
      </c>
      <c r="V27" s="277"/>
      <c r="W27" s="277">
        <v>50586.27158617958</v>
      </c>
      <c r="X27" s="277"/>
      <c r="Y27" s="277">
        <v>31152.808516583133</v>
      </c>
      <c r="Z27" s="277"/>
      <c r="AA27" s="277">
        <v>683200</v>
      </c>
    </row>
    <row r="28" spans="2:27" x14ac:dyDescent="0.35">
      <c r="B28" s="276" t="s">
        <v>267</v>
      </c>
      <c r="C28" s="277">
        <v>550496.7649999999</v>
      </c>
      <c r="D28" s="277"/>
      <c r="E28" s="277">
        <v>437222.76499999996</v>
      </c>
      <c r="F28" s="277"/>
      <c r="G28" s="277">
        <v>437222.76499999996</v>
      </c>
      <c r="H28" s="277"/>
      <c r="I28" s="277">
        <v>437222.76499999996</v>
      </c>
      <c r="J28" s="277"/>
      <c r="K28" s="277">
        <v>437222.76499999996</v>
      </c>
      <c r="L28" s="277"/>
      <c r="M28" s="277">
        <v>437222.76499999996</v>
      </c>
      <c r="N28" s="277"/>
      <c r="O28" s="277">
        <v>437222.76499999996</v>
      </c>
      <c r="P28" s="277"/>
      <c r="Q28" s="277"/>
      <c r="R28" s="277"/>
      <c r="S28" s="277"/>
      <c r="T28" s="277"/>
      <c r="U28" s="277"/>
      <c r="V28" s="277"/>
      <c r="W28" s="277"/>
      <c r="X28" s="277"/>
      <c r="Y28" s="277"/>
      <c r="Z28" s="277"/>
      <c r="AA28" s="277"/>
    </row>
    <row r="29" spans="2:27" x14ac:dyDescent="0.35">
      <c r="B29" s="276" t="s">
        <v>252</v>
      </c>
      <c r="C29" s="277">
        <v>304046.50850483583</v>
      </c>
      <c r="D29" s="277"/>
      <c r="E29" s="277">
        <v>273691.09003096994</v>
      </c>
      <c r="F29" s="277"/>
      <c r="G29" s="277">
        <v>182544.26304729609</v>
      </c>
      <c r="H29" s="277"/>
      <c r="I29" s="277">
        <v>187522.8117340529</v>
      </c>
      <c r="J29" s="277"/>
      <c r="K29" s="277">
        <v>217503.68760386162</v>
      </c>
      <c r="L29" s="277"/>
      <c r="M29" s="277">
        <v>153049.17423831433</v>
      </c>
      <c r="N29" s="277"/>
      <c r="O29" s="277">
        <v>220106.60711589106</v>
      </c>
      <c r="P29" s="277"/>
      <c r="Q29" s="277">
        <v>182839.60223690857</v>
      </c>
      <c r="R29" s="277"/>
      <c r="S29" s="277">
        <v>188143.70409052717</v>
      </c>
      <c r="T29" s="277"/>
      <c r="U29" s="277">
        <v>134869.8882077056</v>
      </c>
      <c r="V29" s="277"/>
      <c r="W29" s="277">
        <v>171938.67230125819</v>
      </c>
      <c r="X29" s="277"/>
      <c r="Y29" s="277">
        <v>105885.89288837842</v>
      </c>
      <c r="Z29" s="277"/>
      <c r="AA29" s="277">
        <v>2322141.9019999998</v>
      </c>
    </row>
    <row r="30" spans="2:27" x14ac:dyDescent="0.35">
      <c r="B30" s="276" t="s">
        <v>253</v>
      </c>
      <c r="C30" s="277">
        <v>-765089.40574955521</v>
      </c>
      <c r="D30" s="277"/>
      <c r="E30" s="277">
        <v>-630390.88933791174</v>
      </c>
      <c r="F30" s="277"/>
      <c r="G30" s="277">
        <v>-566060.47359147249</v>
      </c>
      <c r="H30" s="277"/>
      <c r="I30" s="277">
        <v>-569574.27782834764</v>
      </c>
      <c r="J30" s="277"/>
      <c r="K30" s="277">
        <v>-590734.44623983442</v>
      </c>
      <c r="L30" s="277"/>
      <c r="M30" s="277">
        <v>-545243.16827924456</v>
      </c>
      <c r="N30" s="277"/>
      <c r="O30" s="277">
        <v>-592571.55785309291</v>
      </c>
      <c r="P30" s="277"/>
      <c r="Q30" s="277">
        <v>-566268.92070348654</v>
      </c>
      <c r="R30" s="277"/>
      <c r="S30" s="277">
        <v>-634814.49674114562</v>
      </c>
      <c r="T30" s="277"/>
      <c r="U30" s="277">
        <v>-532412.43058903434</v>
      </c>
      <c r="V30" s="277"/>
      <c r="W30" s="277">
        <v>-558575.16571507859</v>
      </c>
      <c r="X30" s="277"/>
      <c r="Y30" s="277">
        <v>-690031.84937179531</v>
      </c>
      <c r="Z30" s="277"/>
      <c r="AA30" s="277">
        <v>-7241767.0819999995</v>
      </c>
    </row>
    <row r="32" spans="2:27" x14ac:dyDescent="0.35">
      <c r="B32" s="273" t="s">
        <v>260</v>
      </c>
      <c r="C32" s="274" t="s">
        <v>235</v>
      </c>
      <c r="D32" s="275" t="s">
        <v>268</v>
      </c>
      <c r="E32" s="274" t="s">
        <v>236</v>
      </c>
      <c r="F32" s="275" t="s">
        <v>269</v>
      </c>
      <c r="G32" s="274" t="s">
        <v>237</v>
      </c>
      <c r="H32" s="275" t="s">
        <v>270</v>
      </c>
      <c r="I32" s="274" t="s">
        <v>238</v>
      </c>
      <c r="J32" s="275" t="s">
        <v>271</v>
      </c>
      <c r="K32" s="274" t="s">
        <v>239</v>
      </c>
      <c r="L32" s="275" t="s">
        <v>272</v>
      </c>
      <c r="M32" s="274" t="s">
        <v>240</v>
      </c>
      <c r="N32" s="275" t="s">
        <v>273</v>
      </c>
      <c r="O32" s="274" t="s">
        <v>241</v>
      </c>
      <c r="P32" s="275" t="s">
        <v>274</v>
      </c>
      <c r="Q32" s="274" t="s">
        <v>242</v>
      </c>
      <c r="R32" s="275" t="s">
        <v>275</v>
      </c>
      <c r="S32" s="274" t="s">
        <v>243</v>
      </c>
      <c r="T32" s="275" t="s">
        <v>276</v>
      </c>
      <c r="U32" s="274" t="s">
        <v>244</v>
      </c>
      <c r="V32" s="275" t="s">
        <v>277</v>
      </c>
      <c r="W32" s="274" t="s">
        <v>245</v>
      </c>
      <c r="X32" s="275" t="s">
        <v>278</v>
      </c>
      <c r="Y32" s="274" t="s">
        <v>246</v>
      </c>
      <c r="Z32" s="275" t="s">
        <v>279</v>
      </c>
      <c r="AA32" s="276" t="s">
        <v>247</v>
      </c>
    </row>
    <row r="33" spans="2:27" x14ac:dyDescent="0.35">
      <c r="B33" s="276" t="s">
        <v>248</v>
      </c>
      <c r="C33" s="277">
        <v>7632515.8874493428</v>
      </c>
      <c r="D33" s="277">
        <v>5122745</v>
      </c>
      <c r="E33" s="277">
        <v>6882683.5102116857</v>
      </c>
      <c r="F33" s="277">
        <v>7639313</v>
      </c>
      <c r="G33" s="277">
        <v>5609437.0459279697</v>
      </c>
      <c r="H33" s="277">
        <v>6864902</v>
      </c>
      <c r="I33" s="277">
        <v>4127321.9119042344</v>
      </c>
      <c r="J33" s="277">
        <v>4529565</v>
      </c>
      <c r="K33" s="277">
        <v>4830119.6132257031</v>
      </c>
      <c r="L33" s="277">
        <v>2940649</v>
      </c>
      <c r="M33" s="277">
        <v>5983343.1429240312</v>
      </c>
      <c r="N33" s="277"/>
      <c r="O33" s="277">
        <v>7217346.1046751747</v>
      </c>
      <c r="P33" s="277"/>
      <c r="Q33" s="277">
        <v>4457980.6955734752</v>
      </c>
      <c r="R33" s="277"/>
      <c r="S33" s="277">
        <v>4801775.4802988097</v>
      </c>
      <c r="T33" s="277"/>
      <c r="U33" s="277">
        <v>3293837.5944370134</v>
      </c>
      <c r="V33" s="277"/>
      <c r="W33" s="277">
        <v>4906772.0995054943</v>
      </c>
      <c r="X33" s="277"/>
      <c r="Y33" s="277">
        <v>2933866.9138670648</v>
      </c>
      <c r="Z33" s="277"/>
      <c r="AA33" s="277">
        <v>89774174.000000015</v>
      </c>
    </row>
    <row r="34" spans="2:27" x14ac:dyDescent="0.35">
      <c r="B34" s="276" t="s">
        <v>267</v>
      </c>
      <c r="C34" s="277">
        <v>1216768.8539999998</v>
      </c>
      <c r="D34" s="277">
        <v>1999945</v>
      </c>
      <c r="E34" s="277">
        <v>990220.85399999993</v>
      </c>
      <c r="F34" s="277">
        <v>1694493</v>
      </c>
      <c r="G34" s="277">
        <v>990220.85399999993</v>
      </c>
      <c r="H34" s="277">
        <v>1450245</v>
      </c>
      <c r="I34" s="277">
        <v>990220.85399999993</v>
      </c>
      <c r="J34" s="277">
        <v>1686728</v>
      </c>
      <c r="K34" s="277">
        <v>990220.85399999993</v>
      </c>
      <c r="L34" s="277">
        <v>1787060</v>
      </c>
      <c r="M34" s="277">
        <v>990220.85399999993</v>
      </c>
      <c r="N34" s="277"/>
      <c r="O34" s="277">
        <v>990220.85399999993</v>
      </c>
      <c r="P34" s="277"/>
      <c r="Q34" s="277"/>
      <c r="R34" s="277"/>
      <c r="S34" s="277"/>
      <c r="T34" s="277"/>
      <c r="U34" s="277"/>
      <c r="V34" s="277"/>
      <c r="W34" s="277"/>
      <c r="X34" s="277"/>
      <c r="Y34" s="277"/>
      <c r="Z34" s="277"/>
      <c r="AA34" s="277"/>
    </row>
    <row r="35" spans="2:27" x14ac:dyDescent="0.35">
      <c r="B35" s="276" t="s">
        <v>252</v>
      </c>
      <c r="C35" s="277">
        <v>1216223.1326607645</v>
      </c>
      <c r="D35" s="277">
        <v>550243</v>
      </c>
      <c r="E35" s="277">
        <v>256966.2608703103</v>
      </c>
      <c r="F35" s="277">
        <v>2492265</v>
      </c>
      <c r="G35" s="277">
        <v>1019792.9710969663</v>
      </c>
      <c r="H35" s="277">
        <v>8704467</v>
      </c>
      <c r="I35" s="277">
        <v>734826.47109501238</v>
      </c>
      <c r="J35" s="277">
        <v>1451747</v>
      </c>
      <c r="K35" s="277">
        <v>1813913.2447340973</v>
      </c>
      <c r="L35" s="277">
        <v>1530843</v>
      </c>
      <c r="M35" s="277">
        <v>753650.09192002832</v>
      </c>
      <c r="N35" s="277"/>
      <c r="O35" s="277">
        <v>859840.75601712335</v>
      </c>
      <c r="P35" s="277"/>
      <c r="Q35" s="277">
        <v>561353.72521046083</v>
      </c>
      <c r="R35" s="277"/>
      <c r="S35" s="277">
        <v>456092.40319975931</v>
      </c>
      <c r="T35" s="277"/>
      <c r="U35" s="277">
        <v>236628.6503758624</v>
      </c>
      <c r="V35" s="277"/>
      <c r="W35" s="277">
        <v>372607.14056859276</v>
      </c>
      <c r="X35" s="277"/>
      <c r="Y35" s="277">
        <v>1984021.5691310226</v>
      </c>
      <c r="Z35" s="277"/>
      <c r="AA35" s="277">
        <v>24995481.41688</v>
      </c>
    </row>
    <row r="36" spans="2:27" x14ac:dyDescent="0.35">
      <c r="B36" s="276" t="s">
        <v>253</v>
      </c>
      <c r="C36" s="277">
        <v>5199523.9007885782</v>
      </c>
      <c r="D36" s="277">
        <v>2572557</v>
      </c>
      <c r="E36" s="277">
        <v>5635496.3953413749</v>
      </c>
      <c r="F36" s="277">
        <v>3452555</v>
      </c>
      <c r="G36" s="277">
        <v>3599423.220831003</v>
      </c>
      <c r="H36" s="277">
        <v>-3289810</v>
      </c>
      <c r="I36" s="277">
        <v>2402274.5868092221</v>
      </c>
      <c r="J36" s="277">
        <v>1391090</v>
      </c>
      <c r="K36" s="277">
        <v>2025985.514491606</v>
      </c>
      <c r="L36" s="277">
        <v>-377254</v>
      </c>
      <c r="M36" s="277">
        <v>4239472.1970040025</v>
      </c>
      <c r="N36" s="277"/>
      <c r="O36" s="277">
        <v>5367284.4946580511</v>
      </c>
      <c r="P36" s="277"/>
      <c r="Q36" s="277">
        <v>2906406.1163630146</v>
      </c>
      <c r="R36" s="277"/>
      <c r="S36" s="277">
        <v>3225858.2230990506</v>
      </c>
      <c r="T36" s="277"/>
      <c r="U36" s="277">
        <v>2066988.0900611512</v>
      </c>
      <c r="V36" s="277"/>
      <c r="W36" s="277">
        <v>3543944.1049369019</v>
      </c>
      <c r="X36" s="277"/>
      <c r="Y36" s="277">
        <v>-396527.50926395762</v>
      </c>
      <c r="Z36" s="277"/>
      <c r="AA36" s="277">
        <v>43565267.335120022</v>
      </c>
    </row>
    <row r="38" spans="2:27" x14ac:dyDescent="0.35">
      <c r="B38" s="273" t="s">
        <v>261</v>
      </c>
      <c r="C38" s="274" t="s">
        <v>235</v>
      </c>
      <c r="D38" s="275" t="s">
        <v>268</v>
      </c>
      <c r="E38" s="274" t="s">
        <v>236</v>
      </c>
      <c r="F38" s="275" t="s">
        <v>269</v>
      </c>
      <c r="G38" s="274" t="s">
        <v>237</v>
      </c>
      <c r="H38" s="275" t="s">
        <v>270</v>
      </c>
      <c r="I38" s="274" t="s">
        <v>238</v>
      </c>
      <c r="J38" s="275" t="s">
        <v>271</v>
      </c>
      <c r="K38" s="274" t="s">
        <v>239</v>
      </c>
      <c r="L38" s="275" t="s">
        <v>272</v>
      </c>
      <c r="M38" s="274" t="s">
        <v>240</v>
      </c>
      <c r="N38" s="275" t="s">
        <v>273</v>
      </c>
      <c r="O38" s="274" t="s">
        <v>241</v>
      </c>
      <c r="P38" s="275" t="s">
        <v>274</v>
      </c>
      <c r="Q38" s="274" t="s">
        <v>242</v>
      </c>
      <c r="R38" s="275" t="s">
        <v>275</v>
      </c>
      <c r="S38" s="274" t="s">
        <v>243</v>
      </c>
      <c r="T38" s="275" t="s">
        <v>276</v>
      </c>
      <c r="U38" s="274" t="s">
        <v>244</v>
      </c>
      <c r="V38" s="275" t="s">
        <v>277</v>
      </c>
      <c r="W38" s="274" t="s">
        <v>245</v>
      </c>
      <c r="X38" s="275" t="s">
        <v>278</v>
      </c>
      <c r="Y38" s="274" t="s">
        <v>246</v>
      </c>
      <c r="Z38" s="275" t="s">
        <v>279</v>
      </c>
      <c r="AA38" s="276" t="s">
        <v>247</v>
      </c>
    </row>
    <row r="39" spans="2:27" x14ac:dyDescent="0.35">
      <c r="B39" s="276" t="s">
        <v>248</v>
      </c>
      <c r="C39" s="277">
        <v>303660</v>
      </c>
      <c r="D39" s="277">
        <v>2863623</v>
      </c>
      <c r="E39" s="277">
        <v>303660</v>
      </c>
      <c r="F39" s="277">
        <v>1432564</v>
      </c>
      <c r="G39" s="277">
        <v>130140</v>
      </c>
      <c r="H39" s="277">
        <v>178720</v>
      </c>
      <c r="I39" s="277">
        <v>0</v>
      </c>
      <c r="J39" s="277">
        <v>0</v>
      </c>
      <c r="K39" s="277">
        <v>0</v>
      </c>
      <c r="L39" s="277">
        <v>0</v>
      </c>
      <c r="M39" s="277">
        <v>0</v>
      </c>
      <c r="N39" s="277"/>
      <c r="O39" s="277">
        <v>0</v>
      </c>
      <c r="P39" s="277"/>
      <c r="Q39" s="277">
        <v>0</v>
      </c>
      <c r="R39" s="277"/>
      <c r="S39" s="277">
        <v>0</v>
      </c>
      <c r="T39" s="277"/>
      <c r="U39" s="277">
        <v>0</v>
      </c>
      <c r="V39" s="277"/>
      <c r="W39" s="277">
        <v>0</v>
      </c>
      <c r="X39" s="277"/>
      <c r="Y39" s="277">
        <v>130140</v>
      </c>
      <c r="Z39" s="277"/>
      <c r="AA39" s="277">
        <v>5342507</v>
      </c>
    </row>
    <row r="40" spans="2:27" x14ac:dyDescent="0.35">
      <c r="B40" s="276" t="s">
        <v>267</v>
      </c>
      <c r="C40" s="277">
        <v>4536371.2373333331</v>
      </c>
      <c r="D40" s="277">
        <v>2157731</v>
      </c>
      <c r="E40" s="277">
        <v>4497857.7373333331</v>
      </c>
      <c r="F40" s="277">
        <v>2889648</v>
      </c>
      <c r="G40" s="277">
        <v>4497857.7373333331</v>
      </c>
      <c r="H40" s="277">
        <v>1392085</v>
      </c>
      <c r="I40" s="277">
        <v>227577.73733333335</v>
      </c>
      <c r="J40" s="277">
        <v>0</v>
      </c>
      <c r="K40" s="277">
        <v>227577.73733333335</v>
      </c>
      <c r="L40" s="277">
        <v>0</v>
      </c>
      <c r="M40" s="277">
        <v>227577.73733333335</v>
      </c>
      <c r="N40" s="277"/>
      <c r="O40" s="277"/>
      <c r="P40" s="277"/>
      <c r="Q40" s="277"/>
      <c r="R40" s="277"/>
      <c r="S40" s="277"/>
      <c r="T40" s="277"/>
      <c r="U40" s="277"/>
      <c r="V40" s="277"/>
      <c r="W40" s="277"/>
      <c r="X40" s="277"/>
      <c r="Y40" s="277"/>
      <c r="Z40" s="277"/>
      <c r="AA40" s="277"/>
    </row>
    <row r="41" spans="2:27" x14ac:dyDescent="0.35">
      <c r="B41" s="276" t="s">
        <v>252</v>
      </c>
      <c r="C41" s="277">
        <v>4319181.7239200007</v>
      </c>
      <c r="D41" s="277">
        <v>1032652</v>
      </c>
      <c r="E41" s="277">
        <v>4319181.7239200007</v>
      </c>
      <c r="F41" s="277">
        <v>736709</v>
      </c>
      <c r="G41" s="277">
        <v>1851077.8816800003</v>
      </c>
      <c r="H41" s="277">
        <v>1771428</v>
      </c>
      <c r="I41" s="277">
        <v>0</v>
      </c>
      <c r="J41" s="277">
        <v>250397</v>
      </c>
      <c r="K41" s="277">
        <v>0</v>
      </c>
      <c r="L41" s="277">
        <v>32847</v>
      </c>
      <c r="M41" s="277">
        <v>0</v>
      </c>
      <c r="N41" s="277"/>
      <c r="O41" s="277">
        <v>0</v>
      </c>
      <c r="P41" s="277"/>
      <c r="Q41" s="277">
        <v>0</v>
      </c>
      <c r="R41" s="277"/>
      <c r="S41" s="277">
        <v>0</v>
      </c>
      <c r="T41" s="277"/>
      <c r="U41" s="277">
        <v>0</v>
      </c>
      <c r="V41" s="277"/>
      <c r="W41" s="277">
        <v>0</v>
      </c>
      <c r="X41" s="277"/>
      <c r="Y41" s="277">
        <v>1851077.8816800003</v>
      </c>
      <c r="Z41" s="277"/>
      <c r="AA41" s="277">
        <v>16164552.211200003</v>
      </c>
    </row>
    <row r="42" spans="2:27" x14ac:dyDescent="0.35">
      <c r="B42" s="276" t="s">
        <v>253</v>
      </c>
      <c r="C42" s="277">
        <v>-8551892.9612533338</v>
      </c>
      <c r="D42" s="277">
        <v>-326760</v>
      </c>
      <c r="E42" s="277">
        <v>-8513379.4612533338</v>
      </c>
      <c r="F42" s="277">
        <v>-2193793</v>
      </c>
      <c r="G42" s="277">
        <v>-6218795.6190133337</v>
      </c>
      <c r="H42" s="277">
        <v>-2984793</v>
      </c>
      <c r="I42" s="277">
        <v>-227577.73733333335</v>
      </c>
      <c r="J42" s="277">
        <v>-250397</v>
      </c>
      <c r="K42" s="277">
        <v>-227577.73733333335</v>
      </c>
      <c r="L42" s="277">
        <v>-32847</v>
      </c>
      <c r="M42" s="277">
        <v>-227577.73733333335</v>
      </c>
      <c r="N42" s="277"/>
      <c r="O42" s="277">
        <v>-227577.73733333335</v>
      </c>
      <c r="P42" s="277"/>
      <c r="Q42" s="277">
        <v>-227577.73733333335</v>
      </c>
      <c r="R42" s="277"/>
      <c r="S42" s="277">
        <v>-249610.23733333335</v>
      </c>
      <c r="T42" s="277"/>
      <c r="U42" s="277">
        <v>-227577.73733333335</v>
      </c>
      <c r="V42" s="277"/>
      <c r="W42" s="277">
        <v>-227577.73733333335</v>
      </c>
      <c r="X42" s="277"/>
      <c r="Y42" s="277">
        <v>-6279341.6190133337</v>
      </c>
      <c r="Z42" s="277"/>
      <c r="AA42" s="277">
        <v>-37194654.059200004</v>
      </c>
    </row>
    <row r="44" spans="2:27" x14ac:dyDescent="0.35">
      <c r="B44" s="273" t="s">
        <v>262</v>
      </c>
      <c r="C44" s="274" t="s">
        <v>235</v>
      </c>
      <c r="D44" s="275" t="s">
        <v>268</v>
      </c>
      <c r="E44" s="274" t="s">
        <v>236</v>
      </c>
      <c r="F44" s="275" t="s">
        <v>269</v>
      </c>
      <c r="G44" s="274" t="s">
        <v>237</v>
      </c>
      <c r="H44" s="275" t="s">
        <v>270</v>
      </c>
      <c r="I44" s="274" t="s">
        <v>238</v>
      </c>
      <c r="J44" s="275" t="s">
        <v>271</v>
      </c>
      <c r="K44" s="274" t="s">
        <v>239</v>
      </c>
      <c r="L44" s="275" t="s">
        <v>272</v>
      </c>
      <c r="M44" s="274" t="s">
        <v>240</v>
      </c>
      <c r="N44" s="275" t="s">
        <v>273</v>
      </c>
      <c r="O44" s="274" t="s">
        <v>241</v>
      </c>
      <c r="P44" s="275" t="s">
        <v>274</v>
      </c>
      <c r="Q44" s="274" t="s">
        <v>242</v>
      </c>
      <c r="R44" s="275" t="s">
        <v>275</v>
      </c>
      <c r="S44" s="274" t="s">
        <v>243</v>
      </c>
      <c r="T44" s="275" t="s">
        <v>276</v>
      </c>
      <c r="U44" s="274" t="s">
        <v>244</v>
      </c>
      <c r="V44" s="275" t="s">
        <v>277</v>
      </c>
      <c r="W44" s="274" t="s">
        <v>245</v>
      </c>
      <c r="X44" s="275" t="s">
        <v>278</v>
      </c>
      <c r="Y44" s="274" t="s">
        <v>246</v>
      </c>
      <c r="Z44" s="275" t="s">
        <v>279</v>
      </c>
      <c r="AA44" s="276" t="s">
        <v>247</v>
      </c>
    </row>
    <row r="45" spans="2:27" x14ac:dyDescent="0.35">
      <c r="B45" s="276" t="s">
        <v>248</v>
      </c>
      <c r="C45" s="277">
        <v>1771218.0056298806</v>
      </c>
      <c r="D45" s="277"/>
      <c r="E45" s="277">
        <v>1594383.0074786486</v>
      </c>
      <c r="F45" s="277"/>
      <c r="G45" s="277">
        <v>1063408.6446964268</v>
      </c>
      <c r="H45" s="277"/>
      <c r="I45" s="277">
        <v>1092411.0993513153</v>
      </c>
      <c r="J45" s="277"/>
      <c r="K45" s="277">
        <v>1267064.2056352673</v>
      </c>
      <c r="L45" s="277"/>
      <c r="M45" s="277">
        <v>891585.48305900255</v>
      </c>
      <c r="N45" s="277"/>
      <c r="O45" s="277">
        <v>1282227.4710500997</v>
      </c>
      <c r="P45" s="277"/>
      <c r="Q45" s="277">
        <v>1065129.1383570258</v>
      </c>
      <c r="R45" s="277"/>
      <c r="S45" s="277">
        <v>1096028.0977071037</v>
      </c>
      <c r="T45" s="277"/>
      <c r="U45" s="277">
        <v>785682.34703796264</v>
      </c>
      <c r="V45" s="277"/>
      <c r="W45" s="277">
        <v>1001625.9477593719</v>
      </c>
      <c r="X45" s="277"/>
      <c r="Y45" s="277">
        <v>616836.55223789508</v>
      </c>
      <c r="Z45" s="277"/>
      <c r="AA45" s="277">
        <v>13527600</v>
      </c>
    </row>
    <row r="46" spans="2:27" x14ac:dyDescent="0.35">
      <c r="B46" s="276" t="s">
        <v>267</v>
      </c>
      <c r="C46" s="277">
        <v>1760181.9404999998</v>
      </c>
      <c r="D46" s="277"/>
      <c r="E46" s="277">
        <v>1472418.4404999998</v>
      </c>
      <c r="F46" s="277"/>
      <c r="G46" s="277">
        <v>1472418.4404999998</v>
      </c>
      <c r="H46" s="277"/>
      <c r="I46" s="277">
        <v>1472418.4404999998</v>
      </c>
      <c r="J46" s="277"/>
      <c r="K46" s="277">
        <v>1472418.4404999998</v>
      </c>
      <c r="L46" s="277"/>
      <c r="M46" s="277">
        <v>1472418.4404999998</v>
      </c>
      <c r="N46" s="277"/>
      <c r="O46" s="277">
        <v>1472418.4404999998</v>
      </c>
      <c r="P46" s="277"/>
      <c r="Q46" s="277"/>
      <c r="R46" s="277"/>
      <c r="S46" s="277"/>
      <c r="T46" s="277"/>
      <c r="U46" s="277"/>
      <c r="V46" s="277"/>
      <c r="W46" s="277"/>
      <c r="X46" s="277"/>
      <c r="Y46" s="277"/>
      <c r="Z46" s="277"/>
      <c r="AA46" s="277"/>
    </row>
    <row r="47" spans="2:27" x14ac:dyDescent="0.35">
      <c r="B47" s="276" t="s">
        <v>252</v>
      </c>
      <c r="C47" s="277">
        <v>945053.78813508176</v>
      </c>
      <c r="D47" s="277"/>
      <c r="E47" s="277">
        <v>850701.43605505012</v>
      </c>
      <c r="F47" s="277"/>
      <c r="G47" s="277">
        <v>567393.94293169514</v>
      </c>
      <c r="H47" s="277"/>
      <c r="I47" s="277">
        <v>582868.53699617402</v>
      </c>
      <c r="J47" s="277"/>
      <c r="K47" s="277">
        <v>676056.71551432915</v>
      </c>
      <c r="L47" s="277"/>
      <c r="M47" s="277">
        <v>475715.7140074991</v>
      </c>
      <c r="N47" s="277"/>
      <c r="O47" s="277">
        <v>684147.25060105266</v>
      </c>
      <c r="P47" s="277"/>
      <c r="Q47" s="277">
        <v>568311.93216071336</v>
      </c>
      <c r="R47" s="277"/>
      <c r="S47" s="277">
        <v>584798.42817103292</v>
      </c>
      <c r="T47" s="277"/>
      <c r="U47" s="277">
        <v>419209.87477486505</v>
      </c>
      <c r="V47" s="277"/>
      <c r="W47" s="277">
        <v>534429.07265825779</v>
      </c>
      <c r="X47" s="277"/>
      <c r="Y47" s="277">
        <v>329120.25425424671</v>
      </c>
      <c r="Z47" s="277"/>
      <c r="AA47" s="277">
        <v>7217806.9462599978</v>
      </c>
    </row>
    <row r="48" spans="2:27" x14ac:dyDescent="0.35">
      <c r="B48" s="276" t="s">
        <v>253</v>
      </c>
      <c r="C48" s="277">
        <v>-934017.72300520097</v>
      </c>
      <c r="D48" s="277"/>
      <c r="E48" s="277">
        <v>-728736.86907640134</v>
      </c>
      <c r="F48" s="277"/>
      <c r="G48" s="277">
        <v>-976403.73873526813</v>
      </c>
      <c r="H48" s="277"/>
      <c r="I48" s="277">
        <v>-962875.87814485852</v>
      </c>
      <c r="J48" s="277"/>
      <c r="K48" s="277">
        <v>-881410.95037906163</v>
      </c>
      <c r="L48" s="277"/>
      <c r="M48" s="277">
        <v>-1056548.6714484964</v>
      </c>
      <c r="N48" s="277"/>
      <c r="O48" s="277">
        <v>-874338.22005095275</v>
      </c>
      <c r="P48" s="277"/>
      <c r="Q48" s="277">
        <v>-975601.23430368735</v>
      </c>
      <c r="R48" s="277"/>
      <c r="S48" s="277">
        <v>-1125786.2709639291</v>
      </c>
      <c r="T48" s="277"/>
      <c r="U48" s="277">
        <v>-1105945.9682369023</v>
      </c>
      <c r="V48" s="277"/>
      <c r="W48" s="277">
        <v>-1005221.5653988856</v>
      </c>
      <c r="X48" s="277"/>
      <c r="Y48" s="277">
        <v>-1637063.1425163513</v>
      </c>
      <c r="Z48" s="277"/>
      <c r="AA48" s="277">
        <v>-12263950.23226</v>
      </c>
    </row>
    <row r="50" spans="2:27" x14ac:dyDescent="0.35">
      <c r="B50" s="273" t="s">
        <v>263</v>
      </c>
      <c r="C50" s="274" t="s">
        <v>235</v>
      </c>
      <c r="D50" s="275" t="s">
        <v>268</v>
      </c>
      <c r="E50" s="274" t="s">
        <v>236</v>
      </c>
      <c r="F50" s="275" t="s">
        <v>269</v>
      </c>
      <c r="G50" s="274" t="s">
        <v>237</v>
      </c>
      <c r="H50" s="275" t="s">
        <v>270</v>
      </c>
      <c r="I50" s="274" t="s">
        <v>238</v>
      </c>
      <c r="J50" s="275" t="s">
        <v>271</v>
      </c>
      <c r="K50" s="274" t="s">
        <v>239</v>
      </c>
      <c r="L50" s="275" t="s">
        <v>272</v>
      </c>
      <c r="M50" s="274" t="s">
        <v>240</v>
      </c>
      <c r="N50" s="275" t="s">
        <v>273</v>
      </c>
      <c r="O50" s="274" t="s">
        <v>241</v>
      </c>
      <c r="P50" s="275" t="s">
        <v>274</v>
      </c>
      <c r="Q50" s="274" t="s">
        <v>242</v>
      </c>
      <c r="R50" s="275" t="s">
        <v>275</v>
      </c>
      <c r="S50" s="274" t="s">
        <v>243</v>
      </c>
      <c r="T50" s="275" t="s">
        <v>276</v>
      </c>
      <c r="U50" s="274" t="s">
        <v>244</v>
      </c>
      <c r="V50" s="275" t="s">
        <v>277</v>
      </c>
      <c r="W50" s="274" t="s">
        <v>245</v>
      </c>
      <c r="X50" s="275" t="s">
        <v>278</v>
      </c>
      <c r="Y50" s="274" t="s">
        <v>246</v>
      </c>
      <c r="Z50" s="275" t="s">
        <v>279</v>
      </c>
      <c r="AA50" s="276" t="s">
        <v>247</v>
      </c>
    </row>
    <row r="51" spans="2:27" x14ac:dyDescent="0.35">
      <c r="B51" s="276" t="s">
        <v>248</v>
      </c>
      <c r="C51" s="277">
        <v>0</v>
      </c>
      <c r="D51" s="277">
        <v>0</v>
      </c>
      <c r="E51" s="277">
        <v>0</v>
      </c>
      <c r="F51" s="277">
        <v>0</v>
      </c>
      <c r="G51" s="277">
        <v>0</v>
      </c>
      <c r="H51" s="277">
        <v>0</v>
      </c>
      <c r="I51" s="277">
        <v>0</v>
      </c>
      <c r="J51" s="277">
        <v>0</v>
      </c>
      <c r="K51" s="277">
        <v>0</v>
      </c>
      <c r="L51" s="277">
        <v>837114</v>
      </c>
      <c r="M51" s="277">
        <v>0</v>
      </c>
      <c r="N51" s="277"/>
      <c r="O51" s="277">
        <v>0</v>
      </c>
      <c r="P51" s="277"/>
      <c r="Q51" s="277">
        <v>0</v>
      </c>
      <c r="R51" s="277"/>
      <c r="S51" s="277">
        <v>0</v>
      </c>
      <c r="T51" s="277"/>
      <c r="U51" s="277">
        <v>0</v>
      </c>
      <c r="V51" s="277"/>
      <c r="W51" s="277">
        <v>0</v>
      </c>
      <c r="X51" s="277"/>
      <c r="Y51" s="277">
        <v>0</v>
      </c>
      <c r="Z51" s="277"/>
      <c r="AA51" s="277">
        <v>837114</v>
      </c>
    </row>
    <row r="52" spans="2:27" x14ac:dyDescent="0.35">
      <c r="B52" s="276" t="s">
        <v>267</v>
      </c>
      <c r="C52" s="277"/>
      <c r="D52" s="277">
        <v>0</v>
      </c>
      <c r="E52" s="277"/>
      <c r="F52" s="277">
        <v>0</v>
      </c>
      <c r="G52" s="277"/>
      <c r="H52" s="277">
        <v>0</v>
      </c>
      <c r="I52" s="277"/>
      <c r="J52" s="277">
        <v>0</v>
      </c>
      <c r="K52" s="277"/>
      <c r="L52" s="277">
        <v>0</v>
      </c>
      <c r="M52" s="277"/>
      <c r="N52" s="277"/>
      <c r="O52" s="277"/>
      <c r="P52" s="277"/>
      <c r="Q52" s="277"/>
      <c r="R52" s="277"/>
      <c r="S52" s="277"/>
      <c r="T52" s="277"/>
      <c r="U52" s="277"/>
      <c r="V52" s="277"/>
      <c r="W52" s="277"/>
      <c r="X52" s="277"/>
      <c r="Y52" s="277"/>
      <c r="Z52" s="277"/>
      <c r="AA52" s="277"/>
    </row>
    <row r="53" spans="2:27" x14ac:dyDescent="0.35">
      <c r="B53" s="276" t="s">
        <v>252</v>
      </c>
      <c r="C53" s="277">
        <v>0</v>
      </c>
      <c r="D53" s="277">
        <v>0</v>
      </c>
      <c r="E53" s="277">
        <v>0</v>
      </c>
      <c r="F53" s="277">
        <v>0</v>
      </c>
      <c r="G53" s="277">
        <v>0</v>
      </c>
      <c r="H53" s="277">
        <v>0</v>
      </c>
      <c r="I53" s="277">
        <v>0</v>
      </c>
      <c r="J53" s="277">
        <v>312696</v>
      </c>
      <c r="K53" s="277">
        <v>0</v>
      </c>
      <c r="L53" s="277">
        <v>0</v>
      </c>
      <c r="M53" s="277">
        <v>0</v>
      </c>
      <c r="N53" s="277"/>
      <c r="O53" s="277">
        <v>0</v>
      </c>
      <c r="P53" s="277"/>
      <c r="Q53" s="277">
        <v>0</v>
      </c>
      <c r="R53" s="277"/>
      <c r="S53" s="277">
        <v>0</v>
      </c>
      <c r="T53" s="277"/>
      <c r="U53" s="277">
        <v>0</v>
      </c>
      <c r="V53" s="277"/>
      <c r="W53" s="277">
        <v>0</v>
      </c>
      <c r="X53" s="277"/>
      <c r="Y53" s="277">
        <v>0</v>
      </c>
      <c r="Z53" s="277"/>
      <c r="AA53" s="277">
        <v>312696</v>
      </c>
    </row>
    <row r="54" spans="2:27" x14ac:dyDescent="0.35">
      <c r="B54" s="276" t="s">
        <v>253</v>
      </c>
      <c r="C54" s="277">
        <v>0</v>
      </c>
      <c r="D54" s="277">
        <v>0</v>
      </c>
      <c r="E54" s="277">
        <v>0</v>
      </c>
      <c r="F54" s="277">
        <v>0</v>
      </c>
      <c r="G54" s="277">
        <v>0</v>
      </c>
      <c r="H54" s="277">
        <v>0</v>
      </c>
      <c r="I54" s="277">
        <v>0</v>
      </c>
      <c r="J54" s="277">
        <v>-312696</v>
      </c>
      <c r="K54" s="277">
        <v>0</v>
      </c>
      <c r="L54" s="277">
        <v>837114</v>
      </c>
      <c r="M54" s="277">
        <v>0</v>
      </c>
      <c r="N54" s="277"/>
      <c r="O54" s="277">
        <v>0</v>
      </c>
      <c r="P54" s="277"/>
      <c r="Q54" s="277">
        <v>0</v>
      </c>
      <c r="R54" s="277"/>
      <c r="S54" s="277">
        <v>0</v>
      </c>
      <c r="T54" s="277"/>
      <c r="U54" s="277">
        <v>0</v>
      </c>
      <c r="V54" s="277"/>
      <c r="W54" s="277">
        <v>0</v>
      </c>
      <c r="X54" s="277"/>
      <c r="Y54" s="277">
        <v>0</v>
      </c>
      <c r="Z54" s="277"/>
      <c r="AA54" s="277">
        <v>524418</v>
      </c>
    </row>
    <row r="56" spans="2:27" x14ac:dyDescent="0.35">
      <c r="B56" s="273" t="s">
        <v>264</v>
      </c>
      <c r="C56" s="274" t="s">
        <v>235</v>
      </c>
      <c r="D56" s="275" t="s">
        <v>268</v>
      </c>
      <c r="E56" s="274" t="s">
        <v>236</v>
      </c>
      <c r="F56" s="275" t="s">
        <v>269</v>
      </c>
      <c r="G56" s="274" t="s">
        <v>237</v>
      </c>
      <c r="H56" s="275" t="s">
        <v>270</v>
      </c>
      <c r="I56" s="274" t="s">
        <v>238</v>
      </c>
      <c r="J56" s="275" t="s">
        <v>271</v>
      </c>
      <c r="K56" s="274" t="s">
        <v>239</v>
      </c>
      <c r="L56" s="275" t="s">
        <v>272</v>
      </c>
      <c r="M56" s="274" t="s">
        <v>240</v>
      </c>
      <c r="N56" s="275" t="s">
        <v>273</v>
      </c>
      <c r="O56" s="274" t="s">
        <v>241</v>
      </c>
      <c r="P56" s="275" t="s">
        <v>274</v>
      </c>
      <c r="Q56" s="274" t="s">
        <v>242</v>
      </c>
      <c r="R56" s="275" t="s">
        <v>275</v>
      </c>
      <c r="S56" s="274" t="s">
        <v>243</v>
      </c>
      <c r="T56" s="275" t="s">
        <v>276</v>
      </c>
      <c r="U56" s="274" t="s">
        <v>244</v>
      </c>
      <c r="V56" s="275" t="s">
        <v>277</v>
      </c>
      <c r="W56" s="274" t="s">
        <v>245</v>
      </c>
      <c r="X56" s="275" t="s">
        <v>278</v>
      </c>
      <c r="Y56" s="274" t="s">
        <v>246</v>
      </c>
      <c r="Z56" s="275" t="s">
        <v>279</v>
      </c>
      <c r="AA56" s="276" t="s">
        <v>247</v>
      </c>
    </row>
    <row r="57" spans="2:27" x14ac:dyDescent="0.35">
      <c r="B57" s="276" t="s">
        <v>248</v>
      </c>
      <c r="C57" s="277">
        <v>9402992.7712091263</v>
      </c>
      <c r="D57" s="277">
        <v>12257634</v>
      </c>
      <c r="E57" s="277">
        <v>8331112.002602593</v>
      </c>
      <c r="F57" s="277">
        <v>10307150</v>
      </c>
      <c r="G57" s="277">
        <v>8848238.7232073583</v>
      </c>
      <c r="H57" s="277">
        <v>20577395</v>
      </c>
      <c r="I57" s="277">
        <v>7169706.0668855617</v>
      </c>
      <c r="J57" s="277">
        <v>18327447</v>
      </c>
      <c r="K57" s="277">
        <v>9045353.8100694884</v>
      </c>
      <c r="L57" s="277">
        <v>21482198</v>
      </c>
      <c r="M57" s="277">
        <v>8515669.4991216809</v>
      </c>
      <c r="N57" s="277"/>
      <c r="O57" s="277">
        <v>6080136.8189118663</v>
      </c>
      <c r="P57" s="277"/>
      <c r="Q57" s="277">
        <v>7760256.9727824582</v>
      </c>
      <c r="R57" s="277"/>
      <c r="S57" s="277">
        <v>8042985.4389020279</v>
      </c>
      <c r="T57" s="277"/>
      <c r="U57" s="277">
        <v>6984474.1868657824</v>
      </c>
      <c r="V57" s="277"/>
      <c r="W57" s="277">
        <v>4069297.2997405096</v>
      </c>
      <c r="X57" s="277"/>
      <c r="Y57" s="277">
        <v>11146836.409701547</v>
      </c>
      <c r="Z57" s="277"/>
      <c r="AA57" s="277">
        <v>178348884.00000003</v>
      </c>
    </row>
    <row r="58" spans="2:27" x14ac:dyDescent="0.35">
      <c r="B58" s="276" t="s">
        <v>267</v>
      </c>
      <c r="C58" s="277">
        <v>7967630.8599999994</v>
      </c>
      <c r="D58" s="277">
        <v>11402561</v>
      </c>
      <c r="E58" s="277">
        <v>6608342.8599999994</v>
      </c>
      <c r="F58" s="277">
        <v>6823337</v>
      </c>
      <c r="G58" s="277">
        <v>6608342.8599999994</v>
      </c>
      <c r="H58" s="277">
        <v>6787128</v>
      </c>
      <c r="I58" s="277">
        <v>6608342.8599999994</v>
      </c>
      <c r="J58" s="277">
        <v>6979233</v>
      </c>
      <c r="K58" s="277">
        <v>6608342.8599999994</v>
      </c>
      <c r="L58" s="277">
        <v>6793107</v>
      </c>
      <c r="M58" s="277">
        <v>6608342.8599999994</v>
      </c>
      <c r="N58" s="277"/>
      <c r="O58" s="277">
        <v>6608342.8599999994</v>
      </c>
      <c r="P58" s="277"/>
      <c r="Q58" s="277"/>
      <c r="R58" s="277"/>
      <c r="S58" s="277"/>
      <c r="T58" s="277"/>
      <c r="U58" s="277"/>
      <c r="V58" s="277"/>
      <c r="W58" s="277"/>
      <c r="X58" s="277"/>
      <c r="Y58" s="277"/>
      <c r="Z58" s="277"/>
      <c r="AA58" s="277"/>
    </row>
    <row r="59" spans="2:27" x14ac:dyDescent="0.35">
      <c r="B59" s="276" t="s">
        <v>252</v>
      </c>
      <c r="C59" s="277">
        <v>4440408.9539581509</v>
      </c>
      <c r="D59" s="277">
        <v>6485221</v>
      </c>
      <c r="E59" s="277">
        <v>3934230.8595678937</v>
      </c>
      <c r="F59" s="277">
        <v>7709926</v>
      </c>
      <c r="G59" s="277">
        <v>4178435.4629719588</v>
      </c>
      <c r="H59" s="277">
        <v>12594078</v>
      </c>
      <c r="I59" s="277">
        <v>3385775.9748711246</v>
      </c>
      <c r="J59" s="277">
        <v>12497942</v>
      </c>
      <c r="K59" s="277">
        <v>4271519.826425137</v>
      </c>
      <c r="L59" s="277">
        <v>13425851</v>
      </c>
      <c r="M59" s="277">
        <v>4021385.1071573109</v>
      </c>
      <c r="N59" s="277"/>
      <c r="O59" s="277">
        <v>2871244.7865165356</v>
      </c>
      <c r="P59" s="277"/>
      <c r="Q59" s="277">
        <v>3664653.9442705926</v>
      </c>
      <c r="R59" s="277"/>
      <c r="S59" s="277">
        <v>3798167.8204420363</v>
      </c>
      <c r="T59" s="277"/>
      <c r="U59" s="277">
        <v>3298303.260745815</v>
      </c>
      <c r="V59" s="277"/>
      <c r="W59" s="277">
        <v>1921658.8383872544</v>
      </c>
      <c r="X59" s="277"/>
      <c r="Y59" s="277">
        <v>5263910.4810861973</v>
      </c>
      <c r="Z59" s="277"/>
      <c r="AA59" s="277">
        <v>97762713.316399977</v>
      </c>
    </row>
    <row r="60" spans="2:27" x14ac:dyDescent="0.35">
      <c r="B60" s="276" t="s">
        <v>253</v>
      </c>
      <c r="C60" s="277">
        <v>-3005047.042749024</v>
      </c>
      <c r="D60" s="277">
        <v>-5630148</v>
      </c>
      <c r="E60" s="277">
        <v>-2211461.7169653</v>
      </c>
      <c r="F60" s="277">
        <v>-4226113</v>
      </c>
      <c r="G60" s="277">
        <v>-1938539.5997645999</v>
      </c>
      <c r="H60" s="277">
        <v>1196189</v>
      </c>
      <c r="I60" s="277">
        <v>-2824412.7679855623</v>
      </c>
      <c r="J60" s="277">
        <v>-1149728</v>
      </c>
      <c r="K60" s="277">
        <v>-1834508.876355648</v>
      </c>
      <c r="L60" s="277">
        <v>1263240</v>
      </c>
      <c r="M60" s="277">
        <v>-2114058.4680356295</v>
      </c>
      <c r="N60" s="277"/>
      <c r="O60" s="277">
        <v>-3399450.8276046687</v>
      </c>
      <c r="P60" s="277"/>
      <c r="Q60" s="277">
        <v>-2512739.8314881339</v>
      </c>
      <c r="R60" s="277"/>
      <c r="S60" s="277">
        <v>-3154120.2415400078</v>
      </c>
      <c r="T60" s="277"/>
      <c r="U60" s="277">
        <v>-2922171.933880032</v>
      </c>
      <c r="V60" s="277"/>
      <c r="W60" s="277">
        <v>-4460704.398646744</v>
      </c>
      <c r="X60" s="277"/>
      <c r="Y60" s="277">
        <v>-2875299.9313846501</v>
      </c>
      <c r="Z60" s="277"/>
      <c r="AA60" s="277">
        <v>-41799075.63639994</v>
      </c>
    </row>
    <row r="62" spans="2:27" x14ac:dyDescent="0.35">
      <c r="B62" s="273" t="s">
        <v>265</v>
      </c>
      <c r="C62" s="274" t="s">
        <v>235</v>
      </c>
      <c r="D62" s="275" t="s">
        <v>268</v>
      </c>
      <c r="E62" s="274" t="s">
        <v>236</v>
      </c>
      <c r="F62" s="275" t="s">
        <v>269</v>
      </c>
      <c r="G62" s="274" t="s">
        <v>237</v>
      </c>
      <c r="H62" s="275" t="s">
        <v>270</v>
      </c>
      <c r="I62" s="274" t="s">
        <v>238</v>
      </c>
      <c r="J62" s="275" t="s">
        <v>271</v>
      </c>
      <c r="K62" s="274" t="s">
        <v>239</v>
      </c>
      <c r="L62" s="275" t="s">
        <v>272</v>
      </c>
      <c r="M62" s="274" t="s">
        <v>240</v>
      </c>
      <c r="N62" s="275" t="s">
        <v>273</v>
      </c>
      <c r="O62" s="274" t="s">
        <v>241</v>
      </c>
      <c r="P62" s="275" t="s">
        <v>274</v>
      </c>
      <c r="Q62" s="274" t="s">
        <v>242</v>
      </c>
      <c r="R62" s="275" t="s">
        <v>275</v>
      </c>
      <c r="S62" s="274" t="s">
        <v>243</v>
      </c>
      <c r="T62" s="275" t="s">
        <v>276</v>
      </c>
      <c r="U62" s="274" t="s">
        <v>244</v>
      </c>
      <c r="V62" s="275" t="s">
        <v>277</v>
      </c>
      <c r="W62" s="274" t="s">
        <v>245</v>
      </c>
      <c r="X62" s="275" t="s">
        <v>278</v>
      </c>
      <c r="Y62" s="274" t="s">
        <v>246</v>
      </c>
      <c r="Z62" s="275" t="s">
        <v>279</v>
      </c>
      <c r="AA62" s="276" t="s">
        <v>247</v>
      </c>
    </row>
    <row r="63" spans="2:27" x14ac:dyDescent="0.35">
      <c r="B63" s="276" t="s">
        <v>248</v>
      </c>
      <c r="C63" s="277">
        <v>3191136.8411446577</v>
      </c>
      <c r="D63" s="277">
        <v>2640321</v>
      </c>
      <c r="E63" s="277">
        <v>2902889.474194143</v>
      </c>
      <c r="F63" s="277">
        <v>2613709</v>
      </c>
      <c r="G63" s="277">
        <v>2420262.3439380797</v>
      </c>
      <c r="H63" s="277">
        <v>1652041</v>
      </c>
      <c r="I63" s="277">
        <v>2640313.2334530507</v>
      </c>
      <c r="J63" s="277">
        <v>1047579</v>
      </c>
      <c r="K63" s="277">
        <v>3710989.0316661107</v>
      </c>
      <c r="L63" s="277">
        <v>1398574</v>
      </c>
      <c r="M63" s="277">
        <v>1721135.3038998428</v>
      </c>
      <c r="N63" s="277"/>
      <c r="O63" s="277">
        <v>1839278.6962635687</v>
      </c>
      <c r="P63" s="277"/>
      <c r="Q63" s="277">
        <v>2013992.0384818038</v>
      </c>
      <c r="R63" s="277"/>
      <c r="S63" s="277">
        <v>2135630.8411985193</v>
      </c>
      <c r="T63" s="277"/>
      <c r="U63" s="277">
        <v>1319128.1013846514</v>
      </c>
      <c r="V63" s="277"/>
      <c r="W63" s="277">
        <v>7135139.524704461</v>
      </c>
      <c r="X63" s="277"/>
      <c r="Y63" s="277">
        <v>6970104.5696711121</v>
      </c>
      <c r="Z63" s="277"/>
      <c r="AA63" s="277">
        <v>47352224</v>
      </c>
    </row>
    <row r="64" spans="2:27" x14ac:dyDescent="0.35">
      <c r="B64" s="276" t="s">
        <v>267</v>
      </c>
      <c r="C64" s="277">
        <v>1968130.5029999998</v>
      </c>
      <c r="D64" s="277">
        <v>1465295</v>
      </c>
      <c r="E64" s="277">
        <v>1789056.0029999998</v>
      </c>
      <c r="F64" s="277">
        <v>1312329</v>
      </c>
      <c r="G64" s="277">
        <v>1789056.0029999998</v>
      </c>
      <c r="H64" s="277">
        <v>869402</v>
      </c>
      <c r="I64" s="277">
        <v>1789056.0029999998</v>
      </c>
      <c r="J64" s="277">
        <v>1366597</v>
      </c>
      <c r="K64" s="277">
        <v>1789056.0029999998</v>
      </c>
      <c r="L64" s="277">
        <v>1380487</v>
      </c>
      <c r="M64" s="277">
        <v>1789056.0029999998</v>
      </c>
      <c r="N64" s="277"/>
      <c r="O64" s="277"/>
      <c r="P64" s="277"/>
      <c r="Q64" s="277"/>
      <c r="R64" s="277"/>
      <c r="S64" s="277"/>
      <c r="T64" s="277"/>
      <c r="U64" s="277"/>
      <c r="V64" s="277"/>
      <c r="W64" s="277"/>
      <c r="X64" s="277"/>
      <c r="Y64" s="277"/>
      <c r="Z64" s="277"/>
      <c r="AA64" s="277"/>
    </row>
    <row r="65" spans="2:27" x14ac:dyDescent="0.35">
      <c r="B65" s="276" t="s">
        <v>252</v>
      </c>
      <c r="C65" s="277">
        <v>690377.89552908554</v>
      </c>
      <c r="D65" s="277">
        <v>459729</v>
      </c>
      <c r="E65" s="277">
        <v>599335.92556492996</v>
      </c>
      <c r="F65" s="277">
        <v>135903</v>
      </c>
      <c r="G65" s="277">
        <v>384351.35285778978</v>
      </c>
      <c r="H65" s="277">
        <v>251878</v>
      </c>
      <c r="I65" s="277">
        <v>625213.15255383623</v>
      </c>
      <c r="J65" s="277">
        <v>1258400</v>
      </c>
      <c r="K65" s="277">
        <v>815345.18065356475</v>
      </c>
      <c r="L65" s="277">
        <v>1417262</v>
      </c>
      <c r="M65" s="277">
        <v>641042.37608465622</v>
      </c>
      <c r="N65" s="277"/>
      <c r="O65" s="277">
        <v>488021.99406303361</v>
      </c>
      <c r="P65" s="277"/>
      <c r="Q65" s="277">
        <v>514555.72791519231</v>
      </c>
      <c r="R65" s="277"/>
      <c r="S65" s="277">
        <v>475941.17096749402</v>
      </c>
      <c r="T65" s="277"/>
      <c r="U65" s="277">
        <v>299534.06810081197</v>
      </c>
      <c r="V65" s="277"/>
      <c r="W65" s="277">
        <v>746433.71034561726</v>
      </c>
      <c r="X65" s="277"/>
      <c r="Y65" s="277">
        <v>1580649.4432239879</v>
      </c>
      <c r="Z65" s="277"/>
      <c r="AA65" s="277">
        <v>11383973.99786</v>
      </c>
    </row>
    <row r="66" spans="2:27" x14ac:dyDescent="0.35">
      <c r="B66" s="276" t="s">
        <v>253</v>
      </c>
      <c r="C66" s="277">
        <v>532628.44261557236</v>
      </c>
      <c r="D66" s="277">
        <v>715297</v>
      </c>
      <c r="E66" s="277">
        <v>514497.54562921321</v>
      </c>
      <c r="F66" s="277">
        <v>1165477</v>
      </c>
      <c r="G66" s="277">
        <v>246854.98808029009</v>
      </c>
      <c r="H66" s="277">
        <v>530761</v>
      </c>
      <c r="I66" s="277">
        <v>226044.0778992147</v>
      </c>
      <c r="J66" s="277">
        <v>-1577418</v>
      </c>
      <c r="K66" s="277">
        <v>1106587.8480125461</v>
      </c>
      <c r="L66" s="277">
        <v>-1399175</v>
      </c>
      <c r="M66" s="277">
        <v>-708963.07518481323</v>
      </c>
      <c r="N66" s="277"/>
      <c r="O66" s="277">
        <v>-437799.30079946469</v>
      </c>
      <c r="P66" s="277"/>
      <c r="Q66" s="277">
        <v>-289619.69243338826</v>
      </c>
      <c r="R66" s="277"/>
      <c r="S66" s="277">
        <v>-259306.33276897448</v>
      </c>
      <c r="T66" s="277"/>
      <c r="U66" s="277">
        <v>-769461.96971616033</v>
      </c>
      <c r="V66" s="277"/>
      <c r="W66" s="277">
        <v>4599649.8113588439</v>
      </c>
      <c r="X66" s="277"/>
      <c r="Y66" s="277">
        <v>3291384.6234471248</v>
      </c>
      <c r="Z66" s="277"/>
      <c r="AA66" s="277">
        <v>7487438.9661400095</v>
      </c>
    </row>
    <row r="68" spans="2:27" x14ac:dyDescent="0.35">
      <c r="B68" s="273" t="s">
        <v>266</v>
      </c>
      <c r="C68" s="274" t="s">
        <v>235</v>
      </c>
      <c r="D68" s="275" t="s">
        <v>268</v>
      </c>
      <c r="E68" s="274" t="s">
        <v>236</v>
      </c>
      <c r="F68" s="275" t="s">
        <v>269</v>
      </c>
      <c r="G68" s="274" t="s">
        <v>237</v>
      </c>
      <c r="H68" s="275" t="s">
        <v>270</v>
      </c>
      <c r="I68" s="274" t="s">
        <v>238</v>
      </c>
      <c r="J68" s="275" t="s">
        <v>271</v>
      </c>
      <c r="K68" s="274" t="s">
        <v>239</v>
      </c>
      <c r="L68" s="275" t="s">
        <v>272</v>
      </c>
      <c r="M68" s="274" t="s">
        <v>240</v>
      </c>
      <c r="N68" s="275" t="s">
        <v>273</v>
      </c>
      <c r="O68" s="274" t="s">
        <v>241</v>
      </c>
      <c r="P68" s="275" t="s">
        <v>274</v>
      </c>
      <c r="Q68" s="274" t="s">
        <v>242</v>
      </c>
      <c r="R68" s="275" t="s">
        <v>275</v>
      </c>
      <c r="S68" s="274" t="s">
        <v>243</v>
      </c>
      <c r="T68" s="275" t="s">
        <v>276</v>
      </c>
      <c r="U68" s="274" t="s">
        <v>244</v>
      </c>
      <c r="V68" s="275" t="s">
        <v>277</v>
      </c>
      <c r="W68" s="274" t="s">
        <v>245</v>
      </c>
      <c r="X68" s="275" t="s">
        <v>278</v>
      </c>
      <c r="Y68" s="274" t="s">
        <v>246</v>
      </c>
      <c r="Z68" s="275" t="s">
        <v>279</v>
      </c>
      <c r="AA68" s="276" t="s">
        <v>247</v>
      </c>
    </row>
    <row r="69" spans="2:27" x14ac:dyDescent="0.35">
      <c r="B69" s="276" t="s">
        <v>248</v>
      </c>
      <c r="C69" s="277">
        <v>1536422.3109045094</v>
      </c>
      <c r="D69" s="277">
        <v>648955</v>
      </c>
      <c r="E69" s="277">
        <v>509955.44338336738</v>
      </c>
      <c r="F69" s="277">
        <v>1067680</v>
      </c>
      <c r="G69" s="277">
        <v>1150357.5369430003</v>
      </c>
      <c r="H69" s="277">
        <v>764222</v>
      </c>
      <c r="I69" s="277">
        <v>1250781.2686313686</v>
      </c>
      <c r="J69" s="277">
        <v>536336</v>
      </c>
      <c r="K69" s="277">
        <v>875201.72216780216</v>
      </c>
      <c r="L69" s="277">
        <v>668309</v>
      </c>
      <c r="M69" s="277">
        <v>2209191.8458708343</v>
      </c>
      <c r="N69" s="277"/>
      <c r="O69" s="277">
        <v>1367985.7060255536</v>
      </c>
      <c r="P69" s="277"/>
      <c r="Q69" s="277">
        <v>2118015.9545843778</v>
      </c>
      <c r="R69" s="277"/>
      <c r="S69" s="277">
        <v>1449392.7518170325</v>
      </c>
      <c r="T69" s="277"/>
      <c r="U69" s="277">
        <v>778055.98085663759</v>
      </c>
      <c r="V69" s="277"/>
      <c r="W69" s="277">
        <v>784025.83088134602</v>
      </c>
      <c r="X69" s="277"/>
      <c r="Y69" s="277">
        <v>1005452.9954341683</v>
      </c>
      <c r="Z69" s="277"/>
      <c r="AA69" s="277">
        <v>18720341.3475</v>
      </c>
    </row>
    <row r="70" spans="2:27" x14ac:dyDescent="0.35">
      <c r="B70" s="276" t="s">
        <v>267</v>
      </c>
      <c r="C70" s="277">
        <v>1657583.9000000001</v>
      </c>
      <c r="D70" s="277">
        <v>2262892</v>
      </c>
      <c r="E70" s="277">
        <v>1317761.9000000001</v>
      </c>
      <c r="F70" s="277">
        <v>1392892</v>
      </c>
      <c r="G70" s="277">
        <v>1317761.9000000001</v>
      </c>
      <c r="H70" s="277">
        <v>1392892</v>
      </c>
      <c r="I70" s="277">
        <v>1317761.9000000001</v>
      </c>
      <c r="J70" s="277">
        <v>1392939</v>
      </c>
      <c r="K70" s="277">
        <v>1317761.9000000001</v>
      </c>
      <c r="L70" s="277">
        <v>1424458</v>
      </c>
      <c r="M70" s="277">
        <v>1317761.9000000001</v>
      </c>
      <c r="N70" s="277"/>
      <c r="O70" s="277">
        <v>1317761.9000000001</v>
      </c>
      <c r="P70" s="277"/>
      <c r="Q70" s="277"/>
      <c r="R70" s="277"/>
      <c r="S70" s="277"/>
      <c r="T70" s="277"/>
      <c r="U70" s="277"/>
      <c r="V70" s="277"/>
      <c r="W70" s="277"/>
      <c r="X70" s="277"/>
      <c r="Y70" s="277"/>
      <c r="Z70" s="277"/>
      <c r="AA70" s="277"/>
    </row>
    <row r="71" spans="2:27" x14ac:dyDescent="0.35">
      <c r="B71" s="276" t="s">
        <v>252</v>
      </c>
      <c r="C71" s="277">
        <v>222858.47824110388</v>
      </c>
      <c r="D71" s="277">
        <v>55373</v>
      </c>
      <c r="E71" s="277">
        <v>145715.15884995254</v>
      </c>
      <c r="F71" s="277">
        <v>192413</v>
      </c>
      <c r="G71" s="277">
        <v>104313.48219671259</v>
      </c>
      <c r="H71" s="277">
        <v>0</v>
      </c>
      <c r="I71" s="277">
        <v>233187.11155958581</v>
      </c>
      <c r="J71" s="277">
        <v>0</v>
      </c>
      <c r="K71" s="277">
        <v>72857.579424976269</v>
      </c>
      <c r="L71" s="277">
        <v>55904</v>
      </c>
      <c r="M71" s="277">
        <v>84460.506093400923</v>
      </c>
      <c r="N71" s="277"/>
      <c r="O71" s="277">
        <v>92143.409272764111</v>
      </c>
      <c r="P71" s="277"/>
      <c r="Q71" s="277">
        <v>767784.60062030982</v>
      </c>
      <c r="R71" s="277"/>
      <c r="S71" s="277">
        <v>631708.07095428486</v>
      </c>
      <c r="T71" s="277"/>
      <c r="U71" s="277">
        <v>513980.22266344441</v>
      </c>
      <c r="V71" s="277"/>
      <c r="W71" s="277">
        <v>666421.13610031444</v>
      </c>
      <c r="X71" s="277"/>
      <c r="Y71" s="277">
        <v>653391.05802315334</v>
      </c>
      <c r="Z71" s="277"/>
      <c r="AA71" s="277">
        <v>4492510.814000003</v>
      </c>
    </row>
    <row r="72" spans="2:27" x14ac:dyDescent="0.35">
      <c r="B72" s="276" t="s">
        <v>253</v>
      </c>
      <c r="C72" s="277">
        <v>-344020.06733659463</v>
      </c>
      <c r="D72" s="277">
        <v>-1669310</v>
      </c>
      <c r="E72" s="277">
        <v>-953521.61546658527</v>
      </c>
      <c r="F72" s="277">
        <v>-517625</v>
      </c>
      <c r="G72" s="277">
        <v>-271717.84525371244</v>
      </c>
      <c r="H72" s="277">
        <v>-628670</v>
      </c>
      <c r="I72" s="277">
        <v>-300167.74292821728</v>
      </c>
      <c r="J72" s="277">
        <v>-856603</v>
      </c>
      <c r="K72" s="277">
        <v>-515417.75725717423</v>
      </c>
      <c r="L72" s="277">
        <v>-812053</v>
      </c>
      <c r="M72" s="277">
        <v>806969.43977743329</v>
      </c>
      <c r="N72" s="277"/>
      <c r="O72" s="277">
        <v>-41919.603247210616</v>
      </c>
      <c r="P72" s="277"/>
      <c r="Q72" s="277">
        <v>32469.453964067856</v>
      </c>
      <c r="R72" s="277"/>
      <c r="S72" s="277">
        <v>-694483.21913725254</v>
      </c>
      <c r="T72" s="277"/>
      <c r="U72" s="277">
        <v>-1053686.1418068069</v>
      </c>
      <c r="V72" s="277"/>
      <c r="W72" s="277">
        <v>-1200157.2052189684</v>
      </c>
      <c r="X72" s="277"/>
      <c r="Y72" s="277">
        <v>-1499927.9625889852</v>
      </c>
      <c r="Z72" s="277"/>
      <c r="AA72" s="277">
        <v>-10519841.266499996</v>
      </c>
    </row>
    <row r="75" spans="2:27" x14ac:dyDescent="0.35">
      <c r="C75" s="274" t="s">
        <v>280</v>
      </c>
      <c r="D75" s="275" t="s">
        <v>281</v>
      </c>
      <c r="E75" s="274" t="s">
        <v>282</v>
      </c>
      <c r="F75" s="275" t="s">
        <v>283</v>
      </c>
      <c r="G75" s="274" t="s">
        <v>284</v>
      </c>
      <c r="H75" s="275" t="s">
        <v>285</v>
      </c>
      <c r="I75" s="274" t="s">
        <v>286</v>
      </c>
      <c r="J75" s="275" t="s">
        <v>287</v>
      </c>
      <c r="K75" s="274" t="s">
        <v>288</v>
      </c>
      <c r="L75" s="275" t="s">
        <v>289</v>
      </c>
      <c r="M75" s="274" t="s">
        <v>290</v>
      </c>
      <c r="N75" s="275" t="s">
        <v>291</v>
      </c>
      <c r="O75" s="274" t="s">
        <v>292</v>
      </c>
      <c r="P75" s="275" t="s">
        <v>293</v>
      </c>
      <c r="Q75" s="274" t="s">
        <v>294</v>
      </c>
      <c r="R75" s="275" t="s">
        <v>295</v>
      </c>
      <c r="S75" s="274" t="s">
        <v>296</v>
      </c>
      <c r="T75" s="275" t="s">
        <v>297</v>
      </c>
      <c r="U75" s="274" t="s">
        <v>298</v>
      </c>
      <c r="V75" s="275" t="s">
        <v>299</v>
      </c>
      <c r="W75" s="274" t="s">
        <v>300</v>
      </c>
      <c r="X75" s="275" t="s">
        <v>301</v>
      </c>
      <c r="Y75" s="274" t="s">
        <v>302</v>
      </c>
      <c r="Z75" s="275" t="s">
        <v>303</v>
      </c>
    </row>
    <row r="76" spans="2:27" x14ac:dyDescent="0.35">
      <c r="B76" s="276" t="s">
        <v>304</v>
      </c>
      <c r="C76" s="278">
        <f>C3+C9+C15+C21+C27+C33+C39+C45+C51+C57+C63+C69</f>
        <v>80008925.953137919</v>
      </c>
      <c r="D76" s="278">
        <f>D3+D9+D15+D21+D27+D33+D39+D45+D51+D57+D63+D69</f>
        <v>88520450</v>
      </c>
      <c r="E76" s="278">
        <f>E3+E9+E15+E21+E27+E33+E39+E45+E51+E57+E63+E69</f>
        <v>81897987.224589884</v>
      </c>
      <c r="F76" s="278">
        <f>F3+F9+F15+F21+F27+F33+F39+F45+F51+F57+F63+F69</f>
        <v>86117050</v>
      </c>
      <c r="G76" s="278">
        <f t="shared" ref="G76:Z76" si="0">G3+G9+G15+G21+G27+G33+G39+G45+G51+G57+G63+G69</f>
        <v>52454952.790488794</v>
      </c>
      <c r="H76" s="278">
        <f t="shared" si="0"/>
        <v>77906586</v>
      </c>
      <c r="I76" s="278">
        <f t="shared" si="0"/>
        <v>55378267.785251766</v>
      </c>
      <c r="J76" s="278">
        <f t="shared" si="0"/>
        <v>57927977</v>
      </c>
      <c r="K76" s="278">
        <f t="shared" si="0"/>
        <v>43416840.005599037</v>
      </c>
      <c r="L76" s="278">
        <f t="shared" si="0"/>
        <v>56205304</v>
      </c>
      <c r="M76" s="278">
        <f t="shared" si="0"/>
        <v>44066479.651140153</v>
      </c>
      <c r="N76" s="278">
        <f t="shared" si="0"/>
        <v>0</v>
      </c>
      <c r="O76" s="278">
        <f t="shared" si="0"/>
        <v>68939787.594468936</v>
      </c>
      <c r="P76" s="278">
        <f t="shared" si="0"/>
        <v>0</v>
      </c>
      <c r="Q76" s="278">
        <f t="shared" si="0"/>
        <v>54607592.845729612</v>
      </c>
      <c r="R76" s="278">
        <f t="shared" si="0"/>
        <v>0</v>
      </c>
      <c r="S76" s="278">
        <f t="shared" si="0"/>
        <v>55547446.209299363</v>
      </c>
      <c r="T76" s="278">
        <f t="shared" si="0"/>
        <v>0</v>
      </c>
      <c r="U76" s="278">
        <f t="shared" si="0"/>
        <v>40854011.770780347</v>
      </c>
      <c r="V76" s="278">
        <f t="shared" si="0"/>
        <v>0</v>
      </c>
      <c r="W76" s="278">
        <f t="shared" si="0"/>
        <v>43021026.991471857</v>
      </c>
      <c r="X76" s="278">
        <f t="shared" si="0"/>
        <v>0</v>
      </c>
      <c r="Y76" s="278">
        <f t="shared" si="0"/>
        <v>45074580.525542311</v>
      </c>
      <c r="Z76" s="278">
        <f t="shared" si="0"/>
        <v>0</v>
      </c>
    </row>
    <row r="77" spans="2:27" x14ac:dyDescent="0.35">
      <c r="B77" s="276" t="s">
        <v>305</v>
      </c>
      <c r="C77" s="278">
        <f t="shared" ref="C77:Z77" si="1">C4+C10+C16+C22+C28+C34+C40+C46+C52+C58+C64+C70</f>
        <v>42044308.405499995</v>
      </c>
      <c r="D77" s="278">
        <f t="shared" si="1"/>
        <v>43893828</v>
      </c>
      <c r="E77" s="278">
        <f t="shared" si="1"/>
        <v>37435378.905499995</v>
      </c>
      <c r="F77" s="278">
        <f t="shared" si="1"/>
        <v>31362477</v>
      </c>
      <c r="G77" s="278">
        <f t="shared" si="1"/>
        <v>37435378.905499995</v>
      </c>
      <c r="H77" s="278">
        <f t="shared" si="1"/>
        <v>28611937</v>
      </c>
      <c r="I77" s="278">
        <f t="shared" si="1"/>
        <v>22423864.905499995</v>
      </c>
      <c r="J77" s="278">
        <f t="shared" si="1"/>
        <v>26161133</v>
      </c>
      <c r="K77" s="278">
        <f t="shared" si="1"/>
        <v>22423864.905499995</v>
      </c>
      <c r="L77" s="278">
        <f t="shared" si="1"/>
        <v>26794606</v>
      </c>
      <c r="M77" s="278">
        <f t="shared" si="1"/>
        <v>22423864.905499995</v>
      </c>
      <c r="N77" s="278">
        <f t="shared" si="1"/>
        <v>0</v>
      </c>
      <c r="O77" s="278">
        <f t="shared" si="1"/>
        <v>20405078.998499997</v>
      </c>
      <c r="P77" s="278">
        <f t="shared" si="1"/>
        <v>0</v>
      </c>
      <c r="Q77" s="278">
        <f t="shared" si="1"/>
        <v>0</v>
      </c>
      <c r="R77" s="278">
        <f t="shared" si="1"/>
        <v>0</v>
      </c>
      <c r="S77" s="278">
        <f t="shared" si="1"/>
        <v>0</v>
      </c>
      <c r="T77" s="278">
        <f t="shared" si="1"/>
        <v>0</v>
      </c>
      <c r="U77" s="278">
        <f t="shared" si="1"/>
        <v>0</v>
      </c>
      <c r="V77" s="278">
        <f t="shared" si="1"/>
        <v>0</v>
      </c>
      <c r="W77" s="278">
        <f t="shared" si="1"/>
        <v>0</v>
      </c>
      <c r="X77" s="278">
        <f t="shared" si="1"/>
        <v>0</v>
      </c>
      <c r="Y77" s="278">
        <f t="shared" si="1"/>
        <v>0</v>
      </c>
      <c r="Z77" s="278">
        <f t="shared" si="1"/>
        <v>0</v>
      </c>
    </row>
    <row r="78" spans="2:27" x14ac:dyDescent="0.35">
      <c r="B78" s="276" t="s">
        <v>98</v>
      </c>
      <c r="C78" s="278">
        <f t="shared" ref="C78:Z78" si="2">C5+C11+C17+C23+C29+C35+C41+C47+C53+C59+C65+C71</f>
        <v>25390116.259045731</v>
      </c>
      <c r="D78" s="278">
        <f t="shared" si="2"/>
        <v>20440026</v>
      </c>
      <c r="E78" s="278">
        <f t="shared" si="2"/>
        <v>24823745.985861119</v>
      </c>
      <c r="F78" s="278">
        <f t="shared" si="2"/>
        <v>30216658</v>
      </c>
      <c r="G78" s="278">
        <f t="shared" si="2"/>
        <v>21383931.119439386</v>
      </c>
      <c r="H78" s="278">
        <f t="shared" si="2"/>
        <v>49231694</v>
      </c>
      <c r="I78" s="278">
        <f t="shared" si="2"/>
        <v>14033129.895594984</v>
      </c>
      <c r="J78" s="278">
        <f t="shared" si="2"/>
        <v>33809650</v>
      </c>
      <c r="K78" s="278">
        <f t="shared" si="2"/>
        <v>18788753.614213504</v>
      </c>
      <c r="L78" s="278">
        <f t="shared" si="2"/>
        <v>27125611</v>
      </c>
      <c r="M78" s="278">
        <f t="shared" si="2"/>
        <v>13877929.305558184</v>
      </c>
      <c r="N78" s="278">
        <f t="shared" si="2"/>
        <v>0</v>
      </c>
      <c r="O78" s="278">
        <f t="shared" si="2"/>
        <v>14531111.442210233</v>
      </c>
      <c r="P78" s="278">
        <f t="shared" si="2"/>
        <v>0</v>
      </c>
      <c r="Q78" s="278">
        <f t="shared" si="2"/>
        <v>13395734.854017846</v>
      </c>
      <c r="R78" s="278">
        <f t="shared" si="2"/>
        <v>0</v>
      </c>
      <c r="S78" s="278">
        <f t="shared" si="2"/>
        <v>15065150.794540549</v>
      </c>
      <c r="T78" s="278">
        <f t="shared" si="2"/>
        <v>0</v>
      </c>
      <c r="U78" s="278">
        <f t="shared" si="2"/>
        <v>9988256.4915138967</v>
      </c>
      <c r="V78" s="278">
        <f t="shared" si="2"/>
        <v>0</v>
      </c>
      <c r="W78" s="278">
        <f t="shared" si="2"/>
        <v>10132212.817255471</v>
      </c>
      <c r="X78" s="278">
        <f t="shared" si="2"/>
        <v>0</v>
      </c>
      <c r="Y78" s="278">
        <f t="shared" si="2"/>
        <v>33394605.604879104</v>
      </c>
      <c r="Z78" s="278">
        <f t="shared" si="2"/>
        <v>0</v>
      </c>
    </row>
    <row r="79" spans="2:27" x14ac:dyDescent="0.35">
      <c r="B79" s="276" t="s">
        <v>253</v>
      </c>
      <c r="C79" s="278">
        <f t="shared" ref="C79:Z79" si="3">C6+C12+C18+C24+C30+C36+C42+C48+C54+C60+C66+C72</f>
        <v>12574501.28859221</v>
      </c>
      <c r="D79" s="278">
        <f t="shared" si="3"/>
        <v>24186596</v>
      </c>
      <c r="E79" s="278">
        <f t="shared" si="3"/>
        <v>19638862.333228774</v>
      </c>
      <c r="F79" s="278">
        <f t="shared" si="3"/>
        <v>24537915</v>
      </c>
      <c r="G79" s="278">
        <f t="shared" si="3"/>
        <v>-6364357.2344506029</v>
      </c>
      <c r="H79" s="278">
        <f t="shared" si="3"/>
        <v>62955</v>
      </c>
      <c r="I79" s="278">
        <f t="shared" si="3"/>
        <v>18921272.984156772</v>
      </c>
      <c r="J79" s="278">
        <f t="shared" si="3"/>
        <v>-2042806</v>
      </c>
      <c r="K79" s="278">
        <f t="shared" si="3"/>
        <v>2204221.4858855358</v>
      </c>
      <c r="L79" s="278">
        <f t="shared" si="3"/>
        <v>2285087</v>
      </c>
      <c r="M79" s="278">
        <f t="shared" si="3"/>
        <v>7764685.4400819754</v>
      </c>
      <c r="N79" s="278">
        <f t="shared" si="3"/>
        <v>0</v>
      </c>
      <c r="O79" s="278">
        <f t="shared" si="3"/>
        <v>31984811.246758699</v>
      </c>
      <c r="P79" s="278">
        <f t="shared" si="3"/>
        <v>0</v>
      </c>
      <c r="Q79" s="278">
        <f t="shared" si="3"/>
        <v>18787993.086211774</v>
      </c>
      <c r="R79" s="278">
        <f t="shared" si="3"/>
        <v>0</v>
      </c>
      <c r="S79" s="278">
        <f t="shared" si="3"/>
        <v>15295659.109258816</v>
      </c>
      <c r="T79" s="278">
        <f t="shared" si="3"/>
        <v>0</v>
      </c>
      <c r="U79" s="278">
        <f t="shared" si="3"/>
        <v>8441890.3737664465</v>
      </c>
      <c r="V79" s="278">
        <f t="shared" si="3"/>
        <v>0</v>
      </c>
      <c r="W79" s="278">
        <f t="shared" si="3"/>
        <v>10464949.268716386</v>
      </c>
      <c r="X79" s="278">
        <f t="shared" si="3"/>
        <v>0</v>
      </c>
      <c r="Y79" s="278">
        <f t="shared" si="3"/>
        <v>-33127104.884836778</v>
      </c>
      <c r="Z79" s="278">
        <f t="shared" si="3"/>
        <v>0</v>
      </c>
    </row>
    <row r="84" spans="3:5" x14ac:dyDescent="0.35">
      <c r="C84" s="1509" t="s">
        <v>306</v>
      </c>
      <c r="D84" s="1510"/>
      <c r="E84" s="1511"/>
    </row>
    <row r="85" spans="3:5" x14ac:dyDescent="0.35">
      <c r="C85" s="279" t="s">
        <v>307</v>
      </c>
      <c r="D85" s="279" t="s">
        <v>308</v>
      </c>
      <c r="E85" s="279" t="s">
        <v>309</v>
      </c>
    </row>
    <row r="86" spans="3:5" x14ac:dyDescent="0.35">
      <c r="C86" s="276" t="s">
        <v>235</v>
      </c>
      <c r="D86" s="280">
        <f>C79/C76</f>
        <v>0.15716373065621739</v>
      </c>
      <c r="E86" s="280">
        <f>D79/D76</f>
        <v>0.2732317334582009</v>
      </c>
    </row>
    <row r="87" spans="3:5" x14ac:dyDescent="0.35">
      <c r="C87" s="276" t="s">
        <v>236</v>
      </c>
      <c r="D87" s="280">
        <f>E79/E76</f>
        <v>0.23979664212470661</v>
      </c>
      <c r="E87" s="280">
        <f>F79/F76</f>
        <v>0.28493678081169754</v>
      </c>
    </row>
    <row r="88" spans="3:5" x14ac:dyDescent="0.35">
      <c r="C88" s="276" t="s">
        <v>237</v>
      </c>
      <c r="D88" s="280">
        <f>G79/G76</f>
        <v>-0.12132995829527458</v>
      </c>
      <c r="E88" s="280">
        <f>H79/H76</f>
        <v>8.0808315743677946E-4</v>
      </c>
    </row>
    <row r="89" spans="3:5" x14ac:dyDescent="0.35">
      <c r="C89" s="276" t="s">
        <v>238</v>
      </c>
      <c r="D89" s="280">
        <f>I79/I76</f>
        <v>0.34167325452523184</v>
      </c>
      <c r="E89" s="280">
        <f>J79/J76</f>
        <v>-3.5264583812412438E-2</v>
      </c>
    </row>
    <row r="90" spans="3:5" x14ac:dyDescent="0.35">
      <c r="C90" s="276" t="s">
        <v>239</v>
      </c>
      <c r="D90" s="280">
        <f>K79/K76</f>
        <v>5.0768814257354508E-2</v>
      </c>
      <c r="E90" s="280">
        <f>L79/L76</f>
        <v>4.0656074024615185E-2</v>
      </c>
    </row>
    <row r="91" spans="3:5" x14ac:dyDescent="0.35">
      <c r="C91" s="276" t="s">
        <v>240</v>
      </c>
      <c r="D91" s="280">
        <f>M79/M76</f>
        <v>0.17620389696550393</v>
      </c>
      <c r="E91" s="280"/>
    </row>
    <row r="92" spans="3:5" x14ac:dyDescent="0.35">
      <c r="C92" s="276" t="s">
        <v>241</v>
      </c>
      <c r="D92" s="280"/>
      <c r="E92" s="280"/>
    </row>
    <row r="93" spans="3:5" x14ac:dyDescent="0.35">
      <c r="C93" s="276" t="s">
        <v>242</v>
      </c>
      <c r="D93" s="280"/>
      <c r="E93" s="280"/>
    </row>
    <row r="94" spans="3:5" x14ac:dyDescent="0.35">
      <c r="C94" s="276" t="s">
        <v>243</v>
      </c>
      <c r="D94" s="280"/>
      <c r="E94" s="280"/>
    </row>
    <row r="95" spans="3:5" x14ac:dyDescent="0.35">
      <c r="C95" s="276" t="s">
        <v>244</v>
      </c>
      <c r="D95" s="280"/>
      <c r="E95" s="280"/>
    </row>
    <row r="96" spans="3:5" x14ac:dyDescent="0.35">
      <c r="C96" s="276" t="s">
        <v>245</v>
      </c>
      <c r="D96" s="280"/>
      <c r="E96" s="280"/>
    </row>
    <row r="97" spans="3:5" x14ac:dyDescent="0.35">
      <c r="C97" s="276" t="s">
        <v>246</v>
      </c>
      <c r="D97" s="280"/>
      <c r="E97" s="280"/>
    </row>
  </sheetData>
  <mergeCells count="1">
    <mergeCell ref="C84:E8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5"/>
  <sheetViews>
    <sheetView workbookViewId="0"/>
  </sheetViews>
  <sheetFormatPr baseColWidth="10" defaultRowHeight="14.5" x14ac:dyDescent="0.35"/>
  <cols>
    <col min="11" max="11" width="31.81640625" customWidth="1"/>
  </cols>
  <sheetData>
    <row r="2" spans="2:12" ht="18" x14ac:dyDescent="0.35">
      <c r="B2" s="5"/>
      <c r="C2" s="5"/>
      <c r="D2" s="5"/>
      <c r="E2" s="5"/>
      <c r="F2" s="5"/>
      <c r="G2" s="5"/>
      <c r="H2" s="287" t="s">
        <v>313</v>
      </c>
      <c r="I2" s="5"/>
      <c r="J2" s="5"/>
      <c r="K2" s="5"/>
      <c r="L2" s="5"/>
    </row>
    <row r="3" spans="2:12" x14ac:dyDescent="0.35">
      <c r="B3" s="5"/>
      <c r="C3" s="5"/>
      <c r="D3" s="5"/>
      <c r="E3" s="5"/>
      <c r="F3" s="5"/>
      <c r="G3" s="5"/>
      <c r="H3" s="5"/>
      <c r="I3" s="5"/>
      <c r="J3" s="5"/>
      <c r="K3" s="5"/>
      <c r="L3" s="5"/>
    </row>
    <row r="4" spans="2:12" x14ac:dyDescent="0.35">
      <c r="B4" s="5"/>
      <c r="C4" s="5"/>
      <c r="D4" s="5"/>
      <c r="E4" s="5"/>
      <c r="F4" s="5"/>
      <c r="G4" s="5"/>
      <c r="H4" s="5"/>
      <c r="I4" s="5"/>
      <c r="J4" s="5"/>
      <c r="K4" s="5"/>
      <c r="L4" s="5"/>
    </row>
    <row r="5" spans="2:12" ht="18" x14ac:dyDescent="0.35">
      <c r="B5" s="1163" t="s">
        <v>314</v>
      </c>
      <c r="C5" s="1163"/>
      <c r="D5" s="1163"/>
      <c r="E5" s="1163"/>
      <c r="F5" s="288"/>
      <c r="G5" s="288"/>
      <c r="H5" s="288"/>
      <c r="I5" s="288"/>
      <c r="J5" s="288"/>
      <c r="K5" s="288"/>
      <c r="L5" s="288"/>
    </row>
    <row r="6" spans="2:12" x14ac:dyDescent="0.35">
      <c r="B6" s="5"/>
      <c r="C6" s="5"/>
      <c r="D6" s="5"/>
      <c r="E6" s="5"/>
      <c r="F6" s="5"/>
      <c r="G6" s="5"/>
      <c r="H6" s="5"/>
      <c r="I6" s="5"/>
      <c r="J6" s="5"/>
      <c r="K6" s="5"/>
      <c r="L6" s="5"/>
    </row>
    <row r="7" spans="2:12" x14ac:dyDescent="0.35">
      <c r="B7" s="5"/>
      <c r="C7" s="1163" t="s">
        <v>2</v>
      </c>
      <c r="D7" s="1163"/>
      <c r="E7" s="1163"/>
      <c r="F7" s="1163"/>
      <c r="G7" s="1163"/>
      <c r="H7" s="1163"/>
      <c r="I7" s="1163"/>
      <c r="J7" s="1163"/>
      <c r="K7" s="1163"/>
      <c r="L7" s="5"/>
    </row>
    <row r="8" spans="2:12" x14ac:dyDescent="0.35">
      <c r="B8" s="5"/>
      <c r="C8" s="1163" t="s">
        <v>315</v>
      </c>
      <c r="D8" s="1163"/>
      <c r="E8" s="1163"/>
      <c r="F8" s="1163"/>
      <c r="G8" s="1163"/>
      <c r="H8" s="1163"/>
      <c r="I8" s="1163"/>
      <c r="J8" s="1163"/>
      <c r="K8" s="1163"/>
      <c r="L8" s="5"/>
    </row>
    <row r="9" spans="2:12" x14ac:dyDescent="0.35">
      <c r="B9" s="5"/>
      <c r="C9" s="289" t="s">
        <v>316</v>
      </c>
      <c r="D9" s="289"/>
      <c r="E9" s="289"/>
      <c r="F9" s="289"/>
      <c r="G9" s="289"/>
      <c r="H9" s="5"/>
      <c r="I9" s="5"/>
      <c r="J9" s="5"/>
      <c r="K9" s="5"/>
      <c r="L9" s="5"/>
    </row>
    <row r="10" spans="2:12" x14ac:dyDescent="0.35">
      <c r="B10" s="5"/>
      <c r="C10" s="5"/>
      <c r="D10" s="5"/>
      <c r="E10" s="5"/>
      <c r="F10" s="5"/>
      <c r="G10" s="5"/>
      <c r="H10" s="5"/>
      <c r="I10" s="5"/>
      <c r="J10" s="5"/>
      <c r="K10" s="5"/>
      <c r="L10" s="5"/>
    </row>
    <row r="11" spans="2:12" ht="18" x14ac:dyDescent="0.35">
      <c r="B11" s="1163" t="s">
        <v>317</v>
      </c>
      <c r="C11" s="1163"/>
      <c r="D11" s="1163"/>
      <c r="E11" s="1163"/>
      <c r="F11" s="288"/>
      <c r="G11" s="288"/>
      <c r="H11" s="288"/>
      <c r="I11" s="288"/>
      <c r="J11" s="288"/>
      <c r="K11" s="288"/>
      <c r="L11" s="288"/>
    </row>
    <row r="12" spans="2:12" x14ac:dyDescent="0.35">
      <c r="B12" s="5"/>
      <c r="C12" s="5"/>
      <c r="D12" s="5"/>
      <c r="E12" s="5"/>
      <c r="F12" s="5"/>
      <c r="G12" s="5"/>
      <c r="H12" s="5"/>
      <c r="I12" s="5"/>
      <c r="J12" s="5"/>
      <c r="K12" s="5"/>
      <c r="L12" s="5"/>
    </row>
    <row r="13" spans="2:12" x14ac:dyDescent="0.35">
      <c r="B13" s="5"/>
      <c r="C13" s="1163" t="s">
        <v>52</v>
      </c>
      <c r="D13" s="1163"/>
      <c r="E13" s="1163"/>
      <c r="F13" s="1163"/>
      <c r="G13" s="1163"/>
      <c r="H13" s="1163"/>
      <c r="I13" s="1163"/>
      <c r="J13" s="1163"/>
      <c r="K13" s="1163"/>
      <c r="L13" s="5"/>
    </row>
    <row r="14" spans="2:12" x14ac:dyDescent="0.35">
      <c r="B14" s="5"/>
      <c r="C14" s="1163" t="s">
        <v>53</v>
      </c>
      <c r="D14" s="1163"/>
      <c r="E14" s="1163"/>
      <c r="F14" s="1163"/>
      <c r="G14" s="1163"/>
      <c r="H14" s="1163"/>
      <c r="I14" s="5"/>
      <c r="J14" s="5"/>
      <c r="K14" s="5"/>
      <c r="L14" s="5"/>
    </row>
    <row r="15" spans="2:12" x14ac:dyDescent="0.35">
      <c r="B15" s="5"/>
      <c r="C15" s="5"/>
      <c r="D15" s="5"/>
      <c r="E15" s="5"/>
      <c r="F15" s="5"/>
      <c r="G15" s="5"/>
      <c r="H15" s="5"/>
      <c r="I15" s="5"/>
      <c r="J15" s="5"/>
      <c r="K15" s="5"/>
      <c r="L15" s="5"/>
    </row>
    <row r="16" spans="2:12" x14ac:dyDescent="0.35">
      <c r="B16" s="5"/>
      <c r="C16" s="5"/>
      <c r="D16" s="5"/>
      <c r="E16" s="5"/>
      <c r="F16" s="5"/>
      <c r="G16" s="5"/>
      <c r="H16" s="5"/>
      <c r="I16" s="5"/>
      <c r="J16" s="5"/>
      <c r="K16" s="5"/>
      <c r="L16" s="5"/>
    </row>
    <row r="17" spans="2:12" ht="18" x14ac:dyDescent="0.35">
      <c r="B17" s="1163" t="s">
        <v>318</v>
      </c>
      <c r="C17" s="1163"/>
      <c r="D17" s="1163"/>
      <c r="E17" s="1163"/>
      <c r="F17" s="1163"/>
      <c r="G17" s="288"/>
      <c r="H17" s="288"/>
      <c r="I17" s="288"/>
      <c r="J17" s="288"/>
      <c r="K17" s="288"/>
      <c r="L17" s="288"/>
    </row>
    <row r="18" spans="2:12" x14ac:dyDescent="0.35">
      <c r="B18" s="5"/>
      <c r="C18" s="1163" t="s">
        <v>319</v>
      </c>
      <c r="D18" s="1163"/>
      <c r="E18" s="1163"/>
      <c r="F18" s="1163"/>
      <c r="G18" s="1163"/>
      <c r="H18" s="1163"/>
      <c r="I18" s="1163"/>
      <c r="J18" s="1163"/>
      <c r="K18" s="1163"/>
      <c r="L18" s="5"/>
    </row>
    <row r="19" spans="2:12" ht="18" x14ac:dyDescent="0.35">
      <c r="B19" s="1164" t="s">
        <v>320</v>
      </c>
      <c r="C19" s="1164"/>
      <c r="D19" s="1164"/>
      <c r="E19" s="1164"/>
      <c r="F19" s="1164"/>
      <c r="G19" s="288"/>
      <c r="H19" s="288"/>
      <c r="I19" s="288"/>
      <c r="J19" s="288"/>
      <c r="K19" s="288"/>
      <c r="L19" s="288"/>
    </row>
    <row r="20" spans="2:12" x14ac:dyDescent="0.35">
      <c r="B20" s="5"/>
      <c r="C20" s="5"/>
      <c r="D20" s="5"/>
      <c r="E20" s="5"/>
      <c r="F20" s="5"/>
      <c r="G20" s="5"/>
      <c r="H20" s="5"/>
      <c r="I20" s="5"/>
      <c r="J20" s="5"/>
      <c r="K20" s="5"/>
      <c r="L20" s="5"/>
    </row>
    <row r="21" spans="2:12" x14ac:dyDescent="0.35">
      <c r="B21" s="5"/>
      <c r="C21" s="1163" t="s">
        <v>167</v>
      </c>
      <c r="D21" s="1163"/>
      <c r="E21" s="1163"/>
      <c r="F21" s="1163"/>
      <c r="G21" s="1163"/>
      <c r="H21" s="1163"/>
      <c r="I21" s="1163"/>
      <c r="J21" s="1163"/>
      <c r="K21" s="1163"/>
      <c r="L21" s="5"/>
    </row>
    <row r="22" spans="2:12" x14ac:dyDescent="0.35">
      <c r="B22" s="5"/>
      <c r="C22" s="1163" t="s">
        <v>168</v>
      </c>
      <c r="D22" s="1163"/>
      <c r="E22" s="1163"/>
      <c r="F22" s="1163"/>
      <c r="G22" s="1163"/>
      <c r="H22" s="1163"/>
      <c r="I22" s="1163"/>
      <c r="J22" s="1163"/>
      <c r="K22" s="1163"/>
      <c r="L22" s="5"/>
    </row>
    <row r="23" spans="2:12" x14ac:dyDescent="0.35">
      <c r="B23" s="5"/>
      <c r="C23" s="1163" t="s">
        <v>169</v>
      </c>
      <c r="D23" s="1163"/>
      <c r="E23" s="1163"/>
      <c r="F23" s="1163"/>
      <c r="G23" s="1163"/>
      <c r="H23" s="1163"/>
      <c r="I23" s="1163"/>
      <c r="J23" s="1163"/>
      <c r="K23" s="1163"/>
      <c r="L23" s="5"/>
    </row>
    <row r="24" spans="2:12" x14ac:dyDescent="0.35">
      <c r="B24" s="5"/>
      <c r="C24" s="1163" t="s">
        <v>170</v>
      </c>
      <c r="D24" s="1163"/>
      <c r="E24" s="1163"/>
      <c r="F24" s="1163"/>
      <c r="G24" s="1163"/>
      <c r="H24" s="1163"/>
      <c r="I24" s="1163"/>
      <c r="J24" s="1163"/>
      <c r="K24" s="1163"/>
      <c r="L24" s="5"/>
    </row>
    <row r="25" spans="2:12" x14ac:dyDescent="0.35">
      <c r="B25" s="5"/>
      <c r="C25" s="1163" t="s">
        <v>171</v>
      </c>
      <c r="D25" s="1163"/>
      <c r="E25" s="1163"/>
      <c r="F25" s="1163"/>
      <c r="G25" s="1163"/>
      <c r="H25" s="1163"/>
      <c r="I25" s="1163"/>
      <c r="J25" s="1163"/>
      <c r="K25" s="1163"/>
      <c r="L25" s="5"/>
    </row>
    <row r="26" spans="2:12" x14ac:dyDescent="0.35">
      <c r="B26" s="5"/>
      <c r="C26" s="1165" t="s">
        <v>172</v>
      </c>
      <c r="D26" s="1163"/>
      <c r="E26" s="1163"/>
      <c r="F26" s="1163"/>
      <c r="G26" s="1163"/>
      <c r="H26" s="1163"/>
      <c r="I26" s="1163"/>
      <c r="J26" s="1163"/>
      <c r="K26" s="1163"/>
      <c r="L26" s="5"/>
    </row>
    <row r="27" spans="2:12" x14ac:dyDescent="0.35">
      <c r="B27" s="5"/>
      <c r="C27" s="5"/>
      <c r="D27" s="5"/>
      <c r="E27" s="5"/>
      <c r="F27" s="5"/>
      <c r="G27" s="5"/>
      <c r="H27" s="5"/>
      <c r="I27" s="5"/>
      <c r="J27" s="5"/>
      <c r="K27" s="5"/>
      <c r="L27" s="5"/>
    </row>
    <row r="28" spans="2:12" ht="18" x14ac:dyDescent="0.35">
      <c r="B28" s="1163" t="s">
        <v>321</v>
      </c>
      <c r="C28" s="1163"/>
      <c r="D28" s="1163"/>
      <c r="E28" s="1163"/>
      <c r="F28" s="288"/>
      <c r="G28" s="288"/>
      <c r="H28" s="288"/>
      <c r="I28" s="288"/>
      <c r="J28" s="288"/>
      <c r="K28" s="288"/>
      <c r="L28" s="288"/>
    </row>
    <row r="29" spans="2:12" x14ac:dyDescent="0.35">
      <c r="B29" s="5"/>
      <c r="C29" s="1163" t="s">
        <v>196</v>
      </c>
      <c r="D29" s="1163"/>
      <c r="E29" s="1163"/>
      <c r="F29" s="1163"/>
      <c r="G29" s="1163"/>
      <c r="H29" s="1163"/>
      <c r="I29" s="1163"/>
      <c r="J29" s="1163"/>
      <c r="K29" s="1163"/>
      <c r="L29" s="5"/>
    </row>
    <row r="30" spans="2:12" x14ac:dyDescent="0.35">
      <c r="B30" s="5"/>
      <c r="C30" s="5"/>
      <c r="D30" s="5"/>
      <c r="E30" s="5"/>
      <c r="F30" s="5"/>
      <c r="G30" s="5"/>
      <c r="H30" s="5"/>
      <c r="I30" s="5"/>
      <c r="J30" s="5"/>
      <c r="K30" s="5"/>
      <c r="L30" s="5"/>
    </row>
    <row r="31" spans="2:12" ht="18" x14ac:dyDescent="0.35">
      <c r="B31" s="1163" t="s">
        <v>322</v>
      </c>
      <c r="C31" s="1163"/>
      <c r="D31" s="1163"/>
      <c r="E31" s="1163"/>
      <c r="F31" s="288"/>
      <c r="G31" s="288"/>
      <c r="H31" s="288"/>
      <c r="I31" s="288"/>
      <c r="J31" s="288"/>
      <c r="K31" s="288"/>
      <c r="L31" s="288"/>
    </row>
    <row r="32" spans="2:12" x14ac:dyDescent="0.35">
      <c r="B32" s="5"/>
      <c r="C32" s="1163" t="s">
        <v>323</v>
      </c>
      <c r="D32" s="1163"/>
      <c r="E32" s="1163"/>
      <c r="F32" s="1163"/>
      <c r="G32" s="1163"/>
      <c r="H32" s="1163"/>
      <c r="I32" s="1163"/>
      <c r="J32" s="1163"/>
      <c r="K32" s="1163"/>
      <c r="L32" s="5"/>
    </row>
    <row r="33" spans="2:12" x14ac:dyDescent="0.35">
      <c r="B33" s="5"/>
      <c r="C33" s="5"/>
      <c r="D33" s="5"/>
      <c r="E33" s="5"/>
      <c r="F33" s="5"/>
      <c r="G33" s="5"/>
      <c r="H33" s="5"/>
      <c r="I33" s="5"/>
      <c r="J33" s="5"/>
      <c r="K33" s="5"/>
      <c r="L33" s="5"/>
    </row>
    <row r="34" spans="2:12" ht="18" x14ac:dyDescent="0.35">
      <c r="B34" s="1163" t="s">
        <v>324</v>
      </c>
      <c r="C34" s="1163"/>
      <c r="D34" s="1163"/>
      <c r="E34" s="1163"/>
      <c r="F34" s="288"/>
      <c r="G34" s="288"/>
      <c r="H34" s="288"/>
      <c r="I34" s="288"/>
      <c r="J34" s="288"/>
      <c r="K34" s="288"/>
      <c r="L34" s="288"/>
    </row>
    <row r="35" spans="2:12" x14ac:dyDescent="0.35">
      <c r="B35" s="5"/>
      <c r="C35" s="1163" t="s">
        <v>325</v>
      </c>
      <c r="D35" s="1163"/>
      <c r="E35" s="1163"/>
      <c r="F35" s="1163"/>
      <c r="G35" s="1163"/>
      <c r="H35" s="1163"/>
      <c r="I35" s="1163"/>
      <c r="J35" s="1163"/>
      <c r="K35" s="1163"/>
      <c r="L35" s="5"/>
    </row>
    <row r="36" spans="2:12" x14ac:dyDescent="0.35">
      <c r="B36" s="5"/>
      <c r="C36" s="5"/>
      <c r="D36" s="5"/>
      <c r="E36" s="5"/>
      <c r="F36" s="5"/>
      <c r="G36" s="5"/>
      <c r="H36" s="5"/>
      <c r="I36" s="5"/>
      <c r="J36" s="5"/>
      <c r="K36" s="5"/>
      <c r="L36" s="5"/>
    </row>
    <row r="37" spans="2:12" ht="18" x14ac:dyDescent="0.35">
      <c r="B37" s="1163" t="s">
        <v>326</v>
      </c>
      <c r="C37" s="1163"/>
      <c r="D37" s="1163"/>
      <c r="E37" s="1163"/>
      <c r="F37" s="288"/>
      <c r="G37" s="288"/>
      <c r="H37" s="288"/>
      <c r="I37" s="288"/>
      <c r="J37" s="288"/>
      <c r="K37" s="288"/>
      <c r="L37" s="288"/>
    </row>
    <row r="38" spans="2:12" x14ac:dyDescent="0.35">
      <c r="B38" s="5"/>
      <c r="C38" s="5"/>
      <c r="D38" s="5"/>
      <c r="E38" s="5"/>
      <c r="F38" s="5"/>
      <c r="G38" s="5"/>
      <c r="H38" s="5"/>
      <c r="I38" s="5"/>
      <c r="J38" s="5"/>
      <c r="K38" s="5"/>
      <c r="L38" s="5"/>
    </row>
    <row r="39" spans="2:12" x14ac:dyDescent="0.35">
      <c r="B39" s="289" t="s">
        <v>327</v>
      </c>
      <c r="C39" s="289"/>
      <c r="D39" s="5"/>
      <c r="E39" s="5"/>
      <c r="F39" s="5"/>
      <c r="G39" s="5"/>
      <c r="H39" s="5"/>
      <c r="I39" s="5"/>
      <c r="J39" s="5"/>
      <c r="K39" s="5"/>
      <c r="L39" s="5"/>
    </row>
    <row r="40" spans="2:12" x14ac:dyDescent="0.35">
      <c r="B40" s="5"/>
      <c r="C40" s="5"/>
      <c r="D40" s="5"/>
      <c r="E40" s="5"/>
      <c r="F40" s="5"/>
      <c r="G40" s="5"/>
      <c r="H40" s="5"/>
      <c r="I40" s="5"/>
      <c r="J40" s="5"/>
      <c r="K40" s="5"/>
      <c r="L40" s="5"/>
    </row>
    <row r="41" spans="2:12" x14ac:dyDescent="0.35">
      <c r="B41" s="5"/>
      <c r="C41" s="289" t="s">
        <v>328</v>
      </c>
      <c r="D41" s="289"/>
      <c r="E41" s="289"/>
      <c r="F41" s="5"/>
      <c r="G41" s="5"/>
      <c r="H41" s="5"/>
      <c r="I41" s="5"/>
      <c r="J41" s="5"/>
      <c r="K41" s="5"/>
      <c r="L41" s="5"/>
    </row>
    <row r="44" spans="2:12" x14ac:dyDescent="0.35">
      <c r="B44" s="290" t="s">
        <v>330</v>
      </c>
    </row>
    <row r="45" spans="2:12" x14ac:dyDescent="0.35">
      <c r="C45" s="1162" t="s">
        <v>329</v>
      </c>
      <c r="D45" s="1162"/>
      <c r="E45" s="1162"/>
      <c r="F45" s="1162"/>
    </row>
  </sheetData>
  <sheetProtection sheet="1" objects="1" scenarios="1"/>
  <mergeCells count="23">
    <mergeCell ref="B37:E37"/>
    <mergeCell ref="C24:K24"/>
    <mergeCell ref="C25:K25"/>
    <mergeCell ref="C26:K26"/>
    <mergeCell ref="B28:E28"/>
    <mergeCell ref="C29:K29"/>
    <mergeCell ref="B31:E31"/>
    <mergeCell ref="C45:F45"/>
    <mergeCell ref="C23:K23"/>
    <mergeCell ref="B5:E5"/>
    <mergeCell ref="C7:K7"/>
    <mergeCell ref="C8:K8"/>
    <mergeCell ref="B11:E11"/>
    <mergeCell ref="C13:K13"/>
    <mergeCell ref="C14:H14"/>
    <mergeCell ref="B17:F17"/>
    <mergeCell ref="C18:K18"/>
    <mergeCell ref="B19:F19"/>
    <mergeCell ref="C21:K21"/>
    <mergeCell ref="C22:K22"/>
    <mergeCell ref="C32:K32"/>
    <mergeCell ref="B34:E34"/>
    <mergeCell ref="C35:K35"/>
  </mergeCells>
  <hyperlinks>
    <hyperlink ref="B5" location="'A) Reajuste Tarifas y Ocupación'!A1" display="A) Reajuste Tarifas y Ocupación" xr:uid="{00000000-0004-0000-0100-000000000000}"/>
    <hyperlink ref="C7" location="'A) Reajuste Tarifas y Ocupación'!B9:H37" display="TABLA 1. REAJUSTE DE TARIFAS POR PRESTACIÓN Y SEGMENTO" xr:uid="{00000000-0004-0000-0100-000001000000}"/>
    <hyperlink ref="C8" location="'A) Reajuste Tarifas y Ocupación'!J9:Q37" display="TABLA 2. METAS DE OCUPACIÓN POR PRESTACIÓN Y SEGMENTO" xr:uid="{00000000-0004-0000-0100-000002000000}"/>
    <hyperlink ref="B11" location="'B) Comparación Mercado'!A1" display="B) Comparación Mercado" xr:uid="{00000000-0004-0000-0100-000003000000}"/>
    <hyperlink ref="C13" location="'B) Comparación Mercado'!A13" display="TABLA 1. COMPARACIÓN TARIFAS CON PRECIOS DE MERCADO" xr:uid="{00000000-0004-0000-0100-000004000000}"/>
    <hyperlink ref="B17" location="'D) Estimación Costos'!A1" display="D) Estimación Costos" xr:uid="{00000000-0004-0000-0100-000005000000}"/>
    <hyperlink ref="C18" location="'D) Estimación Costos'!A7" display="TABLA 1. COSTOS DIRECTOS POR CENTRO DE COSTO" xr:uid="{00000000-0004-0000-0100-000006000000}"/>
    <hyperlink ref="B34" location="'E) Resumen Ingresos y Egresos'!A1" display="E) Resumen Ingresos y Egresos" xr:uid="{00000000-0004-0000-0100-000007000000}"/>
    <hyperlink ref="C35" location="'E) Resumen Ingresos y Egresos'!A7:J25" display="TABLA 1. RESUMEN DE INGRESOS Y EGRESOS POR CENTRO DE COSTO" xr:uid="{00000000-0004-0000-0100-000008000000}"/>
    <hyperlink ref="B37" location="'G) Detalle Datos'!A1" display="G) Detalle Datos" xr:uid="{00000000-0004-0000-0100-000009000000}"/>
    <hyperlink ref="C7:K7" location="'A) Resumen Ingresos y Egresos'!A6" display="TABLA 1: RESUMEN DE INGRESOS Y EGRESOS DE CENTROS DE BENEFICIOS" xr:uid="{00000000-0004-0000-0100-00000A000000}"/>
    <hyperlink ref="C8:K8" location="'A) Resumen Ingresos y Egresos'!A29" display="TABLA 2:  DETALLE DE INGRESOS POR PRESTACIÓN Y SEGMENTO" xr:uid="{00000000-0004-0000-0100-00000B000000}"/>
    <hyperlink ref="C35:K35" location="'G) Comparación Mercado'!A13" display="TABLA 14:COMPARACIÓN TARIFAS CON PRECIOS DE MERCADO" xr:uid="{00000000-0004-0000-0100-00000C000000}"/>
    <hyperlink ref="C18:K18" location="'C) Estimación Costos Directos'!A1" display="TABLA 5: COSTOS DIRECTOS DE CENTROS DE BENEFICIOS " xr:uid="{00000000-0004-0000-0100-00000D000000}"/>
    <hyperlink ref="B31" location="'C) Remuneraciones'!A1" display="C) Remuneraciones" xr:uid="{00000000-0004-0000-0100-00000E000000}"/>
    <hyperlink ref="C32" location="'C) Remuneraciones'!A9:M36" display="TABLA 1. REMUNERACIONES DEL PERSONAL CÓDIGO DEL TRABAJO POR CENTRO DE COSTO" xr:uid="{00000000-0004-0000-0100-00000F000000}"/>
    <hyperlink ref="C32:K32" location="'F) Remuneraciones'!B7" display="TABLA 13: REMUNERACIONES DEL PERSONAL LEY 18.712 DE CENTROS DE BENEFICIOS" xr:uid="{00000000-0004-0000-0100-000010000000}"/>
    <hyperlink ref="C21" location="'D) Estimación Costos'!A7" display="TABLA 1. COSTOS DIRECTOS POR CENTRO DE COSTO" xr:uid="{00000000-0004-0000-0100-000011000000}"/>
    <hyperlink ref="C22" location="'D) Estimación Costos'!A1096" display="TABLA 2. COSTOS INDIRECTOS EN REMUNERACIONES DE UNIDADES DE APOYO ADMINISTRATIVO" xr:uid="{00000000-0004-0000-0100-000012000000}"/>
    <hyperlink ref="C23" location="'D) Estimación Costos'!A1150:L1185" display="TABLA 3. COSTOS DE OPERACIÓN PISCINAS POR CENTRO DE COSTO" xr:uid="{00000000-0004-0000-0100-000013000000}"/>
    <hyperlink ref="C23:K23" location="'D) Costos Indirectos '!U9" display="TABLA 8: COSTOS DE OPERACION ADMINISTRACIÓN CENTRAL Y  APOYO ADMINISTRATIVO ASISTENCIA RECREATIVA" xr:uid="{00000000-0004-0000-0100-000014000000}"/>
    <hyperlink ref="C21:K21" location="'D) Costos Indirectos '!B9" display="TABLA 6: REMUNERACIONES DEL PERSONAL LEY 18.712 ADMINISTRACION CENTRAL Y APOYO ADMINISTRATIVO ASISTENCIA RECREATIVA" xr:uid="{00000000-0004-0000-0100-000015000000}"/>
    <hyperlink ref="C13:K13" location="'B) Reajuste Tarifas y Ocupación'!A1" display="TABLA 3: REAJUSTE DE TARIFAS POR PRESTACIÓN Y SEGMENTO" xr:uid="{00000000-0004-0000-0100-000016000000}"/>
    <hyperlink ref="C14" location="'B) Reajuste Tarifas y Ocupación'!A1" display="TABLA 4: METAS DE OCUPACIÓN POR PRESTACIÓN Y SEGMENTO" xr:uid="{00000000-0004-0000-0100-000017000000}"/>
    <hyperlink ref="B17:F17" location="'C) Estimación Costos Directos'!A1" display="C) Estimación Costos Directos" xr:uid="{00000000-0004-0000-0100-000018000000}"/>
    <hyperlink ref="C24" location="'D) Estimación Costos'!A1150:L1185" display="TABLA 3. COSTOS DE OPERACIÓN PISCINAS POR CENTRO DE COSTO" xr:uid="{00000000-0004-0000-0100-000019000000}"/>
    <hyperlink ref="C24:K24" location="'D) Costos Indirectos '!Z9" display="TABLA 9: RESUMEN DISTRIBUCION COSTOS REMUNERACIONES ADMINISTRACION CENTRAL Y APOYO ADMINISTRATIVO A. RECREATIVA" xr:uid="{00000000-0004-0000-0100-00001A000000}"/>
    <hyperlink ref="C25" location="'D) Estimación Costos'!A1150:L1185" display="TABLA 3. COSTOS DE OPERACIÓN PISCINAS POR CENTRO DE COSTO" xr:uid="{00000000-0004-0000-0100-00001B000000}"/>
    <hyperlink ref="C25:K25" location="'D) Costos Indirectos '!AG9" display="TABLA 10: RESUMEN DISTRIBUCION COSTOS OPERACIÓN ADMINISTRACION CENTRAL  Y APOYO ADMINISTRATIVO A. RECREATIVA" xr:uid="{00000000-0004-0000-0100-00001C000000}"/>
    <hyperlink ref="C26" location="'D) Estimación Costos'!A1150:L1185" display="TABLA 3. COSTOS DE OPERACIÓN PISCINAS POR CENTRO DE COSTO" xr:uid="{00000000-0004-0000-0100-00001D000000}"/>
    <hyperlink ref="C26:K26" location="'D) Costos Indirectos '!AO9" display="'D) Costos Indirectos '!AO9" xr:uid="{00000000-0004-0000-0100-00001E000000}"/>
    <hyperlink ref="B28" location="'F) Resumen Tarifado '!A1" display="F) Resumen Tarifado" xr:uid="{00000000-0004-0000-0100-00001F000000}"/>
    <hyperlink ref="C29" location="'F) Resumen Tarifado '!A7:R40" display="TABLA 1. RESUMEN DE TARIFADO POR CENTRO DE COSTO" xr:uid="{00000000-0004-0000-0100-000020000000}"/>
    <hyperlink ref="C29:K29" location="'E) Resumen Tarifado '!A6" display="TABLA 12: RESUMEN DE TARIFADO" xr:uid="{00000000-0004-0000-0100-000021000000}"/>
    <hyperlink ref="B5:E5" location="'A) Resumen Ingresos y Egresos'!A1" display="A) Resumen Ingresos y Egresos" xr:uid="{00000000-0004-0000-0100-000022000000}"/>
    <hyperlink ref="B28:E28" location="'E) Resumen Tarifado '!A1" display="F) Resumen Tarifado" xr:uid="{00000000-0004-0000-0100-000023000000}"/>
    <hyperlink ref="B31:E31" location="'F) Remuneraciones'!A1" display="F) Remuneraciones" xr:uid="{00000000-0004-0000-0100-000024000000}"/>
    <hyperlink ref="B34:E34" location="'G) Comparación Mercado'!A1" display="G) Comparación Mercado" xr:uid="{00000000-0004-0000-0100-000025000000}"/>
    <hyperlink ref="B37:E37" location="'H) Detalle Datos'!A1" display="G) Detalle Datos" xr:uid="{00000000-0004-0000-0100-000026000000}"/>
    <hyperlink ref="B11:E11" location="'B) Reajuste Tarifas y Ocupación'!A1" display="B) Reajuste Tarifa y Ocupación" xr:uid="{00000000-0004-0000-0100-000027000000}"/>
    <hyperlink ref="C22:K22" location="'D) Costos Indirectos '!M9" display="TABLA 7: DISTRIBUCION COSTOS REMUNERACIONES ADMINISTRACION CENTRAL Y APOYO ADMINISTRATIVO A. RECREATIVA" xr:uid="{00000000-0004-0000-0100-000028000000}"/>
    <hyperlink ref="C14:H14" location="'B) Reajuste Tarifas y Ocupación'!P8" display="TABLA 4: METAS DE OCUPACIÓN POR PRESTACIÓN Y SEGMENTO" xr:uid="{00000000-0004-0000-0100-000029000000}"/>
    <hyperlink ref="B39:C39" location="'I) Costo Desayuno'!A1" display="I) Costo Desayuno" xr:uid="{00000000-0004-0000-0100-00002A000000}"/>
    <hyperlink ref="C41:E41" location="'I) Costo Desayuno'!B12" display="TABLA 15: COSTO DESAYUNO" xr:uid="{00000000-0004-0000-0100-00002B000000}"/>
    <hyperlink ref="C9:G9" location="'A) Resumen Ingresos y Egresos'!A150" display="TABLA 3: INGRESOS ESTIMADOS POR UNIDAD DE NEGOCIO" xr:uid="{00000000-0004-0000-0100-00002C000000}"/>
    <hyperlink ref="B19:F19" location="'D) Costos Indirectos '!A1" display="D) Costos Indirectos" xr:uid="{00000000-0004-0000-0100-00002D000000}"/>
    <hyperlink ref="C9" location="'A) Resumen Ingresos y Egresos'!A153" display="TABLA 2-A: INGRESOS ESTIMADOS POR UNIDAD DE NEGOCIO" xr:uid="{00000000-0004-0000-0100-00002E000000}"/>
    <hyperlink ref="B44" location="'J) ESTRUCTURA ECONÓMICA MENS'!A1" display="'J) ESTRUCTURA ECONÓMICA MENS'!A1" xr:uid="{00000000-0004-0000-0100-00002F000000}"/>
    <hyperlink ref="C45:F45" location="'J) ESTRUCTURA ECONÓMICA MENS'!B6" display="TABLA N°16:  RESULTADO OPERACIONAL MENSUAL" xr:uid="{00000000-0004-0000-0100-00003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P178"/>
  <sheetViews>
    <sheetView tabSelected="1" topLeftCell="K7" zoomScale="98" zoomScaleNormal="98" workbookViewId="0">
      <selection activeCell="R14" sqref="R14"/>
    </sheetView>
  </sheetViews>
  <sheetFormatPr baseColWidth="10" defaultRowHeight="14.5" x14ac:dyDescent="0.35"/>
  <cols>
    <col min="1" max="1" width="45.1796875" style="5" bestFit="1" customWidth="1"/>
    <col min="2" max="2" width="27.81640625" style="5" customWidth="1"/>
    <col min="3" max="3" width="15.81640625" style="5" customWidth="1"/>
    <col min="4" max="4" width="20.1796875" style="5" customWidth="1"/>
    <col min="5" max="5" width="28.453125" style="5" customWidth="1"/>
    <col min="6" max="6" width="19.54296875" style="5" customWidth="1"/>
    <col min="7" max="7" width="18.26953125" style="5" customWidth="1"/>
    <col min="8" max="8" width="33" style="5" customWidth="1"/>
    <col min="9" max="9" width="21.54296875" style="5" customWidth="1"/>
    <col min="10" max="10" width="21.26953125" style="5" customWidth="1"/>
    <col min="11" max="11" width="34" style="5" bestFit="1" customWidth="1"/>
    <col min="12" max="12" width="21.453125" style="5" customWidth="1"/>
    <col min="13" max="13" width="19.7265625" style="5" customWidth="1"/>
    <col min="14" max="14" width="19.26953125" style="5" bestFit="1" customWidth="1"/>
    <col min="15" max="15" width="17" style="5" bestFit="1" customWidth="1"/>
    <col min="16" max="16" width="16.54296875" bestFit="1" customWidth="1"/>
  </cols>
  <sheetData>
    <row r="1" spans="1:16" x14ac:dyDescent="0.35">
      <c r="A1" s="1"/>
      <c r="B1" s="2"/>
      <c r="C1" s="2"/>
      <c r="D1" s="2"/>
      <c r="E1" s="3"/>
      <c r="F1" s="2"/>
      <c r="G1" s="2"/>
      <c r="H1" s="2"/>
      <c r="I1" s="2"/>
      <c r="J1" s="2"/>
      <c r="K1" s="2"/>
      <c r="L1" s="2"/>
      <c r="M1" s="2"/>
      <c r="N1" s="2"/>
      <c r="O1" s="2"/>
    </row>
    <row r="2" spans="1:16" x14ac:dyDescent="0.35">
      <c r="A2" s="4"/>
      <c r="B2" s="2"/>
      <c r="C2" s="2"/>
      <c r="D2" s="2"/>
      <c r="E2" s="3" t="s">
        <v>0</v>
      </c>
      <c r="F2" s="2"/>
      <c r="G2" s="2"/>
      <c r="H2" s="2"/>
      <c r="I2" s="2"/>
      <c r="J2" s="2"/>
      <c r="K2" s="2"/>
      <c r="L2" s="2"/>
      <c r="M2" s="2"/>
      <c r="N2" s="2"/>
      <c r="O2" s="2"/>
    </row>
    <row r="3" spans="1:16" x14ac:dyDescent="0.35">
      <c r="B3" s="2"/>
      <c r="C3" s="2"/>
      <c r="D3" s="2"/>
      <c r="E3" s="2"/>
      <c r="F3" s="2"/>
      <c r="G3" s="2"/>
      <c r="H3" s="2"/>
      <c r="I3" s="2"/>
      <c r="J3" s="2"/>
      <c r="K3" s="2"/>
      <c r="L3" s="2"/>
      <c r="M3" s="2"/>
      <c r="N3" s="2"/>
      <c r="O3" s="2"/>
    </row>
    <row r="4" spans="1:16" ht="15.5" x14ac:dyDescent="0.35">
      <c r="B4" s="6"/>
      <c r="C4" s="1178" t="s">
        <v>1</v>
      </c>
      <c r="D4" s="1178"/>
      <c r="E4" s="1179" t="str">
        <f>+'[1]B) Reajuste Tarifas y Ocupación'!F5</f>
        <v>BIENTALC</v>
      </c>
      <c r="F4" s="1180"/>
      <c r="G4" s="2"/>
      <c r="H4" s="2"/>
      <c r="I4" s="2"/>
      <c r="J4" s="7"/>
      <c r="K4" s="2"/>
      <c r="L4" s="2"/>
      <c r="M4" s="2"/>
      <c r="N4" s="2"/>
      <c r="O4" s="2"/>
    </row>
    <row r="5" spans="1:16" x14ac:dyDescent="0.35">
      <c r="F5" s="8"/>
      <c r="G5" s="8"/>
      <c r="H5" s="2"/>
      <c r="I5" s="2"/>
      <c r="J5" s="7"/>
      <c r="K5" s="2"/>
      <c r="L5" s="2"/>
      <c r="M5" s="2"/>
      <c r="N5" s="2"/>
      <c r="O5" s="2"/>
    </row>
    <row r="6" spans="1:16" x14ac:dyDescent="0.35">
      <c r="A6" s="1164" t="s">
        <v>2</v>
      </c>
      <c r="B6" s="1164"/>
      <c r="C6" s="1164"/>
      <c r="D6" s="1164"/>
      <c r="F6" s="8"/>
      <c r="G6" s="8"/>
      <c r="H6" s="2"/>
      <c r="I6" s="2"/>
      <c r="J6" s="7"/>
      <c r="K6" s="2"/>
      <c r="L6" s="2"/>
      <c r="M6" s="2"/>
      <c r="N6" s="2"/>
      <c r="O6" s="2"/>
    </row>
    <row r="7" spans="1:16" ht="15" thickBot="1" x14ac:dyDescent="0.4">
      <c r="B7" s="2"/>
      <c r="C7" s="2"/>
      <c r="E7" s="2"/>
      <c r="F7" s="2"/>
      <c r="G7" s="2"/>
      <c r="H7" s="2"/>
      <c r="K7" s="9"/>
    </row>
    <row r="8" spans="1:16" ht="39" x14ac:dyDescent="0.35">
      <c r="A8" s="320" t="s">
        <v>3</v>
      </c>
      <c r="B8" s="321" t="s">
        <v>4</v>
      </c>
      <c r="C8" s="321" t="s">
        <v>5</v>
      </c>
      <c r="D8" s="322" t="s">
        <v>6</v>
      </c>
      <c r="E8" s="323" t="s">
        <v>7</v>
      </c>
      <c r="F8" s="323" t="s">
        <v>8</v>
      </c>
      <c r="G8" s="323" t="s">
        <v>9</v>
      </c>
      <c r="H8" s="323" t="s">
        <v>10</v>
      </c>
      <c r="I8" s="323" t="s">
        <v>11</v>
      </c>
      <c r="J8" s="324" t="s">
        <v>12</v>
      </c>
      <c r="K8" s="324" t="s">
        <v>13</v>
      </c>
      <c r="L8" s="325" t="s">
        <v>14</v>
      </c>
      <c r="M8" s="326" t="s">
        <v>15</v>
      </c>
      <c r="N8" s="327" t="s">
        <v>16</v>
      </c>
      <c r="O8" s="328" t="s">
        <v>17</v>
      </c>
    </row>
    <row r="9" spans="1:16" x14ac:dyDescent="0.35">
      <c r="A9" s="416" t="str">
        <f>+'B) Reajuste Tarifas y Ocupación'!A12</f>
        <v>C. H. Carlos Condell</v>
      </c>
      <c r="B9" s="336">
        <f>+I58</f>
        <v>70401200</v>
      </c>
      <c r="C9" s="339">
        <f>+H58</f>
        <v>21404300</v>
      </c>
      <c r="D9" s="338">
        <f>+B9+C9</f>
        <v>91805500</v>
      </c>
      <c r="E9" s="330">
        <f>+'C) Estimación Costos Directos'!H12</f>
        <v>48905426.270000003</v>
      </c>
      <c r="F9" s="330">
        <f>+'C) Estimación Costos Directos'!H27+'C) Estimación Costos Directos'!H28+'C) Estimación Costos Directos'!H29+'C) Estimación Costos Directos'!H33+'C) Estimación Costos Directos'!H53+'C) Estimación Costos Directos'!H32+'C) Estimación Costos Directos'!H23+'C) Estimación Costos Directos'!H30+'C) Estimación Costos Directos'!H31+'C) Estimación Costos Directos'!H46+'C) Estimación Costos Directos'!H47</f>
        <v>12536344.975</v>
      </c>
      <c r="G9" s="330">
        <f>+'C) Estimación Costos Directos'!H68</f>
        <v>0</v>
      </c>
      <c r="H9" s="330">
        <f>'C) Estimación Costos Directos'!H25+'C) Estimación Costos Directos'!H74</f>
        <v>603958</v>
      </c>
      <c r="I9" s="331">
        <f>+'C) Estimación Costos Directos'!H80-E9-F9-G9-H9</f>
        <v>20323725.299999997</v>
      </c>
      <c r="J9" s="331">
        <f>SUM(E9:I9)</f>
        <v>82369454.545000002</v>
      </c>
      <c r="K9" s="331">
        <f>IFERROR(+'D) Costos Indirectos '!$AN$15*O9,0)</f>
        <v>11538496.630787883</v>
      </c>
      <c r="L9" s="332">
        <f>+J9+K9</f>
        <v>93907951.175787881</v>
      </c>
      <c r="M9" s="333">
        <f t="shared" ref="M9:M20" si="0">D9-L9</f>
        <v>-2102451.175787881</v>
      </c>
      <c r="N9" s="334">
        <f>D9-J9</f>
        <v>9436045.4549999982</v>
      </c>
      <c r="O9" s="335">
        <v>7.0000000000000007E-2</v>
      </c>
      <c r="P9" s="714"/>
    </row>
    <row r="10" spans="1:16" x14ac:dyDescent="0.35">
      <c r="A10" s="416" t="str">
        <f>+'B) Reajuste Tarifas y Ocupación'!A21</f>
        <v>Centro Termal Liquiñe</v>
      </c>
      <c r="B10" s="336">
        <f>+I80</f>
        <v>543305260</v>
      </c>
      <c r="C10" s="339">
        <f>+H80</f>
        <v>171477000.00000003</v>
      </c>
      <c r="D10" s="338">
        <f>+B10+C10</f>
        <v>714782260</v>
      </c>
      <c r="E10" s="330">
        <f>+'C) Estimación Costos Directos'!H84</f>
        <v>235730999.733125</v>
      </c>
      <c r="F10" s="330">
        <f>+'C) Estimación Costos Directos'!H99+'C) Estimación Costos Directos'!H101+'C) Estimación Costos Directos'!H102+'C) Estimación Costos Directos'!H104+'C) Estimación Costos Directos'!H119+'C) Estimación Costos Directos'!H125+'C) Estimación Costos Directos'!H95+'C) Estimación Costos Directos'!H100+'C) Estimación Costos Directos'!H103+'C) Estimación Costos Directos'!H105+'C) Estimación Costos Directos'!H118</f>
        <v>38438666.75</v>
      </c>
      <c r="G10" s="330">
        <v>0</v>
      </c>
      <c r="H10" s="330">
        <f>'C) Estimación Costos Directos'!H97+'C) Estimación Costos Directos'!H146</f>
        <v>15986551.525</v>
      </c>
      <c r="I10" s="331">
        <f>+'C) Estimación Costos Directos'!H152-E10-F10-G10-H10</f>
        <v>180982804.89999998</v>
      </c>
      <c r="J10" s="331">
        <f t="shared" ref="J10:J19" si="1">SUM(E10:I10)</f>
        <v>471139022.90812492</v>
      </c>
      <c r="K10" s="331">
        <f>IFERROR(+'D) Costos Indirectos '!$AN$15*O10,0)</f>
        <v>60989196.477021664</v>
      </c>
      <c r="L10" s="332">
        <f t="shared" ref="L10:L18" si="2">+J10+K10</f>
        <v>532128219.38514662</v>
      </c>
      <c r="M10" s="333">
        <f t="shared" si="0"/>
        <v>182654040.61485338</v>
      </c>
      <c r="N10" s="334">
        <f t="shared" ref="N10:N19" si="3">D10-J10</f>
        <v>243643237.09187508</v>
      </c>
      <c r="O10" s="335">
        <v>0.37</v>
      </c>
      <c r="P10" s="714"/>
    </row>
    <row r="11" spans="1:16" x14ac:dyDescent="0.35">
      <c r="A11" s="416" t="str">
        <f>+'B) Reajuste Tarifas y Ocupación'!A28</f>
        <v>Cabañas C.N.C. Tumbes</v>
      </c>
      <c r="B11" s="336">
        <f>+I90</f>
        <v>45670835</v>
      </c>
      <c r="C11" s="339">
        <f>+H90</f>
        <v>15640800</v>
      </c>
      <c r="D11" s="338">
        <f>+B11+C11</f>
        <v>61311635</v>
      </c>
      <c r="E11" s="330">
        <f>+'C) Estimación Costos Directos'!H156</f>
        <v>9161285.7212499995</v>
      </c>
      <c r="F11" s="330">
        <f>+'C) Estimación Costos Directos'!H171+'C) Estimación Costos Directos'!H172+'C) Estimación Costos Directos'!H173+'C) Estimación Costos Directos'!H176+'C) Estimación Costos Directos'!H177+'C) Estimación Costos Directos'!H191+'C) Estimación Costos Directos'!H197+'C) Estimación Costos Directos'!H167+'C) Estimación Costos Directos'!H174+'C) Estimación Costos Directos'!H175+'C) Estimación Costos Directos'!H190</f>
        <v>14364166.931089461</v>
      </c>
      <c r="G11" s="330">
        <v>0</v>
      </c>
      <c r="H11" s="330">
        <f>'C) Estimación Costos Directos'!H169+'C) Estimación Costos Directos'!H218</f>
        <v>4318154</v>
      </c>
      <c r="I11" s="331">
        <f>+'C) Estimación Costos Directos'!H224-E11-F11-G11-H11</f>
        <v>14456903.25</v>
      </c>
      <c r="J11" s="331">
        <f t="shared" si="1"/>
        <v>42300509.902339458</v>
      </c>
      <c r="K11" s="331">
        <f>IFERROR(+'D) Costos Indirectos '!$AN$15*O11,0)</f>
        <v>4945069.9846233781</v>
      </c>
      <c r="L11" s="332">
        <f t="shared" si="2"/>
        <v>47245579.886962838</v>
      </c>
      <c r="M11" s="333">
        <f t="shared" si="0"/>
        <v>14066055.113037162</v>
      </c>
      <c r="N11" s="334">
        <f t="shared" si="3"/>
        <v>19011125.097660542</v>
      </c>
      <c r="O11" s="335">
        <v>0.03</v>
      </c>
      <c r="P11" s="714"/>
    </row>
    <row r="12" spans="1:16" x14ac:dyDescent="0.35">
      <c r="A12" s="525" t="str">
        <f>+'B) Reajuste Tarifas y Ocupación'!A31</f>
        <v>Piscina C.N.C. Tumbes</v>
      </c>
      <c r="B12" s="526">
        <f>+I97</f>
        <v>1628640</v>
      </c>
      <c r="C12" s="527"/>
      <c r="D12" s="528">
        <f>+B12+C12</f>
        <v>1628640</v>
      </c>
      <c r="E12" s="529">
        <f>+'C) Estimación Costos Directos'!H228</f>
        <v>16418980.85</v>
      </c>
      <c r="F12" s="529">
        <f>+'C) Estimación Costos Directos'!H243+'C) Estimación Costos Directos'!H244+'C) Estimación Costos Directos'!H248+'C) Estimación Costos Directos'!H263+'C) Estimación Costos Directos'!H269+'C) Estimación Costos Directos'!H262+'C) Estimación Costos Directos'!H249+'C) Estimación Costos Directos'!H247+'C) Estimación Costos Directos'!H246+'C) Estimación Costos Directos'!H245+'C) Estimación Costos Directos'!H239+'C) Estimación Costos Directos'!H267</f>
        <v>4355004.84</v>
      </c>
      <c r="G12" s="529">
        <v>0</v>
      </c>
      <c r="H12" s="529">
        <f>'C) Estimación Costos Directos'!H241+'C) Estimación Costos Directos'!H290</f>
        <v>2200000</v>
      </c>
      <c r="I12" s="530">
        <f>+'C) Estimación Costos Directos'!H296-E12-F12-G12-H12</f>
        <v>6690458.0799999963</v>
      </c>
      <c r="J12" s="530">
        <f t="shared" si="1"/>
        <v>29664443.769999996</v>
      </c>
      <c r="K12" s="530">
        <f>IFERROR(+'D) Costos Indirectos '!$AN$15*O12,0)</f>
        <v>0</v>
      </c>
      <c r="L12" s="531">
        <f t="shared" si="2"/>
        <v>29664443.769999996</v>
      </c>
      <c r="M12" s="532">
        <f t="shared" si="0"/>
        <v>-28035803.769999996</v>
      </c>
      <c r="N12" s="533">
        <f>D12-J12</f>
        <v>-28035803.769999996</v>
      </c>
      <c r="O12" s="335">
        <v>0</v>
      </c>
      <c r="P12" s="714"/>
    </row>
    <row r="13" spans="1:16" x14ac:dyDescent="0.35">
      <c r="A13" s="416" t="str">
        <f>+'B) Reajuste Tarifas y Ocupación'!A33</f>
        <v>Canchas C.N.C. Tumbes</v>
      </c>
      <c r="B13" s="336">
        <f>+I104</f>
        <v>0</v>
      </c>
      <c r="C13" s="339">
        <f>+H104</f>
        <v>0</v>
      </c>
      <c r="D13" s="338">
        <f t="shared" ref="D13:D20" si="4">+B13+C13</f>
        <v>0</v>
      </c>
      <c r="E13" s="330">
        <f>+'C) Estimación Costos Directos'!H300</f>
        <v>0</v>
      </c>
      <c r="F13" s="330">
        <f>+'C) Estimación Costos Directos'!H315+'C) Estimación Costos Directos'!H316+'C) Estimación Costos Directos'!H320+'C) Estimación Costos Directos'!H341+'C) Estimación Costos Directos'!H311+'C) Estimación Costos Directos'!H318+'C) Estimación Costos Directos'!H319+'C) Estimación Costos Directos'!H321+'C) Estimación Costos Directos'!H334+'C) Estimación Costos Directos'!H335+'C) Estimación Costos Directos'!H341</f>
        <v>1102520.4750000001</v>
      </c>
      <c r="G13" s="330">
        <v>0</v>
      </c>
      <c r="H13" s="330">
        <f>'C) Estimación Costos Directos'!H313+'C) Estimación Costos Directos'!H362</f>
        <v>0</v>
      </c>
      <c r="I13" s="331">
        <f>+'C) Estimación Costos Directos'!H368-E13-F13-G13-H13</f>
        <v>0</v>
      </c>
      <c r="J13" s="331">
        <f t="shared" si="1"/>
        <v>1102520.4750000001</v>
      </c>
      <c r="K13" s="331">
        <f>IFERROR(+'D) Costos Indirectos '!$AN$15*O13,0)</f>
        <v>1648356.6615411262</v>
      </c>
      <c r="L13" s="332">
        <f t="shared" si="2"/>
        <v>2750877.1365411263</v>
      </c>
      <c r="M13" s="333">
        <f t="shared" si="0"/>
        <v>-2750877.1365411263</v>
      </c>
      <c r="N13" s="334">
        <f t="shared" si="3"/>
        <v>-1102520.4750000001</v>
      </c>
      <c r="O13" s="335">
        <v>0.01</v>
      </c>
      <c r="P13" s="714"/>
    </row>
    <row r="14" spans="1:16" x14ac:dyDescent="0.35">
      <c r="A14" s="416" t="str">
        <f>+'B) Reajuste Tarifas y Ocupación'!A35</f>
        <v>Cabañas C.R. Faro Tumbes</v>
      </c>
      <c r="B14" s="336">
        <f>+I114</f>
        <v>68390640</v>
      </c>
      <c r="C14" s="339">
        <f>+H114</f>
        <v>27198800</v>
      </c>
      <c r="D14" s="338">
        <f>+B14+C14</f>
        <v>95589440</v>
      </c>
      <c r="E14" s="330">
        <f>+'C) Estimación Costos Directos'!H372</f>
        <v>9161285.459999999</v>
      </c>
      <c r="F14" s="330">
        <f>+'C) Estimación Costos Directos'!H387+'C) Estimación Costos Directos'!H388+'C) Estimación Costos Directos'!H389+'C) Estimación Costos Directos'!H392+'C) Estimación Costos Directos'!H393+'C) Estimación Costos Directos'!H407+'C) Estimación Costos Directos'!H413+'C) Estimación Costos Directos'!H383+'C) Estimación Costos Directos'!H390+'C) Estimación Costos Directos'!H391+'C) Estimación Costos Directos'!H407</f>
        <v>22099283.050000001</v>
      </c>
      <c r="G14" s="330">
        <v>0</v>
      </c>
      <c r="H14" s="330">
        <f>'C) Estimación Costos Directos'!H385+'C) Estimación Costos Directos'!H434</f>
        <v>6696360.2000000002</v>
      </c>
      <c r="I14" s="331">
        <f>+'C) Estimación Costos Directos'!H440-E14-F14-G14-H14</f>
        <v>20601544.799999997</v>
      </c>
      <c r="J14" s="331">
        <f t="shared" si="1"/>
        <v>58558473.509999998</v>
      </c>
      <c r="K14" s="331">
        <f>IFERROR(+'D) Costos Indirectos '!$AN$15*O14,0)</f>
        <v>8241783.3077056305</v>
      </c>
      <c r="L14" s="332">
        <f t="shared" si="2"/>
        <v>66800256.817705631</v>
      </c>
      <c r="M14" s="333">
        <f t="shared" si="0"/>
        <v>28789183.182294369</v>
      </c>
      <c r="N14" s="334">
        <f t="shared" si="3"/>
        <v>37030966.490000002</v>
      </c>
      <c r="O14" s="335">
        <v>0.05</v>
      </c>
      <c r="P14" s="714"/>
    </row>
    <row r="15" spans="1:16" x14ac:dyDescent="0.35">
      <c r="A15" s="525" t="str">
        <f>+'B) Reajuste Tarifas y Ocupación'!A38</f>
        <v>Piscina C.R. Faro Tumbes</v>
      </c>
      <c r="B15" s="526">
        <f>+I121</f>
        <v>6607875</v>
      </c>
      <c r="C15" s="527"/>
      <c r="D15" s="528">
        <f t="shared" si="4"/>
        <v>6607875</v>
      </c>
      <c r="E15" s="529">
        <f>+'C) Estimación Costos Directos'!H444</f>
        <v>23279897.550000001</v>
      </c>
      <c r="F15" s="529">
        <f>+'C) Estimación Costos Directos'!H459+'C) Estimación Costos Directos'!H460+'C) Estimación Costos Directos'!H464+'C) Estimación Costos Directos'!H483+'C) Estimación Costos Directos'!H485+'C) Estimación Costos Directos'!H455+'C) Estimación Costos Directos'!H461+'C) Estimación Costos Directos'!H462+'C) Estimación Costos Directos'!H463+'C) Estimación Costos Directos'!H465+'C) Estimación Costos Directos'!H478+'C) Estimación Costos Directos'!H479</f>
        <v>7727750.6099999994</v>
      </c>
      <c r="G15" s="529">
        <v>0</v>
      </c>
      <c r="H15" s="529">
        <f>'C) Estimación Costos Directos'!H457+'C) Estimación Costos Directos'!H506</f>
        <v>4100000</v>
      </c>
      <c r="I15" s="530">
        <f>+'C) Estimación Costos Directos'!H512-E15-F15-G15-H15</f>
        <v>11301360.08928572</v>
      </c>
      <c r="J15" s="530">
        <f>SUM(E15:I15)</f>
        <v>46409008.249285713</v>
      </c>
      <c r="K15" s="530">
        <f>IFERROR(+'D) Costos Indirectos '!$AN$15*O15,0)</f>
        <v>0</v>
      </c>
      <c r="L15" s="531">
        <f t="shared" si="2"/>
        <v>46409008.249285713</v>
      </c>
      <c r="M15" s="333">
        <f t="shared" si="0"/>
        <v>-39801133.249285713</v>
      </c>
      <c r="N15" s="334">
        <f t="shared" si="3"/>
        <v>-39801133.249285713</v>
      </c>
      <c r="O15" s="335">
        <v>0</v>
      </c>
      <c r="P15" s="714"/>
    </row>
    <row r="16" spans="1:16" x14ac:dyDescent="0.35">
      <c r="A16" s="416" t="str">
        <f>+'B) Reajuste Tarifas y Ocupación'!A40</f>
        <v>Quinchos y Canchas 
C.R. Faro Tumbes</v>
      </c>
      <c r="B16" s="336">
        <f>+I149</f>
        <v>14081100</v>
      </c>
      <c r="C16" s="339">
        <f>+H149</f>
        <v>0</v>
      </c>
      <c r="D16" s="338">
        <f t="shared" si="4"/>
        <v>14081100</v>
      </c>
      <c r="E16" s="330">
        <f>+'C) Estimación Costos Directos'!H516</f>
        <v>33704127.360206246</v>
      </c>
      <c r="F16" s="330">
        <f>+'C) Estimación Costos Directos'!H531+'C) Estimación Costos Directos'!H532+'C) Estimación Costos Directos'!H536+'C) Estimación Costos Directos'!H557+'C) Estimación Costos Directos'!H527+'C) Estimación Costos Directos'!H533+'C) Estimación Costos Directos'!H534+'C) Estimación Costos Directos'!H535+'C) Estimación Costos Directos'!H537+'C) Estimación Costos Directos'!H550+'C) Estimación Costos Directos'!H551</f>
        <v>4610432.4750000006</v>
      </c>
      <c r="G16" s="330">
        <v>0</v>
      </c>
      <c r="H16" s="330">
        <f>'C) Estimación Costos Directos'!H529+'C) Estimación Costos Directos'!H578</f>
        <v>3837740.4249999998</v>
      </c>
      <c r="I16" s="331">
        <f>+'C) Estimación Costos Directos'!H584-E16-F16-G16-H16</f>
        <v>8129700.9999999972</v>
      </c>
      <c r="J16" s="331">
        <f t="shared" si="1"/>
        <v>50282001.260206245</v>
      </c>
      <c r="K16" s="331">
        <f>IFERROR(+'D) Costos Indirectos '!$AN$15*O16,0)</f>
        <v>3296713.3230822524</v>
      </c>
      <c r="L16" s="332">
        <f t="shared" si="2"/>
        <v>53578714.583288498</v>
      </c>
      <c r="M16" s="333">
        <f t="shared" si="0"/>
        <v>-39497614.583288498</v>
      </c>
      <c r="N16" s="334">
        <f t="shared" si="3"/>
        <v>-36200901.260206245</v>
      </c>
      <c r="O16" s="335">
        <v>0.02</v>
      </c>
      <c r="P16" s="714"/>
    </row>
    <row r="17" spans="1:16" x14ac:dyDescent="0.35">
      <c r="A17" s="329" t="s">
        <v>18</v>
      </c>
      <c r="B17" s="336">
        <f>+H159</f>
        <v>257102059</v>
      </c>
      <c r="C17" s="337"/>
      <c r="D17" s="338">
        <f t="shared" si="4"/>
        <v>257102059</v>
      </c>
      <c r="E17" s="330">
        <f>+'C) Estimación Costos Directos'!H588</f>
        <v>134694055.93749997</v>
      </c>
      <c r="F17" s="330">
        <f>+'C) Estimación Costos Directos'!H603+'C) Estimación Costos Directos'!H604+'C) Estimación Costos Directos'!H605+'C) Estimación Costos Directos'!H608+'C) Estimación Costos Directos'!H609+'C) Estimación Costos Directos'!H623+'C) Estimación Costos Directos'!H629+'C) Estimación Costos Directos'!H599+'C) Estimación Costos Directos'!H606+'C) Estimación Costos Directos'!H607+'C) Estimación Costos Directos'!H622</f>
        <v>14561259.114890728</v>
      </c>
      <c r="G17" s="330">
        <v>0</v>
      </c>
      <c r="H17" s="330">
        <f>'C) Estimación Costos Directos'!H601+'C) Estimación Costos Directos'!H650</f>
        <v>3703267.5750000002</v>
      </c>
      <c r="I17" s="331">
        <f>+'C) Estimación Costos Directos'!H656-E17-F17-G17-H17</f>
        <v>182771806.60000002</v>
      </c>
      <c r="J17" s="331">
        <f t="shared" si="1"/>
        <v>335730389.22739071</v>
      </c>
      <c r="K17" s="331">
        <f>IFERROR(+'D) Costos Indirectos '!$AN$15*O17,0)</f>
        <v>51099056.507774904</v>
      </c>
      <c r="L17" s="332">
        <f t="shared" si="2"/>
        <v>386829445.7351656</v>
      </c>
      <c r="M17" s="333">
        <f t="shared" si="0"/>
        <v>-129727386.7351656</v>
      </c>
      <c r="N17" s="334">
        <f t="shared" si="3"/>
        <v>-78628330.227390707</v>
      </c>
      <c r="O17" s="335">
        <v>0.31</v>
      </c>
      <c r="P17" s="714"/>
    </row>
    <row r="18" spans="1:16" x14ac:dyDescent="0.35">
      <c r="A18" s="329" t="s">
        <v>19</v>
      </c>
      <c r="B18" s="336">
        <f>+H164</f>
        <v>28649372</v>
      </c>
      <c r="C18" s="339"/>
      <c r="D18" s="338">
        <f t="shared" si="4"/>
        <v>28649372</v>
      </c>
      <c r="E18" s="330">
        <f>+'C) Estimación Costos Directos'!H660</f>
        <v>29667298.289999999</v>
      </c>
      <c r="F18" s="330">
        <f>+'C) Estimación Costos Directos'!H675+'C) Estimación Costos Directos'!H676+'C) Estimación Costos Directos'!H680+'C) Estimación Costos Directos'!H681+'C) Estimación Costos Directos'!H695+'C) Estimación Costos Directos'!H701+'C) Estimación Costos Directos'!H671+'C) Estimación Costos Directos'!H677+'C) Estimación Costos Directos'!H678+'C) Estimación Costos Directos'!H679+'C) Estimación Costos Directos'!H694</f>
        <v>4898397.05</v>
      </c>
      <c r="G18" s="330">
        <v>0</v>
      </c>
      <c r="H18" s="330">
        <f>'C) Estimación Costos Directos'!H673+'C) Estimación Costos Directos'!H722</f>
        <v>1321390.3500000001</v>
      </c>
      <c r="I18" s="331">
        <f>+'C) Estimación Costos Directos'!H728-E18-F18-G18-H18</f>
        <v>3409941.1750000031</v>
      </c>
      <c r="J18" s="331">
        <f t="shared" si="1"/>
        <v>39297026.865000002</v>
      </c>
      <c r="K18" s="331">
        <f>IFERROR(+'D) Costos Indirectos '!$AN$15*O18,0)</f>
        <v>4945069.9846233781</v>
      </c>
      <c r="L18" s="332">
        <f t="shared" si="2"/>
        <v>44242096.849623382</v>
      </c>
      <c r="M18" s="333">
        <f t="shared" si="0"/>
        <v>-15592724.849623382</v>
      </c>
      <c r="N18" s="334">
        <f t="shared" si="3"/>
        <v>-10647654.865000002</v>
      </c>
      <c r="O18" s="335">
        <v>0.03</v>
      </c>
      <c r="P18" s="714"/>
    </row>
    <row r="19" spans="1:16" x14ac:dyDescent="0.35">
      <c r="A19" s="505" t="s">
        <v>20</v>
      </c>
      <c r="B19" s="510">
        <f>+H169</f>
        <v>14559257</v>
      </c>
      <c r="C19" s="511"/>
      <c r="D19" s="512">
        <f t="shared" si="4"/>
        <v>14559257</v>
      </c>
      <c r="E19" s="330">
        <f>+'C) Estimación Costos Directos'!H732</f>
        <v>37019708.504999995</v>
      </c>
      <c r="F19" s="330">
        <f>+'C) Estimación Costos Directos'!H747+'C) Estimación Costos Directos'!H773+'C) Estimación Costos Directos'!H743+'C) Estimación Costos Directos'!H748+'C) Estimación Costos Directos'!H749+'C) Estimación Costos Directos'!H750+'C) Estimación Costos Directos'!H751+'C) Estimación Costos Directos'!H752+'C) Estimación Costos Directos'!H753+'C) Estimación Costos Directos'!H766+'C) Estimación Costos Directos'!H767</f>
        <v>3444305.519232207</v>
      </c>
      <c r="G19" s="330">
        <v>0</v>
      </c>
      <c r="H19" s="330">
        <f>'C) Estimación Costos Directos'!H745+'C) Estimación Costos Directos'!H794</f>
        <v>0</v>
      </c>
      <c r="I19" s="331">
        <f>+'C) Estimación Costos Directos'!H800-E19-F19-G19-H19</f>
        <v>4733061.6499999976</v>
      </c>
      <c r="J19" s="331">
        <f t="shared" si="1"/>
        <v>45197075.6742322</v>
      </c>
      <c r="K19" s="331">
        <f>IFERROR(+'D) Costos Indirectos '!$AN$15*O19,0)</f>
        <v>6593426.6461645048</v>
      </c>
      <c r="L19" s="332">
        <f>+J19+K19</f>
        <v>51790502.320396706</v>
      </c>
      <c r="M19" s="333">
        <f t="shared" si="0"/>
        <v>-37231245.320396706</v>
      </c>
      <c r="N19" s="334">
        <f t="shared" si="3"/>
        <v>-30637818.6742322</v>
      </c>
      <c r="O19" s="335">
        <v>0.04</v>
      </c>
      <c r="P19" s="714"/>
    </row>
    <row r="20" spans="1:16" x14ac:dyDescent="0.35">
      <c r="A20" s="515" t="s">
        <v>339</v>
      </c>
      <c r="B20" s="516">
        <f>H172</f>
        <v>98961418</v>
      </c>
      <c r="C20" s="517"/>
      <c r="D20" s="338">
        <f t="shared" si="4"/>
        <v>98961418</v>
      </c>
      <c r="E20" s="506">
        <f>'C) Estimación Costos Directos'!H804</f>
        <v>53499219.880000003</v>
      </c>
      <c r="F20" s="506">
        <f>SUM('C) Estimación Costos Directos'!H815+'C) Estimación Costos Directos'!H819+'C) Estimación Costos Directos'!H820+'C) Estimación Costos Directos'!H821+'C) Estimación Costos Directos'!H822+'C) Estimación Costos Directos'!H823+'C) Estimación Costos Directos'!H824+'C) Estimación Costos Directos'!H825+'C) Estimación Costos Directos'!H845+'C) Estimación Costos Directos'!H838+'C) Estimación Costos Directos'!H839)</f>
        <v>1907129.9000000001</v>
      </c>
      <c r="G20" s="506">
        <f>'C) Estimación Costos Directos'!H860</f>
        <v>0</v>
      </c>
      <c r="H20" s="506">
        <f>'C) Estimación Costos Directos'!H817+'C) Estimación Costos Directos'!H866</f>
        <v>1140895.3500000001</v>
      </c>
      <c r="I20" s="507">
        <f>'C) Estimación Costos Directos'!H872-E20-F20-G20-H20</f>
        <v>46917857.024999999</v>
      </c>
      <c r="J20" s="331">
        <f>SUM(E20:I20)</f>
        <v>103465102.155</v>
      </c>
      <c r="K20" s="331">
        <f>IFERROR(+'D) Costos Indirectos '!$AN$15*O20,0)</f>
        <v>11538496.630787883</v>
      </c>
      <c r="L20" s="332">
        <f>+J20+K20</f>
        <v>115003598.78578788</v>
      </c>
      <c r="M20" s="333">
        <f t="shared" si="0"/>
        <v>-16042180.78578788</v>
      </c>
      <c r="N20" s="334">
        <f>D20-J20</f>
        <v>-4503684.1550000012</v>
      </c>
      <c r="O20" s="508">
        <v>7.0000000000000007E-2</v>
      </c>
      <c r="P20" s="714"/>
    </row>
    <row r="21" spans="1:16" ht="15" thickBot="1" x14ac:dyDescent="0.4">
      <c r="A21" s="513" t="s">
        <v>21</v>
      </c>
      <c r="B21" s="514">
        <f t="shared" ref="B21:O21" si="5">SUM(B9:B20)</f>
        <v>1149357656</v>
      </c>
      <c r="C21" s="514">
        <f t="shared" si="5"/>
        <v>235720900.00000003</v>
      </c>
      <c r="D21" s="514">
        <f t="shared" si="5"/>
        <v>1385078556</v>
      </c>
      <c r="E21" s="340">
        <f t="shared" si="5"/>
        <v>631242285.55708122</v>
      </c>
      <c r="F21" s="340">
        <f t="shared" si="5"/>
        <v>130045261.69021238</v>
      </c>
      <c r="G21" s="340">
        <f t="shared" si="5"/>
        <v>0</v>
      </c>
      <c r="H21" s="340">
        <f t="shared" si="5"/>
        <v>43908317.424999997</v>
      </c>
      <c r="I21" s="340">
        <f>SUM(I9:I20)</f>
        <v>500319163.8692857</v>
      </c>
      <c r="J21" s="340">
        <f t="shared" si="5"/>
        <v>1305515028.5415792</v>
      </c>
      <c r="K21" s="340">
        <f t="shared" si="5"/>
        <v>164835666.15411258</v>
      </c>
      <c r="L21" s="340">
        <f t="shared" si="5"/>
        <v>1470350694.6956918</v>
      </c>
      <c r="M21" s="340">
        <f t="shared" si="5"/>
        <v>-85272138.695691809</v>
      </c>
      <c r="N21" s="340">
        <f t="shared" si="5"/>
        <v>79563527.458420739</v>
      </c>
      <c r="O21" s="518">
        <f t="shared" si="5"/>
        <v>1.0000000000000002</v>
      </c>
      <c r="P21" s="713"/>
    </row>
    <row r="22" spans="1:16" x14ac:dyDescent="0.35">
      <c r="A22" s="3"/>
      <c r="B22" s="10"/>
      <c r="C22" s="10"/>
      <c r="D22" s="10"/>
      <c r="E22" s="9">
        <f>E21/D21</f>
        <v>0.45574475384274249</v>
      </c>
      <c r="F22" s="9"/>
      <c r="G22" s="9"/>
      <c r="H22" s="9"/>
      <c r="I22" s="9"/>
      <c r="J22" s="10"/>
      <c r="K22" s="10"/>
      <c r="L22" s="10"/>
      <c r="M22" s="10"/>
      <c r="N22" s="535"/>
      <c r="O22" s="9"/>
    </row>
    <row r="23" spans="1:16" x14ac:dyDescent="0.35">
      <c r="A23" s="3"/>
      <c r="B23" s="10"/>
      <c r="C23" s="10"/>
      <c r="D23" s="10"/>
      <c r="E23" s="10"/>
      <c r="F23" s="10"/>
      <c r="G23" s="10"/>
      <c r="H23" s="10"/>
      <c r="I23" s="10"/>
      <c r="J23" s="10"/>
      <c r="K23" s="10" t="s">
        <v>22</v>
      </c>
      <c r="L23" s="10"/>
      <c r="M23" s="10">
        <v>53000000</v>
      </c>
      <c r="N23" s="10">
        <v>53000000</v>
      </c>
      <c r="O23" s="9"/>
    </row>
    <row r="24" spans="1:16" x14ac:dyDescent="0.35">
      <c r="A24" s="3"/>
      <c r="B24" s="10"/>
      <c r="C24" s="10"/>
      <c r="D24" s="10"/>
      <c r="E24" s="10"/>
      <c r="F24" s="10"/>
      <c r="G24" s="10"/>
      <c r="H24" s="10"/>
      <c r="I24" s="10"/>
      <c r="J24" s="10"/>
      <c r="K24" s="10" t="s">
        <v>23</v>
      </c>
      <c r="L24" s="10"/>
      <c r="M24" s="1515">
        <f>+M21+M23</f>
        <v>-32272138.695691809</v>
      </c>
      <c r="N24" s="10">
        <f>+N21+N23</f>
        <v>132563527.45842074</v>
      </c>
      <c r="O24" s="9"/>
    </row>
    <row r="25" spans="1:16" x14ac:dyDescent="0.35">
      <c r="A25" s="3"/>
      <c r="B25" s="10"/>
      <c r="C25" s="10"/>
      <c r="D25" s="10"/>
      <c r="E25" s="10"/>
      <c r="F25" s="10"/>
      <c r="G25" s="10"/>
      <c r="H25" s="10"/>
      <c r="I25" s="10"/>
      <c r="J25" s="10"/>
      <c r="K25" s="10"/>
      <c r="L25" s="10"/>
      <c r="M25" s="10"/>
      <c r="N25" s="915"/>
      <c r="O25" s="9"/>
    </row>
    <row r="26" spans="1:16" x14ac:dyDescent="0.35">
      <c r="A26" s="916"/>
      <c r="B26" s="916"/>
      <c r="C26" s="10"/>
      <c r="D26" s="10"/>
      <c r="E26" s="10"/>
      <c r="F26" s="10"/>
      <c r="G26" s="10"/>
      <c r="H26" s="10"/>
      <c r="I26" s="10"/>
      <c r="J26" s="10"/>
      <c r="K26" s="10"/>
      <c r="L26" s="10"/>
      <c r="M26" s="2"/>
      <c r="N26" s="2"/>
      <c r="O26" s="2"/>
    </row>
    <row r="27" spans="1:16" x14ac:dyDescent="0.35">
      <c r="A27" s="1181" t="s">
        <v>24</v>
      </c>
      <c r="B27" s="1181"/>
      <c r="C27" s="1181"/>
      <c r="D27" s="1181"/>
      <c r="E27" s="10"/>
      <c r="F27" s="10"/>
      <c r="G27" s="10"/>
      <c r="H27" s="10"/>
      <c r="I27" s="10"/>
      <c r="J27" s="10"/>
      <c r="K27" s="731"/>
      <c r="L27" s="2"/>
      <c r="M27" s="917"/>
      <c r="N27" s="2"/>
      <c r="O27" s="2"/>
    </row>
    <row r="28" spans="1:16" x14ac:dyDescent="0.35">
      <c r="A28" s="2"/>
      <c r="B28" s="2"/>
      <c r="C28" s="2"/>
      <c r="D28" s="2"/>
      <c r="E28" s="2"/>
      <c r="F28" s="2"/>
      <c r="G28" s="2"/>
      <c r="H28" s="11"/>
      <c r="I28" s="11"/>
      <c r="J28" s="731"/>
      <c r="K28" s="918"/>
      <c r="L28" s="919"/>
      <c r="M28" s="12"/>
      <c r="N28" s="12"/>
      <c r="O28" s="12"/>
    </row>
    <row r="29" spans="1:16" ht="15.5" x14ac:dyDescent="0.35">
      <c r="A29" s="1182" t="s">
        <v>25</v>
      </c>
      <c r="B29" s="1182" t="s">
        <v>26</v>
      </c>
      <c r="C29" s="1184" t="s">
        <v>27</v>
      </c>
      <c r="D29" s="1186" t="s">
        <v>493</v>
      </c>
      <c r="E29" s="1186"/>
      <c r="F29" s="1186"/>
      <c r="G29" s="1186"/>
      <c r="H29" s="1187" t="s">
        <v>28</v>
      </c>
      <c r="I29" s="1196" t="s">
        <v>4</v>
      </c>
      <c r="J29" s="1196" t="s">
        <v>29</v>
      </c>
      <c r="K29" s="13"/>
      <c r="L29" s="12"/>
      <c r="M29" s="12"/>
      <c r="N29" s="12"/>
      <c r="O29" s="12"/>
    </row>
    <row r="30" spans="1:16" x14ac:dyDescent="0.35">
      <c r="A30" s="1182"/>
      <c r="B30" s="1183"/>
      <c r="C30" s="1185"/>
      <c r="D30" s="14" t="s">
        <v>30</v>
      </c>
      <c r="E30" s="14" t="s">
        <v>31</v>
      </c>
      <c r="F30" s="14" t="s">
        <v>32</v>
      </c>
      <c r="G30" s="14" t="s">
        <v>33</v>
      </c>
      <c r="H30" s="1188"/>
      <c r="I30" s="1188"/>
      <c r="J30" s="1188"/>
      <c r="K30" s="15"/>
    </row>
    <row r="31" spans="1:16" x14ac:dyDescent="0.35">
      <c r="A31" s="1189" t="str">
        <f>+'B) Reajuste Tarifas y Ocupación'!A12</f>
        <v>C. H. Carlos Condell</v>
      </c>
      <c r="B31" s="1192" t="str">
        <f>+'B) Reajuste Tarifas y Ocupación'!B12</f>
        <v>Superior</v>
      </c>
      <c r="C31" s="16" t="s">
        <v>497</v>
      </c>
      <c r="D31" s="17">
        <f>+'B) Reajuste Tarifas y Ocupación'!J12</f>
        <v>42600</v>
      </c>
      <c r="E31" s="17">
        <f>+'B) Reajuste Tarifas y Ocupación'!K12</f>
        <v>65500</v>
      </c>
      <c r="F31" s="17">
        <f>+'B) Reajuste Tarifas y Ocupación'!L12</f>
        <v>81700</v>
      </c>
      <c r="G31" s="17">
        <f>+'B) Reajuste Tarifas y Ocupación'!M12</f>
        <v>85300</v>
      </c>
      <c r="H31" s="1166"/>
      <c r="I31" s="1166"/>
      <c r="J31" s="1167"/>
      <c r="K31" s="18"/>
      <c r="N31" s="5" t="s">
        <v>34</v>
      </c>
    </row>
    <row r="32" spans="1:16" x14ac:dyDescent="0.35">
      <c r="A32" s="1190"/>
      <c r="B32" s="1193"/>
      <c r="C32" s="16" t="s">
        <v>35</v>
      </c>
      <c r="D32" s="19">
        <f>+'B) Reajuste Tarifas y Ocupación'!U12</f>
        <v>145</v>
      </c>
      <c r="E32" s="19">
        <f>+'B) Reajuste Tarifas y Ocupación'!V12</f>
        <v>77</v>
      </c>
      <c r="F32" s="19">
        <f>+'B) Reajuste Tarifas y Ocupación'!W12</f>
        <v>62</v>
      </c>
      <c r="G32" s="19">
        <f>+'B) Reajuste Tarifas y Ocupación'!X12</f>
        <v>5</v>
      </c>
      <c r="H32" s="1195"/>
      <c r="I32" s="1195"/>
      <c r="J32" s="1175"/>
      <c r="K32" s="10"/>
    </row>
    <row r="33" spans="1:11" x14ac:dyDescent="0.35">
      <c r="A33" s="1190"/>
      <c r="B33" s="1194"/>
      <c r="C33" s="20" t="s">
        <v>36</v>
      </c>
      <c r="D33" s="21">
        <f>D32*D31</f>
        <v>6177000</v>
      </c>
      <c r="E33" s="21">
        <f>E32*E31</f>
        <v>5043500</v>
      </c>
      <c r="F33" s="21">
        <f>F32*F31</f>
        <v>5065400</v>
      </c>
      <c r="G33" s="21">
        <f>G32*G31</f>
        <v>426500</v>
      </c>
      <c r="H33" s="22">
        <f>(E31-D31)*D32</f>
        <v>3320500</v>
      </c>
      <c r="I33" s="22">
        <f>SUM(D33:G33)</f>
        <v>16712400</v>
      </c>
      <c r="J33" s="22">
        <f>H33+I33</f>
        <v>20032900</v>
      </c>
      <c r="K33" s="15"/>
    </row>
    <row r="34" spans="1:11" x14ac:dyDescent="0.35">
      <c r="A34" s="1190"/>
      <c r="B34" s="1192" t="str">
        <f>+'B) Reajuste Tarifas y Ocupación'!B13</f>
        <v>Simple</v>
      </c>
      <c r="C34" s="16" t="s">
        <v>497</v>
      </c>
      <c r="D34" s="23">
        <f>+'B) Reajuste Tarifas y Ocupación'!J13</f>
        <v>30600</v>
      </c>
      <c r="E34" s="23">
        <f>+'B) Reajuste Tarifas y Ocupación'!K13</f>
        <v>47000</v>
      </c>
      <c r="F34" s="23">
        <f>+'B) Reajuste Tarifas y Ocupación'!L13</f>
        <v>58500</v>
      </c>
      <c r="G34" s="23">
        <f>+'B) Reajuste Tarifas y Ocupación'!M13</f>
        <v>61200</v>
      </c>
      <c r="H34" s="1176"/>
      <c r="I34" s="1176"/>
      <c r="J34" s="1177"/>
      <c r="K34" s="18"/>
    </row>
    <row r="35" spans="1:11" x14ac:dyDescent="0.35">
      <c r="A35" s="1190"/>
      <c r="B35" s="1193"/>
      <c r="C35" s="16" t="s">
        <v>35</v>
      </c>
      <c r="D35" s="24">
        <f>+'B) Reajuste Tarifas y Ocupación'!U13</f>
        <v>498</v>
      </c>
      <c r="E35" s="24">
        <f>+'B) Reajuste Tarifas y Ocupación'!V13</f>
        <v>100</v>
      </c>
      <c r="F35" s="24">
        <f>+'B) Reajuste Tarifas y Ocupación'!W13</f>
        <v>56</v>
      </c>
      <c r="G35" s="24">
        <f>+'B) Reajuste Tarifas y Ocupación'!X13</f>
        <v>12</v>
      </c>
      <c r="H35" s="1166"/>
      <c r="I35" s="1166"/>
      <c r="J35" s="1167"/>
      <c r="K35" s="10"/>
    </row>
    <row r="36" spans="1:11" x14ac:dyDescent="0.35">
      <c r="A36" s="1190"/>
      <c r="B36" s="1194"/>
      <c r="C36" s="20" t="s">
        <v>36</v>
      </c>
      <c r="D36" s="21">
        <f>D35*D34</f>
        <v>15238800</v>
      </c>
      <c r="E36" s="21">
        <f>E35*E34</f>
        <v>4700000</v>
      </c>
      <c r="F36" s="21">
        <f>F35*F34</f>
        <v>3276000</v>
      </c>
      <c r="G36" s="21">
        <f>G35*G34</f>
        <v>734400</v>
      </c>
      <c r="H36" s="22">
        <f>(E34-D34)*D35</f>
        <v>8167200</v>
      </c>
      <c r="I36" s="22">
        <f>SUM(D36:G36)</f>
        <v>23949200</v>
      </c>
      <c r="J36" s="22">
        <f>H36+I36</f>
        <v>32116400</v>
      </c>
      <c r="K36" s="15"/>
    </row>
    <row r="37" spans="1:11" x14ac:dyDescent="0.35">
      <c r="A37" s="1190"/>
      <c r="B37" s="1192" t="str">
        <f>+'B) Reajuste Tarifas y Ocupación'!B14</f>
        <v>Doble</v>
      </c>
      <c r="C37" s="16" t="s">
        <v>497</v>
      </c>
      <c r="D37" s="25">
        <f>+'B) Reajuste Tarifas y Ocupación'!J14</f>
        <v>33400</v>
      </c>
      <c r="E37" s="25">
        <f>+'B) Reajuste Tarifas y Ocupación'!K14</f>
        <v>51300</v>
      </c>
      <c r="F37" s="25">
        <f>+'B) Reajuste Tarifas y Ocupación'!L14</f>
        <v>63800</v>
      </c>
      <c r="G37" s="25">
        <f>+'B) Reajuste Tarifas y Ocupación'!M14</f>
        <v>66700</v>
      </c>
      <c r="H37" s="1166"/>
      <c r="I37" s="1166"/>
      <c r="J37" s="1167"/>
      <c r="K37" s="18"/>
    </row>
    <row r="38" spans="1:11" x14ac:dyDescent="0.35">
      <c r="A38" s="1190"/>
      <c r="B38" s="1193"/>
      <c r="C38" s="16" t="s">
        <v>35</v>
      </c>
      <c r="D38" s="24">
        <f>+'B) Reajuste Tarifas y Ocupación'!U14</f>
        <v>298</v>
      </c>
      <c r="E38" s="24">
        <f>+'B) Reajuste Tarifas y Ocupación'!V14</f>
        <v>49</v>
      </c>
      <c r="F38" s="24">
        <f>+'B) Reajuste Tarifas y Ocupación'!W14</f>
        <v>49</v>
      </c>
      <c r="G38" s="24">
        <f>+'B) Reajuste Tarifas y Ocupación'!X14</f>
        <v>8</v>
      </c>
      <c r="H38" s="1166"/>
      <c r="I38" s="1166"/>
      <c r="J38" s="1167"/>
      <c r="K38" s="10"/>
    </row>
    <row r="39" spans="1:11" x14ac:dyDescent="0.35">
      <c r="A39" s="1190"/>
      <c r="B39" s="1194"/>
      <c r="C39" s="20" t="s">
        <v>36</v>
      </c>
      <c r="D39" s="21">
        <f>D38*D37</f>
        <v>9953200</v>
      </c>
      <c r="E39" s="21">
        <f>E38*E37</f>
        <v>2513700</v>
      </c>
      <c r="F39" s="21">
        <f>F38*F37</f>
        <v>3126200</v>
      </c>
      <c r="G39" s="21">
        <f>G38*G37</f>
        <v>533600</v>
      </c>
      <c r="H39" s="22">
        <f>(E37-D37)*D38</f>
        <v>5334200</v>
      </c>
      <c r="I39" s="22">
        <f>SUM(D39:G39)</f>
        <v>16126700</v>
      </c>
      <c r="J39" s="22">
        <f>H39+I39</f>
        <v>21460900</v>
      </c>
      <c r="K39" s="15"/>
    </row>
    <row r="40" spans="1:11" ht="15" customHeight="1" x14ac:dyDescent="0.35">
      <c r="A40" s="1190"/>
      <c r="B40" s="1192" t="str">
        <f>+'B) Reajuste Tarifas y Ocupación'!B15</f>
        <v>Matrimonial</v>
      </c>
      <c r="C40" s="16" t="s">
        <v>497</v>
      </c>
      <c r="D40" s="25">
        <f>+'B) Reajuste Tarifas y Ocupación'!J15</f>
        <v>33400</v>
      </c>
      <c r="E40" s="25">
        <f>+'B) Reajuste Tarifas y Ocupación'!K15</f>
        <v>51300</v>
      </c>
      <c r="F40" s="25">
        <f>+'B) Reajuste Tarifas y Ocupación'!L15</f>
        <v>63800</v>
      </c>
      <c r="G40" s="25">
        <f>+'B) Reajuste Tarifas y Ocupación'!M15</f>
        <v>66700</v>
      </c>
      <c r="H40" s="1166"/>
      <c r="I40" s="1166"/>
      <c r="J40" s="1167"/>
      <c r="K40" s="18"/>
    </row>
    <row r="41" spans="1:11" x14ac:dyDescent="0.35">
      <c r="A41" s="1190"/>
      <c r="B41" s="1193"/>
      <c r="C41" s="16" t="s">
        <v>35</v>
      </c>
      <c r="D41" s="24">
        <f>+'B) Reajuste Tarifas y Ocupación'!U15</f>
        <v>256</v>
      </c>
      <c r="E41" s="24">
        <f>+'B) Reajuste Tarifas y Ocupación'!V15</f>
        <v>30</v>
      </c>
      <c r="F41" s="24">
        <f>+'B) Reajuste Tarifas y Ocupación'!W15</f>
        <v>50</v>
      </c>
      <c r="G41" s="24">
        <f>+'B) Reajuste Tarifas y Ocupación'!X15</f>
        <v>5</v>
      </c>
      <c r="H41" s="1166"/>
      <c r="I41" s="1166"/>
      <c r="J41" s="1167"/>
      <c r="K41" s="10"/>
    </row>
    <row r="42" spans="1:11" x14ac:dyDescent="0.35">
      <c r="A42" s="1190"/>
      <c r="B42" s="1194"/>
      <c r="C42" s="20" t="s">
        <v>36</v>
      </c>
      <c r="D42" s="21">
        <f>D41*D40</f>
        <v>8550400</v>
      </c>
      <c r="E42" s="21">
        <f>E41*E40</f>
        <v>1539000</v>
      </c>
      <c r="F42" s="21">
        <f>F41*F40</f>
        <v>3190000</v>
      </c>
      <c r="G42" s="21">
        <f>G41*G40</f>
        <v>333500</v>
      </c>
      <c r="H42" s="22">
        <f>(E40-D40)*D41</f>
        <v>4582400</v>
      </c>
      <c r="I42" s="22">
        <f>SUM(D42:G42)</f>
        <v>13612900</v>
      </c>
      <c r="J42" s="22">
        <f>H42+I42</f>
        <v>18195300</v>
      </c>
      <c r="K42" s="15"/>
    </row>
    <row r="43" spans="1:11" x14ac:dyDescent="0.35">
      <c r="A43" s="1190"/>
      <c r="B43" s="1197" t="str">
        <f>+'B) Reajuste Tarifas y Ocupación'!B16</f>
        <v xml:space="preserve">Uso en transito/Early check in/Late Check out </v>
      </c>
      <c r="C43" s="1173"/>
      <c r="D43" s="1173"/>
      <c r="E43" s="1173"/>
      <c r="F43" s="1173"/>
      <c r="G43" s="1173"/>
      <c r="H43" s="1166"/>
      <c r="I43" s="1166"/>
      <c r="J43" s="1167"/>
      <c r="K43" s="18"/>
    </row>
    <row r="44" spans="1:11" x14ac:dyDescent="0.35">
      <c r="A44" s="1190"/>
      <c r="B44" s="1198"/>
      <c r="C44" s="1174"/>
      <c r="D44" s="1174"/>
      <c r="E44" s="1174"/>
      <c r="F44" s="1174"/>
      <c r="G44" s="1174"/>
      <c r="H44" s="1166"/>
      <c r="I44" s="1166"/>
      <c r="J44" s="1167"/>
      <c r="K44" s="10"/>
    </row>
    <row r="45" spans="1:11" x14ac:dyDescent="0.35">
      <c r="A45" s="1190"/>
      <c r="B45" s="1199"/>
      <c r="C45" s="26"/>
      <c r="D45" s="26"/>
      <c r="E45" s="26"/>
      <c r="F45" s="26"/>
      <c r="G45" s="26"/>
      <c r="H45" s="22">
        <f>(E43-D43)*D44</f>
        <v>0</v>
      </c>
      <c r="I45" s="22">
        <f>SUM(D45:G45)</f>
        <v>0</v>
      </c>
      <c r="J45" s="22">
        <f>H45+I45</f>
        <v>0</v>
      </c>
      <c r="K45" s="15"/>
    </row>
    <row r="46" spans="1:11" x14ac:dyDescent="0.35">
      <c r="A46" s="1190"/>
      <c r="B46" s="1170" t="str">
        <f>+'B) Reajuste Tarifas y Ocupación'!B17</f>
        <v>Superior</v>
      </c>
      <c r="C46" s="16" t="s">
        <v>497</v>
      </c>
      <c r="D46" s="1173"/>
      <c r="E46" s="17">
        <f>+'B) Reajuste Tarifas y Ocupación'!K17</f>
        <v>19700</v>
      </c>
      <c r="F46" s="17">
        <f>+'B) Reajuste Tarifas y Ocupación'!L17</f>
        <v>24600</v>
      </c>
      <c r="G46" s="17">
        <f>+'B) Reajuste Tarifas y Ocupación'!M17</f>
        <v>25600</v>
      </c>
      <c r="H46" s="1166"/>
      <c r="I46" s="1166"/>
      <c r="J46" s="1167"/>
      <c r="K46" s="18"/>
    </row>
    <row r="47" spans="1:11" x14ac:dyDescent="0.35">
      <c r="A47" s="1190"/>
      <c r="B47" s="1171"/>
      <c r="C47" s="16" t="s">
        <v>35</v>
      </c>
      <c r="D47" s="1174"/>
      <c r="E47" s="19">
        <f>+'B) Reajuste Tarifas y Ocupación'!V17</f>
        <v>0</v>
      </c>
      <c r="F47" s="19">
        <f>+'B) Reajuste Tarifas y Ocupación'!W17</f>
        <v>0</v>
      </c>
      <c r="G47" s="19">
        <f>+'B) Reajuste Tarifas y Ocupación'!X17</f>
        <v>0</v>
      </c>
      <c r="H47" s="1166"/>
      <c r="I47" s="1166"/>
      <c r="J47" s="1167"/>
      <c r="K47" s="10"/>
    </row>
    <row r="48" spans="1:11" x14ac:dyDescent="0.35">
      <c r="A48" s="1190"/>
      <c r="B48" s="1172"/>
      <c r="C48" s="20" t="s">
        <v>36</v>
      </c>
      <c r="D48" s="26"/>
      <c r="E48" s="21">
        <f>E47*E46</f>
        <v>0</v>
      </c>
      <c r="F48" s="21">
        <f>F47*F46</f>
        <v>0</v>
      </c>
      <c r="G48" s="21">
        <f>G47*G46</f>
        <v>0</v>
      </c>
      <c r="H48" s="22">
        <f>(E46-D46)*D47</f>
        <v>0</v>
      </c>
      <c r="I48" s="22">
        <f>SUM(D48:G48)</f>
        <v>0</v>
      </c>
      <c r="J48" s="22">
        <f>H48+I48</f>
        <v>0</v>
      </c>
      <c r="K48" s="15"/>
    </row>
    <row r="49" spans="1:11" x14ac:dyDescent="0.35">
      <c r="A49" s="1190"/>
      <c r="B49" s="1170" t="str">
        <f>+'B) Reajuste Tarifas y Ocupación'!B18</f>
        <v>Simple</v>
      </c>
      <c r="C49" s="16" t="s">
        <v>497</v>
      </c>
      <c r="D49" s="1173"/>
      <c r="E49" s="25">
        <f>+'B) Reajuste Tarifas y Ocupación'!K18</f>
        <v>14100</v>
      </c>
      <c r="F49" s="25">
        <f>+'B) Reajuste Tarifas y Ocupación'!L18</f>
        <v>17600</v>
      </c>
      <c r="G49" s="25">
        <f>+'B) Reajuste Tarifas y Ocupación'!M18</f>
        <v>18400</v>
      </c>
      <c r="H49" s="1166"/>
      <c r="I49" s="1166"/>
      <c r="J49" s="1167"/>
      <c r="K49" s="18"/>
    </row>
    <row r="50" spans="1:11" x14ac:dyDescent="0.35">
      <c r="A50" s="1190"/>
      <c r="B50" s="1171"/>
      <c r="C50" s="16" t="s">
        <v>35</v>
      </c>
      <c r="D50" s="1174"/>
      <c r="E50" s="24">
        <f>+'B) Reajuste Tarifas y Ocupación'!V18</f>
        <v>0</v>
      </c>
      <c r="F50" s="24">
        <f>+'B) Reajuste Tarifas y Ocupación'!W18</f>
        <v>0</v>
      </c>
      <c r="G50" s="24">
        <f>+'B) Reajuste Tarifas y Ocupación'!X18</f>
        <v>0</v>
      </c>
      <c r="H50" s="1166"/>
      <c r="I50" s="1166"/>
      <c r="J50" s="1167"/>
      <c r="K50" s="10"/>
    </row>
    <row r="51" spans="1:11" x14ac:dyDescent="0.35">
      <c r="A51" s="1190"/>
      <c r="B51" s="1172"/>
      <c r="C51" s="20" t="s">
        <v>36</v>
      </c>
      <c r="D51" s="26"/>
      <c r="E51" s="21">
        <f>E50*E49</f>
        <v>0</v>
      </c>
      <c r="F51" s="21">
        <f>F50*F49</f>
        <v>0</v>
      </c>
      <c r="G51" s="21">
        <f>G50*G49</f>
        <v>0</v>
      </c>
      <c r="H51" s="22">
        <f>(E49-D49)*D50</f>
        <v>0</v>
      </c>
      <c r="I51" s="22">
        <f>SUM(D51:G51)</f>
        <v>0</v>
      </c>
      <c r="J51" s="22">
        <f>H51+I51</f>
        <v>0</v>
      </c>
      <c r="K51" s="15"/>
    </row>
    <row r="52" spans="1:11" x14ac:dyDescent="0.35">
      <c r="A52" s="1190"/>
      <c r="B52" s="1170" t="str">
        <f>+'B) Reajuste Tarifas y Ocupación'!B19</f>
        <v>Doble</v>
      </c>
      <c r="C52" s="16" t="s">
        <v>497</v>
      </c>
      <c r="D52" s="1173"/>
      <c r="E52" s="25">
        <f>+'B) Reajuste Tarifas y Ocupación'!K19</f>
        <v>15400</v>
      </c>
      <c r="F52" s="25">
        <f>+'B) Reajuste Tarifas y Ocupación'!L19</f>
        <v>19200</v>
      </c>
      <c r="G52" s="25">
        <f>+'B) Reajuste Tarifas y Ocupación'!M19</f>
        <v>20100</v>
      </c>
      <c r="H52" s="1166"/>
      <c r="I52" s="1166"/>
      <c r="J52" s="1167"/>
      <c r="K52" s="18"/>
    </row>
    <row r="53" spans="1:11" x14ac:dyDescent="0.35">
      <c r="A53" s="1190"/>
      <c r="B53" s="1171"/>
      <c r="C53" s="16" t="s">
        <v>35</v>
      </c>
      <c r="D53" s="1174"/>
      <c r="E53" s="24">
        <f>+'B) Reajuste Tarifas y Ocupación'!V19</f>
        <v>0</v>
      </c>
      <c r="F53" s="24">
        <f>+'B) Reajuste Tarifas y Ocupación'!W19</f>
        <v>0</v>
      </c>
      <c r="G53" s="24">
        <f>+'B) Reajuste Tarifas y Ocupación'!X19</f>
        <v>0</v>
      </c>
      <c r="H53" s="1166"/>
      <c r="I53" s="1166"/>
      <c r="J53" s="1167"/>
      <c r="K53" s="10"/>
    </row>
    <row r="54" spans="1:11" x14ac:dyDescent="0.35">
      <c r="A54" s="1190"/>
      <c r="B54" s="1172"/>
      <c r="C54" s="20" t="s">
        <v>36</v>
      </c>
      <c r="D54" s="26"/>
      <c r="E54" s="21">
        <f>E53*E52</f>
        <v>0</v>
      </c>
      <c r="F54" s="21">
        <f>F53*F52</f>
        <v>0</v>
      </c>
      <c r="G54" s="21">
        <f>G53*G52</f>
        <v>0</v>
      </c>
      <c r="H54" s="22">
        <f>(E52-D52)*D53</f>
        <v>0</v>
      </c>
      <c r="I54" s="22">
        <f>SUM(D54:G54)</f>
        <v>0</v>
      </c>
      <c r="J54" s="22">
        <f>H54+I54</f>
        <v>0</v>
      </c>
      <c r="K54" s="15"/>
    </row>
    <row r="55" spans="1:11" x14ac:dyDescent="0.35">
      <c r="A55" s="1190"/>
      <c r="B55" s="1170" t="str">
        <f>+'B) Reajuste Tarifas y Ocupación'!B20</f>
        <v>Matrimonial</v>
      </c>
      <c r="C55" s="16" t="s">
        <v>497</v>
      </c>
      <c r="D55" s="1173"/>
      <c r="E55" s="25">
        <f>+'B) Reajuste Tarifas y Ocupación'!K20</f>
        <v>15400</v>
      </c>
      <c r="F55" s="25">
        <f>+'B) Reajuste Tarifas y Ocupación'!L20</f>
        <v>19200</v>
      </c>
      <c r="G55" s="25">
        <f>+'B) Reajuste Tarifas y Ocupación'!M20</f>
        <v>20100</v>
      </c>
      <c r="H55" s="1166"/>
      <c r="I55" s="1166"/>
      <c r="J55" s="1167"/>
      <c r="K55" s="18"/>
    </row>
    <row r="56" spans="1:11" x14ac:dyDescent="0.35">
      <c r="A56" s="1190"/>
      <c r="B56" s="1171"/>
      <c r="C56" s="16" t="s">
        <v>35</v>
      </c>
      <c r="D56" s="1174"/>
      <c r="E56" s="24">
        <f>+'B) Reajuste Tarifas y Ocupación'!V20</f>
        <v>0</v>
      </c>
      <c r="F56" s="24">
        <f>+'B) Reajuste Tarifas y Ocupación'!W20</f>
        <v>0</v>
      </c>
      <c r="G56" s="24">
        <f>+'B) Reajuste Tarifas y Ocupación'!X20</f>
        <v>0</v>
      </c>
      <c r="H56" s="1166"/>
      <c r="I56" s="1166"/>
      <c r="J56" s="1167"/>
      <c r="K56" s="10"/>
    </row>
    <row r="57" spans="1:11" x14ac:dyDescent="0.35">
      <c r="A57" s="1190"/>
      <c r="B57" s="1172"/>
      <c r="C57" s="20" t="s">
        <v>36</v>
      </c>
      <c r="D57" s="26"/>
      <c r="E57" s="21">
        <f>E56*E55</f>
        <v>0</v>
      </c>
      <c r="F57" s="21">
        <f>F56*F55</f>
        <v>0</v>
      </c>
      <c r="G57" s="21">
        <f>G56*G55</f>
        <v>0</v>
      </c>
      <c r="H57" s="22">
        <f>(E55-D55)*D56</f>
        <v>0</v>
      </c>
      <c r="I57" s="22">
        <f>SUM(D57:G57)</f>
        <v>0</v>
      </c>
      <c r="J57" s="22">
        <f>H57+I57</f>
        <v>0</v>
      </c>
      <c r="K57" s="27"/>
    </row>
    <row r="58" spans="1:11" x14ac:dyDescent="0.35">
      <c r="A58" s="1191"/>
      <c r="B58" s="1168" t="s">
        <v>37</v>
      </c>
      <c r="C58" s="1169"/>
      <c r="D58" s="28">
        <f>+D33+D36+D39+D42+D45+D48+D51+D54+D57</f>
        <v>39919400</v>
      </c>
      <c r="E58" s="28">
        <f t="shared" ref="E58:J58" si="6">+E33+E36+E39+E42+E45+E48+E51+E54+E57</f>
        <v>13796200</v>
      </c>
      <c r="F58" s="28">
        <f t="shared" si="6"/>
        <v>14657600</v>
      </c>
      <c r="G58" s="28">
        <f t="shared" si="6"/>
        <v>2028000</v>
      </c>
      <c r="H58" s="28">
        <f>+H33+H36+H39+H42+H45+H48+H51+H54+H57</f>
        <v>21404300</v>
      </c>
      <c r="I58" s="28">
        <f>+I33+I36+I39+I42+I45+I48+I51+I54+I57</f>
        <v>70401200</v>
      </c>
      <c r="J58" s="28">
        <f t="shared" si="6"/>
        <v>91805500</v>
      </c>
    </row>
    <row r="59" spans="1:11" x14ac:dyDescent="0.35">
      <c r="A59" s="1189" t="str">
        <f>+'B) Reajuste Tarifas y Ocupación'!A21</f>
        <v>Centro Termal Liquiñe</v>
      </c>
      <c r="B59" s="1192" t="str">
        <f>+'B) Reajuste Tarifas y Ocupación'!B21</f>
        <v>Pensión completa adulto</v>
      </c>
      <c r="C59" s="16" t="s">
        <v>497</v>
      </c>
      <c r="D59" s="23">
        <f>+'B) Reajuste Tarifas y Ocupación'!J21</f>
        <v>46700</v>
      </c>
      <c r="E59" s="23">
        <f>+'B) Reajuste Tarifas y Ocupación'!K21</f>
        <v>71700</v>
      </c>
      <c r="F59" s="23">
        <f>+'B) Reajuste Tarifas y Ocupación'!L21</f>
        <v>93900</v>
      </c>
      <c r="G59" s="23">
        <f>+'B) Reajuste Tarifas y Ocupación'!M21</f>
        <v>98200</v>
      </c>
      <c r="H59" s="1176"/>
      <c r="I59" s="1176"/>
      <c r="J59" s="1177"/>
    </row>
    <row r="60" spans="1:11" x14ac:dyDescent="0.35">
      <c r="A60" s="1190"/>
      <c r="B60" s="1193"/>
      <c r="C60" s="16" t="s">
        <v>35</v>
      </c>
      <c r="D60" s="19">
        <f>+'B) Reajuste Tarifas y Ocupación'!U21</f>
        <v>6347.0000000000009</v>
      </c>
      <c r="E60" s="19">
        <f>+'B) Reajuste Tarifas y Ocupación'!V21</f>
        <v>2407.9</v>
      </c>
      <c r="F60" s="19">
        <f>+'B) Reajuste Tarifas y Ocupación'!W21</f>
        <v>335.5</v>
      </c>
      <c r="G60" s="19">
        <f>+'B) Reajuste Tarifas y Ocupación'!X21</f>
        <v>5.5</v>
      </c>
      <c r="H60" s="1195"/>
      <c r="I60" s="1195"/>
      <c r="J60" s="1175"/>
    </row>
    <row r="61" spans="1:11" x14ac:dyDescent="0.35">
      <c r="A61" s="1190"/>
      <c r="B61" s="1194"/>
      <c r="C61" s="20" t="s">
        <v>36</v>
      </c>
      <c r="D61" s="21">
        <f>D60*D59</f>
        <v>296404900.00000006</v>
      </c>
      <c r="E61" s="21">
        <f>E60*E59</f>
        <v>172646430</v>
      </c>
      <c r="F61" s="21">
        <f>F60*F59</f>
        <v>31503450</v>
      </c>
      <c r="G61" s="21">
        <f>G60*G59</f>
        <v>540100</v>
      </c>
      <c r="H61" s="22">
        <f>(E59-D59)*D60</f>
        <v>158675000.00000003</v>
      </c>
      <c r="I61" s="22">
        <f>SUM(D61:G61)</f>
        <v>501094880.00000006</v>
      </c>
      <c r="J61" s="22">
        <f>H61+I61</f>
        <v>659769880.00000012</v>
      </c>
    </row>
    <row r="62" spans="1:11" x14ac:dyDescent="0.35">
      <c r="A62" s="1190"/>
      <c r="B62" s="1192" t="str">
        <f>+'B) Reajuste Tarifas y Ocupación'!B22</f>
        <v>Pensión completa niño</v>
      </c>
      <c r="C62" s="16" t="s">
        <v>497</v>
      </c>
      <c r="D62" s="23">
        <f>+'B) Reajuste Tarifas y Ocupación'!J22</f>
        <v>21400</v>
      </c>
      <c r="E62" s="23">
        <f>+'B) Reajuste Tarifas y Ocupación'!K22</f>
        <v>32900</v>
      </c>
      <c r="F62" s="23">
        <f>+'B) Reajuste Tarifas y Ocupación'!L22</f>
        <v>41000</v>
      </c>
      <c r="G62" s="23">
        <f>+'B) Reajuste Tarifas y Ocupación'!M22</f>
        <v>42900</v>
      </c>
      <c r="H62" s="1176"/>
      <c r="I62" s="1176"/>
      <c r="J62" s="1177"/>
    </row>
    <row r="63" spans="1:11" x14ac:dyDescent="0.35">
      <c r="A63" s="1190"/>
      <c r="B63" s="1193"/>
      <c r="C63" s="16" t="s">
        <v>35</v>
      </c>
      <c r="D63" s="19">
        <f>+'B) Reajuste Tarifas y Ocupación'!U22</f>
        <v>895</v>
      </c>
      <c r="E63" s="19">
        <f>+'B) Reajuste Tarifas y Ocupación'!V22</f>
        <v>152</v>
      </c>
      <c r="F63" s="19">
        <f>+'B) Reajuste Tarifas y Ocupación'!W22</f>
        <v>23</v>
      </c>
      <c r="G63" s="19">
        <f>+'B) Reajuste Tarifas y Ocupación'!X22</f>
        <v>0</v>
      </c>
      <c r="H63" s="1195"/>
      <c r="I63" s="1195"/>
      <c r="J63" s="1175"/>
    </row>
    <row r="64" spans="1:11" x14ac:dyDescent="0.35">
      <c r="A64" s="1190"/>
      <c r="B64" s="1194"/>
      <c r="C64" s="20" t="s">
        <v>36</v>
      </c>
      <c r="D64" s="21">
        <f>D63*D62</f>
        <v>19153000</v>
      </c>
      <c r="E64" s="21">
        <f>E63*E62</f>
        <v>5000800</v>
      </c>
      <c r="F64" s="21">
        <f>F63*F62</f>
        <v>943000</v>
      </c>
      <c r="G64" s="21">
        <f>G63*G62</f>
        <v>0</v>
      </c>
      <c r="H64" s="22">
        <f>(E62-D62)*D63</f>
        <v>10292500</v>
      </c>
      <c r="I64" s="22">
        <f>SUM(D64:G64)</f>
        <v>25096800</v>
      </c>
      <c r="J64" s="22">
        <f>H64+I64</f>
        <v>35389300</v>
      </c>
    </row>
    <row r="65" spans="1:10" x14ac:dyDescent="0.35">
      <c r="A65" s="1190"/>
      <c r="B65" s="1192" t="str">
        <f>+'B) Reajuste Tarifas y Ocupación'!B23</f>
        <v>Alojamiento sin pensión</v>
      </c>
      <c r="C65" s="16" t="s">
        <v>497</v>
      </c>
      <c r="D65" s="23">
        <f>+'B) Reajuste Tarifas y Ocupación'!J23</f>
        <v>28200</v>
      </c>
      <c r="E65" s="23">
        <f>+'B) Reajuste Tarifas y Ocupación'!K23</f>
        <v>43300</v>
      </c>
      <c r="F65" s="23">
        <f>+'B) Reajuste Tarifas y Ocupación'!L23</f>
        <v>54000</v>
      </c>
      <c r="G65" s="23">
        <f>+'B) Reajuste Tarifas y Ocupación'!M23</f>
        <v>56500</v>
      </c>
      <c r="H65" s="1176"/>
      <c r="I65" s="1176"/>
      <c r="J65" s="1177"/>
    </row>
    <row r="66" spans="1:10" x14ac:dyDescent="0.35">
      <c r="A66" s="1190"/>
      <c r="B66" s="1193"/>
      <c r="C66" s="16" t="s">
        <v>35</v>
      </c>
      <c r="D66" s="19">
        <f>+'B) Reajuste Tarifas y Ocupación'!U23</f>
        <v>0</v>
      </c>
      <c r="E66" s="19">
        <f>+'B) Reajuste Tarifas y Ocupación'!V23</f>
        <v>0</v>
      </c>
      <c r="F66" s="19">
        <f>+'B) Reajuste Tarifas y Ocupación'!W23</f>
        <v>0</v>
      </c>
      <c r="G66" s="19">
        <f>+'B) Reajuste Tarifas y Ocupación'!X23</f>
        <v>0</v>
      </c>
      <c r="H66" s="1195"/>
      <c r="I66" s="1195"/>
      <c r="J66" s="1175"/>
    </row>
    <row r="67" spans="1:10" x14ac:dyDescent="0.35">
      <c r="A67" s="1190"/>
      <c r="B67" s="1194"/>
      <c r="C67" s="20" t="s">
        <v>36</v>
      </c>
      <c r="D67" s="21">
        <f>D66*D65</f>
        <v>0</v>
      </c>
      <c r="E67" s="21">
        <f>E66*E65</f>
        <v>0</v>
      </c>
      <c r="F67" s="21">
        <f>F66*F65</f>
        <v>0</v>
      </c>
      <c r="G67" s="21">
        <f>G66*G65</f>
        <v>0</v>
      </c>
      <c r="H67" s="22">
        <f>(E65-D65)*D66</f>
        <v>0</v>
      </c>
      <c r="I67" s="22">
        <f>SUM(D67:G67)</f>
        <v>0</v>
      </c>
      <c r="J67" s="22">
        <f>H67+I67</f>
        <v>0</v>
      </c>
    </row>
    <row r="68" spans="1:10" x14ac:dyDescent="0.35">
      <c r="A68" s="1190"/>
      <c r="B68" s="1192" t="str">
        <f>+'B) Reajuste Tarifas y Ocupación'!B24</f>
        <v>Pasante (almuerzo)</v>
      </c>
      <c r="C68" s="16" t="s">
        <v>497</v>
      </c>
      <c r="D68" s="1173"/>
      <c r="E68" s="23">
        <f>+'B) Reajuste Tarifas y Ocupación'!K24</f>
        <v>15800</v>
      </c>
      <c r="F68" s="23">
        <f>+'B) Reajuste Tarifas y Ocupación'!L24</f>
        <v>19700</v>
      </c>
      <c r="G68" s="23">
        <f>+'B) Reajuste Tarifas y Ocupación'!M24</f>
        <v>20500</v>
      </c>
      <c r="H68" s="1176"/>
      <c r="I68" s="1176"/>
      <c r="J68" s="1177"/>
    </row>
    <row r="69" spans="1:10" x14ac:dyDescent="0.35">
      <c r="A69" s="1190"/>
      <c r="B69" s="1193"/>
      <c r="C69" s="16" t="s">
        <v>35</v>
      </c>
      <c r="D69" s="1174"/>
      <c r="E69" s="19">
        <f>+'B) Reajuste Tarifas y Ocupación'!V24</f>
        <v>304.70000000000005</v>
      </c>
      <c r="F69" s="19">
        <f>+'B) Reajuste Tarifas y Ocupación'!W24</f>
        <v>48.400000000000006</v>
      </c>
      <c r="G69" s="19">
        <f>+'B) Reajuste Tarifas y Ocupación'!X24</f>
        <v>11</v>
      </c>
      <c r="H69" s="1195"/>
      <c r="I69" s="1195"/>
      <c r="J69" s="1175"/>
    </row>
    <row r="70" spans="1:10" x14ac:dyDescent="0.35">
      <c r="A70" s="1190"/>
      <c r="B70" s="1194"/>
      <c r="C70" s="20" t="s">
        <v>36</v>
      </c>
      <c r="D70" s="26"/>
      <c r="E70" s="21">
        <f>E69*E68</f>
        <v>4814260.0000000009</v>
      </c>
      <c r="F70" s="21">
        <f>F69*F68</f>
        <v>953480.00000000012</v>
      </c>
      <c r="G70" s="21">
        <f>G69*G68</f>
        <v>225500</v>
      </c>
      <c r="H70" s="22">
        <f>(E68-D68)*D69</f>
        <v>0</v>
      </c>
      <c r="I70" s="22">
        <f>SUM(D70:G70)</f>
        <v>5993240.0000000009</v>
      </c>
      <c r="J70" s="22">
        <f>H70+I70</f>
        <v>5993240.0000000009</v>
      </c>
    </row>
    <row r="71" spans="1:10" x14ac:dyDescent="0.35">
      <c r="A71" s="1190"/>
      <c r="B71" s="1192" t="str">
        <f>+'B) Reajuste Tarifas y Ocupación'!B25</f>
        <v>Piscina aduto</v>
      </c>
      <c r="C71" s="16" t="s">
        <v>497</v>
      </c>
      <c r="D71" s="1173"/>
      <c r="E71" s="23">
        <f>+'B) Reajuste Tarifas y Ocupación'!K25</f>
        <v>5700</v>
      </c>
      <c r="F71" s="23">
        <f>+'B) Reajuste Tarifas y Ocupación'!L25</f>
        <v>7100</v>
      </c>
      <c r="G71" s="23">
        <f>+'B) Reajuste Tarifas y Ocupación'!M25</f>
        <v>7400</v>
      </c>
      <c r="H71" s="1176"/>
      <c r="I71" s="1176"/>
      <c r="J71" s="1177"/>
    </row>
    <row r="72" spans="1:10" x14ac:dyDescent="0.35">
      <c r="A72" s="1190"/>
      <c r="B72" s="1193"/>
      <c r="C72" s="16" t="s">
        <v>35</v>
      </c>
      <c r="D72" s="1174"/>
      <c r="E72" s="19">
        <f>+'B) Reajuste Tarifas y Ocupación'!V25</f>
        <v>200.20000000000002</v>
      </c>
      <c r="F72" s="19">
        <f>+'B) Reajuste Tarifas y Ocupación'!W25</f>
        <v>127.60000000000001</v>
      </c>
      <c r="G72" s="19">
        <f>+'B) Reajuste Tarifas y Ocupación'!X25</f>
        <v>0</v>
      </c>
      <c r="H72" s="1195"/>
      <c r="I72" s="1195"/>
      <c r="J72" s="1175"/>
    </row>
    <row r="73" spans="1:10" x14ac:dyDescent="0.35">
      <c r="A73" s="1190"/>
      <c r="B73" s="1194"/>
      <c r="C73" s="20" t="s">
        <v>36</v>
      </c>
      <c r="D73" s="26"/>
      <c r="E73" s="21">
        <f>E72*E71</f>
        <v>1141140</v>
      </c>
      <c r="F73" s="21">
        <f>F72*F71</f>
        <v>905960.00000000012</v>
      </c>
      <c r="G73" s="21">
        <f>G72*G71</f>
        <v>0</v>
      </c>
      <c r="H73" s="22">
        <f>(E71-D71)*D72</f>
        <v>0</v>
      </c>
      <c r="I73" s="22">
        <f>SUM(D73:G73)</f>
        <v>2047100</v>
      </c>
      <c r="J73" s="22">
        <f>H73+I73</f>
        <v>2047100</v>
      </c>
    </row>
    <row r="74" spans="1:10" x14ac:dyDescent="0.35">
      <c r="A74" s="1190"/>
      <c r="B74" s="1192" t="str">
        <f>+'B) Reajuste Tarifas y Ocupación'!B26</f>
        <v>Piscina niños</v>
      </c>
      <c r="C74" s="16" t="s">
        <v>497</v>
      </c>
      <c r="D74" s="1173"/>
      <c r="E74" s="23">
        <f>+'B) Reajuste Tarifas y Ocupación'!K26</f>
        <v>4100</v>
      </c>
      <c r="F74" s="23">
        <f>+'B) Reajuste Tarifas y Ocupación'!L26</f>
        <v>5200</v>
      </c>
      <c r="G74" s="23">
        <f>+'B) Reajuste Tarifas y Ocupación'!M26</f>
        <v>5400</v>
      </c>
      <c r="H74" s="1176"/>
      <c r="I74" s="1176"/>
      <c r="J74" s="1177"/>
    </row>
    <row r="75" spans="1:10" x14ac:dyDescent="0.35">
      <c r="A75" s="1190"/>
      <c r="B75" s="1193"/>
      <c r="C75" s="16" t="s">
        <v>35</v>
      </c>
      <c r="D75" s="1174"/>
      <c r="E75" s="19">
        <f>+'B) Reajuste Tarifas y Ocupación'!V26</f>
        <v>321.20000000000005</v>
      </c>
      <c r="F75" s="19">
        <f>+'B) Reajuste Tarifas y Ocupación'!W26</f>
        <v>193.60000000000002</v>
      </c>
      <c r="G75" s="19">
        <f>+'B) Reajuste Tarifas y Ocupación'!X26</f>
        <v>0</v>
      </c>
      <c r="H75" s="1166"/>
      <c r="I75" s="1166"/>
      <c r="J75" s="1167"/>
    </row>
    <row r="76" spans="1:10" x14ac:dyDescent="0.35">
      <c r="A76" s="1190"/>
      <c r="B76" s="1194"/>
      <c r="C76" s="20" t="s">
        <v>36</v>
      </c>
      <c r="D76" s="26"/>
      <c r="E76" s="21">
        <f>E75*E74</f>
        <v>1316920.0000000002</v>
      </c>
      <c r="F76" s="21">
        <f>F75*F74</f>
        <v>1006720.0000000001</v>
      </c>
      <c r="G76" s="21">
        <f>G75*G74</f>
        <v>0</v>
      </c>
      <c r="H76" s="22">
        <f>(E74-D74)*D75</f>
        <v>0</v>
      </c>
      <c r="I76" s="22">
        <f>SUM(D76:G76)</f>
        <v>2323640.0000000005</v>
      </c>
      <c r="J76" s="22">
        <f>H76+I76</f>
        <v>2323640.0000000005</v>
      </c>
    </row>
    <row r="77" spans="1:10" x14ac:dyDescent="0.35">
      <c r="A77" s="1190"/>
      <c r="B77" s="1200" t="str">
        <f>+'B) Reajuste Tarifas y Ocupación'!B27</f>
        <v>Cabaña VIP (día)</v>
      </c>
      <c r="C77" s="16" t="s">
        <v>497</v>
      </c>
      <c r="D77" s="23">
        <f>+'B) Reajuste Tarifas y Ocupación'!J27</f>
        <v>88800</v>
      </c>
      <c r="E77" s="23">
        <f>+'B) Reajuste Tarifas y Ocupación'!K27</f>
        <v>136600</v>
      </c>
      <c r="F77" s="23">
        <f>+'B) Reajuste Tarifas y Ocupación'!L27</f>
        <v>178800</v>
      </c>
      <c r="G77" s="23">
        <f>+'B) Reajuste Tarifas y Ocupación'!M27</f>
        <v>187000</v>
      </c>
      <c r="H77" s="1195"/>
      <c r="I77" s="1195"/>
      <c r="J77" s="1175"/>
    </row>
    <row r="78" spans="1:10" x14ac:dyDescent="0.35">
      <c r="A78" s="1190"/>
      <c r="B78" s="1201"/>
      <c r="C78" s="16" t="s">
        <v>35</v>
      </c>
      <c r="D78" s="19">
        <f>+'B) Reajuste Tarifas y Ocupación'!U27</f>
        <v>52.5</v>
      </c>
      <c r="E78" s="19">
        <f>+'B) Reajuste Tarifas y Ocupación'!V27</f>
        <v>6</v>
      </c>
      <c r="F78" s="19">
        <f>+'B) Reajuste Tarifas y Ocupación'!W27</f>
        <v>5</v>
      </c>
      <c r="G78" s="19">
        <f>+'B) Reajuste Tarifas y Ocupación'!X27</f>
        <v>2</v>
      </c>
      <c r="H78" s="1176"/>
      <c r="I78" s="1176"/>
      <c r="J78" s="1177"/>
    </row>
    <row r="79" spans="1:10" x14ac:dyDescent="0.35">
      <c r="A79" s="1190"/>
      <c r="B79" s="1202"/>
      <c r="C79" s="20" t="s">
        <v>36</v>
      </c>
      <c r="D79" s="21">
        <f>D78*D77</f>
        <v>4662000</v>
      </c>
      <c r="E79" s="21">
        <f>E78*E77</f>
        <v>819600</v>
      </c>
      <c r="F79" s="21">
        <f>F78*F77</f>
        <v>894000</v>
      </c>
      <c r="G79" s="21">
        <f>G78*G77</f>
        <v>374000</v>
      </c>
      <c r="H79" s="22">
        <f>(E77-D77)*D78</f>
        <v>2509500</v>
      </c>
      <c r="I79" s="22">
        <f>SUM(D79:G79)</f>
        <v>6749600</v>
      </c>
      <c r="J79" s="22">
        <f>H79+I79</f>
        <v>9259100</v>
      </c>
    </row>
    <row r="80" spans="1:10" x14ac:dyDescent="0.35">
      <c r="A80" s="1191"/>
      <c r="B80" s="1168" t="s">
        <v>37</v>
      </c>
      <c r="C80" s="1169"/>
      <c r="D80" s="28">
        <f t="shared" ref="D80:I80" si="7">+D61+D64+D67+D70+D73+D76+D79</f>
        <v>320219900.00000006</v>
      </c>
      <c r="E80" s="28">
        <f t="shared" si="7"/>
        <v>185739150</v>
      </c>
      <c r="F80" s="28">
        <f t="shared" si="7"/>
        <v>36206610</v>
      </c>
      <c r="G80" s="28">
        <f>+G61+G64+G67+G70+G73+G76+G79</f>
        <v>1139600</v>
      </c>
      <c r="H80" s="28">
        <f t="shared" si="7"/>
        <v>171477000.00000003</v>
      </c>
      <c r="I80" s="28">
        <f t="shared" si="7"/>
        <v>543305260</v>
      </c>
      <c r="J80" s="28">
        <f>+J61+J64+J67+J70+J73+J76+J79</f>
        <v>714782260.00000012</v>
      </c>
    </row>
    <row r="81" spans="1:10" x14ac:dyDescent="0.35">
      <c r="A81" s="1189" t="str">
        <f>+'B) Reajuste Tarifas y Ocupación'!A28</f>
        <v>Cabañas C.N.C. Tumbes</v>
      </c>
      <c r="B81" s="1192" t="str">
        <f>+'B) Reajuste Tarifas y Ocupación'!B28</f>
        <v>Cabañas - día/cabaña</v>
      </c>
      <c r="C81" s="16" t="s">
        <v>497</v>
      </c>
      <c r="D81" s="23">
        <f>+'B) Reajuste Tarifas y Ocupación'!J28</f>
        <v>54700</v>
      </c>
      <c r="E81" s="23">
        <f>+'B) Reajuste Tarifas y Ocupación'!K28</f>
        <v>84100</v>
      </c>
      <c r="F81" s="23">
        <f>+'B) Reajuste Tarifas y Ocupación'!L28</f>
        <v>110100</v>
      </c>
      <c r="G81" s="23">
        <f>+'B) Reajuste Tarifas y Ocupación'!M28</f>
        <v>115100</v>
      </c>
      <c r="H81" s="1176"/>
      <c r="I81" s="1176"/>
      <c r="J81" s="1177"/>
    </row>
    <row r="82" spans="1:10" x14ac:dyDescent="0.35">
      <c r="A82" s="1190"/>
      <c r="B82" s="1193"/>
      <c r="C82" s="16" t="s">
        <v>35</v>
      </c>
      <c r="D82" s="19">
        <f>+'B) Reajuste Tarifas y Ocupación'!U28</f>
        <v>532</v>
      </c>
      <c r="E82" s="19">
        <f>+'B) Reajuste Tarifas y Ocupación'!V28</f>
        <v>91</v>
      </c>
      <c r="F82" s="19">
        <f>+'B) Reajuste Tarifas y Ocupación'!W28</f>
        <v>77.7</v>
      </c>
      <c r="G82" s="19">
        <f>+'B) Reajuste Tarifas y Ocupación'!X28</f>
        <v>3.1500000000000004</v>
      </c>
      <c r="H82" s="1195"/>
      <c r="I82" s="1195"/>
      <c r="J82" s="1175"/>
    </row>
    <row r="83" spans="1:10" x14ac:dyDescent="0.35">
      <c r="A83" s="1190"/>
      <c r="B83" s="1194"/>
      <c r="C83" s="20" t="s">
        <v>36</v>
      </c>
      <c r="D83" s="21">
        <f>D82*D81</f>
        <v>29100400</v>
      </c>
      <c r="E83" s="21">
        <f>E82*E81</f>
        <v>7653100</v>
      </c>
      <c r="F83" s="21">
        <f>F82*F81</f>
        <v>8554770</v>
      </c>
      <c r="G83" s="21">
        <f>G82*G81</f>
        <v>362565.00000000006</v>
      </c>
      <c r="H83" s="22">
        <f>(E81-D81)*D82</f>
        <v>15640800</v>
      </c>
      <c r="I83" s="22">
        <f>SUM(D83:G83)</f>
        <v>45670835</v>
      </c>
      <c r="J83" s="22">
        <f>H83+I83</f>
        <v>61311635</v>
      </c>
    </row>
    <row r="84" spans="1:10" x14ac:dyDescent="0.35">
      <c r="A84" s="1190"/>
      <c r="B84" s="1197" t="str">
        <f>+'B) Reajuste Tarifas y Ocupación'!B29</f>
        <v xml:space="preserve">Uso en transito/Early check in/Late Check out </v>
      </c>
      <c r="C84" s="29"/>
      <c r="D84" s="29"/>
      <c r="E84" s="29"/>
      <c r="F84" s="29"/>
      <c r="G84" s="29"/>
      <c r="H84" s="1176"/>
      <c r="I84" s="1176"/>
      <c r="J84" s="1177"/>
    </row>
    <row r="85" spans="1:10" x14ac:dyDescent="0.35">
      <c r="A85" s="1190"/>
      <c r="B85" s="1198"/>
      <c r="C85" s="30"/>
      <c r="D85" s="30"/>
      <c r="E85" s="30"/>
      <c r="F85" s="30"/>
      <c r="G85" s="30"/>
      <c r="H85" s="1166"/>
      <c r="I85" s="1166"/>
      <c r="J85" s="1167"/>
    </row>
    <row r="86" spans="1:10" x14ac:dyDescent="0.35">
      <c r="A86" s="1190"/>
      <c r="B86" s="1199"/>
      <c r="C86" s="26"/>
      <c r="D86" s="26"/>
      <c r="E86" s="26"/>
      <c r="F86" s="26"/>
      <c r="G86" s="26"/>
      <c r="H86" s="22">
        <f>(E84-D84)*D85</f>
        <v>0</v>
      </c>
      <c r="I86" s="22">
        <f>SUM(D86:G86)</f>
        <v>0</v>
      </c>
      <c r="J86" s="22">
        <f>H86+I86</f>
        <v>0</v>
      </c>
    </row>
    <row r="87" spans="1:10" x14ac:dyDescent="0.35">
      <c r="A87" s="1190"/>
      <c r="B87" s="1170" t="str">
        <f>+'B) Reajuste Tarifas y Ocupación'!B30</f>
        <v>Cabañas - día/cabaña</v>
      </c>
      <c r="C87" s="16" t="s">
        <v>497</v>
      </c>
      <c r="D87" s="1173"/>
      <c r="E87" s="23">
        <f>+'B) Reajuste Tarifas y Ocupación'!K30</f>
        <v>25300</v>
      </c>
      <c r="F87" s="23">
        <f>+'B) Reajuste Tarifas y Ocupación'!L30</f>
        <v>33100</v>
      </c>
      <c r="G87" s="23">
        <f>+'B) Reajuste Tarifas y Ocupación'!M30</f>
        <v>34600</v>
      </c>
      <c r="H87" s="1176"/>
      <c r="I87" s="1176"/>
      <c r="J87" s="1177"/>
    </row>
    <row r="88" spans="1:10" x14ac:dyDescent="0.35">
      <c r="A88" s="1190"/>
      <c r="B88" s="1171"/>
      <c r="C88" s="16" t="s">
        <v>35</v>
      </c>
      <c r="D88" s="1174"/>
      <c r="E88" s="24">
        <f>+'B) Reajuste Tarifas y Ocupación'!V30</f>
        <v>0</v>
      </c>
      <c r="F88" s="24">
        <f>+'B) Reajuste Tarifas y Ocupación'!W30</f>
        <v>0</v>
      </c>
      <c r="G88" s="24">
        <f>+'B) Reajuste Tarifas y Ocupación'!X30</f>
        <v>0</v>
      </c>
      <c r="H88" s="1166"/>
      <c r="I88" s="1166"/>
      <c r="J88" s="1167"/>
    </row>
    <row r="89" spans="1:10" x14ac:dyDescent="0.35">
      <c r="A89" s="1190"/>
      <c r="B89" s="1172"/>
      <c r="C89" s="20" t="s">
        <v>36</v>
      </c>
      <c r="D89" s="26"/>
      <c r="E89" s="21">
        <f>E88*E87</f>
        <v>0</v>
      </c>
      <c r="F89" s="21">
        <f>F88*F87</f>
        <v>0</v>
      </c>
      <c r="G89" s="21">
        <f>G88*G87</f>
        <v>0</v>
      </c>
      <c r="H89" s="22">
        <f>(E87-D87)*D88</f>
        <v>0</v>
      </c>
      <c r="I89" s="22">
        <f>SUM(D89:G89)</f>
        <v>0</v>
      </c>
      <c r="J89" s="22">
        <f>H89+I89</f>
        <v>0</v>
      </c>
    </row>
    <row r="90" spans="1:10" x14ac:dyDescent="0.35">
      <c r="A90" s="1190"/>
      <c r="B90" s="1168" t="s">
        <v>37</v>
      </c>
      <c r="C90" s="1169"/>
      <c r="D90" s="28">
        <f t="shared" ref="D90:J90" si="8">+D83+D86+D89</f>
        <v>29100400</v>
      </c>
      <c r="E90" s="28">
        <f t="shared" si="8"/>
        <v>7653100</v>
      </c>
      <c r="F90" s="28">
        <f t="shared" si="8"/>
        <v>8554770</v>
      </c>
      <c r="G90" s="28">
        <f t="shared" si="8"/>
        <v>362565.00000000006</v>
      </c>
      <c r="H90" s="28">
        <f t="shared" si="8"/>
        <v>15640800</v>
      </c>
      <c r="I90" s="28">
        <f t="shared" si="8"/>
        <v>45670835</v>
      </c>
      <c r="J90" s="28">
        <f t="shared" si="8"/>
        <v>61311635</v>
      </c>
    </row>
    <row r="91" spans="1:10" x14ac:dyDescent="0.35">
      <c r="A91" s="1204" t="str">
        <f>+'B) Reajuste Tarifas y Ocupación'!A31</f>
        <v>Piscina C.N.C. Tumbes</v>
      </c>
      <c r="B91" s="1205" t="str">
        <f>+'B) Reajuste Tarifas y Ocupación'!B31</f>
        <v>Piscina adultos</v>
      </c>
      <c r="C91" s="16" t="s">
        <v>497</v>
      </c>
      <c r="D91" s="1173"/>
      <c r="E91" s="23">
        <f>+'B) Reajuste Tarifas y Ocupación'!K31</f>
        <v>5500</v>
      </c>
      <c r="F91" s="23">
        <f>+'B) Reajuste Tarifas y Ocupación'!L31</f>
        <v>6800</v>
      </c>
      <c r="G91" s="23">
        <f>+'B) Reajuste Tarifas y Ocupación'!M31</f>
        <v>7200</v>
      </c>
      <c r="H91" s="1176"/>
      <c r="I91" s="1176"/>
      <c r="J91" s="1177"/>
    </row>
    <row r="92" spans="1:10" x14ac:dyDescent="0.35">
      <c r="A92" s="1204"/>
      <c r="B92" s="1206"/>
      <c r="C92" s="16" t="s">
        <v>35</v>
      </c>
      <c r="D92" s="1174"/>
      <c r="E92" s="19">
        <f>+'B) Reajuste Tarifas y Ocupación'!V31</f>
        <v>150</v>
      </c>
      <c r="F92" s="19">
        <f>+'B) Reajuste Tarifas y Ocupación'!W31</f>
        <v>48.300000000000004</v>
      </c>
      <c r="G92" s="19">
        <f>+'B) Reajuste Tarifas y Ocupación'!X31</f>
        <v>66</v>
      </c>
      <c r="H92" s="1195"/>
      <c r="I92" s="1195"/>
      <c r="J92" s="1175"/>
    </row>
    <row r="93" spans="1:10" x14ac:dyDescent="0.35">
      <c r="A93" s="1204"/>
      <c r="B93" s="1207"/>
      <c r="C93" s="20" t="s">
        <v>36</v>
      </c>
      <c r="D93" s="26"/>
      <c r="E93" s="21">
        <f>E92*E91</f>
        <v>825000</v>
      </c>
      <c r="F93" s="21">
        <f>F92*F91</f>
        <v>328440</v>
      </c>
      <c r="G93" s="21">
        <f>G92*G91</f>
        <v>475200</v>
      </c>
      <c r="H93" s="22">
        <f>(E91-D91)*D92</f>
        <v>0</v>
      </c>
      <c r="I93" s="22">
        <f>SUM(D93:G93)</f>
        <v>1628640</v>
      </c>
      <c r="J93" s="22">
        <f>H93+I93</f>
        <v>1628640</v>
      </c>
    </row>
    <row r="94" spans="1:10" x14ac:dyDescent="0.35">
      <c r="A94" s="1204"/>
      <c r="B94" s="1205" t="str">
        <f>+'B) Reajuste Tarifas y Ocupación'!B32</f>
        <v>Piscina niños</v>
      </c>
      <c r="C94" s="16" t="s">
        <v>497</v>
      </c>
      <c r="D94" s="1173"/>
      <c r="E94" s="23">
        <f>+'B) Reajuste Tarifas y Ocupación'!K32</f>
        <v>3300</v>
      </c>
      <c r="F94" s="23">
        <f>+'B) Reajuste Tarifas y Ocupación'!L32</f>
        <v>4000</v>
      </c>
      <c r="G94" s="23">
        <f>+'B) Reajuste Tarifas y Ocupación'!M32</f>
        <v>4200</v>
      </c>
      <c r="H94" s="1176"/>
      <c r="I94" s="1176"/>
      <c r="J94" s="1177"/>
    </row>
    <row r="95" spans="1:10" x14ac:dyDescent="0.35">
      <c r="A95" s="1204"/>
      <c r="B95" s="1206"/>
      <c r="C95" s="16" t="s">
        <v>35</v>
      </c>
      <c r="D95" s="1174"/>
      <c r="E95" s="24">
        <f>+'B) Reajuste Tarifas y Ocupación'!V32</f>
        <v>0</v>
      </c>
      <c r="F95" s="24">
        <f>+'B) Reajuste Tarifas y Ocupación'!W32</f>
        <v>0</v>
      </c>
      <c r="G95" s="24">
        <f>+'B) Reajuste Tarifas y Ocupación'!X32</f>
        <v>0</v>
      </c>
      <c r="H95" s="1166"/>
      <c r="I95" s="1166"/>
      <c r="J95" s="1167"/>
    </row>
    <row r="96" spans="1:10" x14ac:dyDescent="0.35">
      <c r="A96" s="1204"/>
      <c r="B96" s="1207"/>
      <c r="C96" s="20" t="s">
        <v>36</v>
      </c>
      <c r="D96" s="26"/>
      <c r="E96" s="21">
        <f>E95*E94</f>
        <v>0</v>
      </c>
      <c r="F96" s="21">
        <f>F95*F94</f>
        <v>0</v>
      </c>
      <c r="G96" s="21">
        <f>G95*G94</f>
        <v>0</v>
      </c>
      <c r="H96" s="22">
        <f>(E94-D94)*D95</f>
        <v>0</v>
      </c>
      <c r="I96" s="22">
        <f>SUM(D96:G96)</f>
        <v>0</v>
      </c>
      <c r="J96" s="22">
        <f>H96+I96</f>
        <v>0</v>
      </c>
    </row>
    <row r="97" spans="1:10" x14ac:dyDescent="0.35">
      <c r="A97" s="1204"/>
      <c r="B97" s="1203" t="s">
        <v>37</v>
      </c>
      <c r="C97" s="1169"/>
      <c r="D97" s="28">
        <f>+D93+D96</f>
        <v>0</v>
      </c>
      <c r="E97" s="28">
        <f t="shared" ref="E97:J97" si="9">+E93+E96</f>
        <v>825000</v>
      </c>
      <c r="F97" s="28">
        <f t="shared" si="9"/>
        <v>328440</v>
      </c>
      <c r="G97" s="28">
        <f t="shared" si="9"/>
        <v>475200</v>
      </c>
      <c r="H97" s="28">
        <f t="shared" si="9"/>
        <v>0</v>
      </c>
      <c r="I97" s="28">
        <f t="shared" si="9"/>
        <v>1628640</v>
      </c>
      <c r="J97" s="28">
        <f t="shared" si="9"/>
        <v>1628640</v>
      </c>
    </row>
    <row r="98" spans="1:10" x14ac:dyDescent="0.35">
      <c r="A98" s="1204" t="str">
        <f>+'B) Reajuste Tarifas y Ocupación'!A33</f>
        <v>Canchas C.N.C. Tumbes</v>
      </c>
      <c r="B98" s="1192" t="str">
        <f>+'B) Reajuste Tarifas y Ocupación'!B33</f>
        <v>Cancha tenis (Single)</v>
      </c>
      <c r="C98" s="16" t="s">
        <v>497</v>
      </c>
      <c r="D98" s="25">
        <f>+'B) Reajuste Tarifas y Ocupación'!J33</f>
        <v>3000</v>
      </c>
      <c r="E98" s="25">
        <f>+'B) Reajuste Tarifas y Ocupación'!K33</f>
        <v>4600</v>
      </c>
      <c r="F98" s="25">
        <f>+'B) Reajuste Tarifas y Ocupación'!L33</f>
        <v>5700</v>
      </c>
      <c r="G98" s="25">
        <f>+'B) Reajuste Tarifas y Ocupación'!M33</f>
        <v>6000</v>
      </c>
      <c r="H98" s="1166"/>
      <c r="I98" s="1166"/>
      <c r="J98" s="1167"/>
    </row>
    <row r="99" spans="1:10" x14ac:dyDescent="0.35">
      <c r="A99" s="1204"/>
      <c r="B99" s="1193"/>
      <c r="C99" s="16" t="s">
        <v>35</v>
      </c>
      <c r="D99" s="24">
        <f>+'B) Reajuste Tarifas y Ocupación'!U33</f>
        <v>0</v>
      </c>
      <c r="E99" s="24">
        <f>+'B) Reajuste Tarifas y Ocupación'!V33</f>
        <v>0</v>
      </c>
      <c r="F99" s="24">
        <f>+'B) Reajuste Tarifas y Ocupación'!W33</f>
        <v>0</v>
      </c>
      <c r="G99" s="24">
        <f>+'B) Reajuste Tarifas y Ocupación'!X33</f>
        <v>0</v>
      </c>
      <c r="H99" s="1166"/>
      <c r="I99" s="1166"/>
      <c r="J99" s="1167"/>
    </row>
    <row r="100" spans="1:10" x14ac:dyDescent="0.35">
      <c r="A100" s="1204"/>
      <c r="B100" s="1194"/>
      <c r="C100" s="20" t="s">
        <v>36</v>
      </c>
      <c r="D100" s="21">
        <f>D99*D98</f>
        <v>0</v>
      </c>
      <c r="E100" s="21">
        <f>E99*E98</f>
        <v>0</v>
      </c>
      <c r="F100" s="21">
        <f>F99*F98</f>
        <v>0</v>
      </c>
      <c r="G100" s="21">
        <f>G99*G98</f>
        <v>0</v>
      </c>
      <c r="H100" s="22">
        <f>(E98-D98)*D99</f>
        <v>0</v>
      </c>
      <c r="I100" s="22">
        <f>SUM(D100:G100)</f>
        <v>0</v>
      </c>
      <c r="J100" s="22">
        <f>H100+I100</f>
        <v>0</v>
      </c>
    </row>
    <row r="101" spans="1:10" x14ac:dyDescent="0.35">
      <c r="A101" s="1204"/>
      <c r="B101" s="1192" t="str">
        <f>+'B) Reajuste Tarifas y Ocupación'!B34</f>
        <v>Cancha tenis (Doble)</v>
      </c>
      <c r="C101" s="16" t="s">
        <v>497</v>
      </c>
      <c r="D101" s="25">
        <f>+'B) Reajuste Tarifas y Ocupación'!J34</f>
        <v>4100</v>
      </c>
      <c r="E101" s="25">
        <f>+'B) Reajuste Tarifas y Ocupación'!K34</f>
        <v>6200</v>
      </c>
      <c r="F101" s="25">
        <f>+'B) Reajuste Tarifas y Ocupación'!L34</f>
        <v>7800</v>
      </c>
      <c r="G101" s="25">
        <f>+'B) Reajuste Tarifas y Ocupación'!M34</f>
        <v>8100</v>
      </c>
      <c r="H101" s="1166"/>
      <c r="I101" s="1166"/>
      <c r="J101" s="1167"/>
    </row>
    <row r="102" spans="1:10" x14ac:dyDescent="0.35">
      <c r="A102" s="1204"/>
      <c r="B102" s="1193"/>
      <c r="C102" s="16" t="s">
        <v>35</v>
      </c>
      <c r="D102" s="24">
        <f>+'B) Reajuste Tarifas y Ocupación'!U34</f>
        <v>0</v>
      </c>
      <c r="E102" s="24">
        <f>+'B) Reajuste Tarifas y Ocupación'!V34</f>
        <v>0</v>
      </c>
      <c r="F102" s="24">
        <f>+'B) Reajuste Tarifas y Ocupación'!W34</f>
        <v>0</v>
      </c>
      <c r="G102" s="24">
        <f>+'B) Reajuste Tarifas y Ocupación'!X34</f>
        <v>0</v>
      </c>
      <c r="H102" s="1166"/>
      <c r="I102" s="1166"/>
      <c r="J102" s="1167"/>
    </row>
    <row r="103" spans="1:10" x14ac:dyDescent="0.35">
      <c r="A103" s="1204"/>
      <c r="B103" s="1194"/>
      <c r="C103" s="20" t="s">
        <v>36</v>
      </c>
      <c r="D103" s="21">
        <f>D102*D101</f>
        <v>0</v>
      </c>
      <c r="E103" s="21">
        <f>E102*E101</f>
        <v>0</v>
      </c>
      <c r="F103" s="21">
        <f>F102*F101</f>
        <v>0</v>
      </c>
      <c r="G103" s="21">
        <f>G102*G101</f>
        <v>0</v>
      </c>
      <c r="H103" s="22">
        <f>(E101-D101)*D102</f>
        <v>0</v>
      </c>
      <c r="I103" s="22">
        <f>SUM(D103:G103)</f>
        <v>0</v>
      </c>
      <c r="J103" s="22">
        <f>H103+I103</f>
        <v>0</v>
      </c>
    </row>
    <row r="104" spans="1:10" x14ac:dyDescent="0.35">
      <c r="A104" s="1204"/>
      <c r="B104" s="1203" t="s">
        <v>37</v>
      </c>
      <c r="C104" s="1169"/>
      <c r="D104" s="28">
        <f>+D100+D103</f>
        <v>0</v>
      </c>
      <c r="E104" s="28">
        <f t="shared" ref="E104:J104" si="10">+E100+E103</f>
        <v>0</v>
      </c>
      <c r="F104" s="28">
        <f t="shared" si="10"/>
        <v>0</v>
      </c>
      <c r="G104" s="28">
        <f t="shared" si="10"/>
        <v>0</v>
      </c>
      <c r="H104" s="28">
        <f t="shared" si="10"/>
        <v>0</v>
      </c>
      <c r="I104" s="28">
        <f t="shared" si="10"/>
        <v>0</v>
      </c>
      <c r="J104" s="28">
        <f t="shared" si="10"/>
        <v>0</v>
      </c>
    </row>
    <row r="105" spans="1:10" x14ac:dyDescent="0.35">
      <c r="A105" s="1204" t="str">
        <f>+'B) Reajuste Tarifas y Ocupación'!A35</f>
        <v>Cabañas C.R. Faro Tumbes</v>
      </c>
      <c r="B105" s="1205" t="str">
        <f>+'B) Reajuste Tarifas y Ocupación'!B35</f>
        <v>Cabañas - día/cabaña</v>
      </c>
      <c r="C105" s="16" t="s">
        <v>497</v>
      </c>
      <c r="D105" s="25">
        <f>+'B) Reajuste Tarifas y Ocupación'!J35</f>
        <v>36300</v>
      </c>
      <c r="E105" s="25">
        <f>+'B) Reajuste Tarifas y Ocupación'!K35</f>
        <v>55700</v>
      </c>
      <c r="F105" s="25">
        <f>+'B) Reajuste Tarifas y Ocupación'!L35</f>
        <v>69400</v>
      </c>
      <c r="G105" s="25">
        <f>+'B) Reajuste Tarifas y Ocupación'!M35</f>
        <v>72600</v>
      </c>
      <c r="H105" s="1166"/>
      <c r="I105" s="1166"/>
      <c r="J105" s="1167"/>
    </row>
    <row r="106" spans="1:10" x14ac:dyDescent="0.35">
      <c r="A106" s="1204"/>
      <c r="B106" s="1206"/>
      <c r="C106" s="16" t="s">
        <v>35</v>
      </c>
      <c r="D106" s="24">
        <f>+'B) Reajuste Tarifas y Ocupación'!U35</f>
        <v>1402</v>
      </c>
      <c r="E106" s="24">
        <f>+'B) Reajuste Tarifas y Ocupación'!V35</f>
        <v>170.1</v>
      </c>
      <c r="F106" s="24">
        <f>+'B) Reajuste Tarifas y Ocupación'!W35</f>
        <v>89.25</v>
      </c>
      <c r="G106" s="24">
        <f>+'B) Reajuste Tarifas y Ocupación'!X35</f>
        <v>25.200000000000003</v>
      </c>
      <c r="H106" s="1166"/>
      <c r="I106" s="1166"/>
      <c r="J106" s="1167"/>
    </row>
    <row r="107" spans="1:10" x14ac:dyDescent="0.35">
      <c r="A107" s="1204"/>
      <c r="B107" s="1207"/>
      <c r="C107" s="20" t="s">
        <v>36</v>
      </c>
      <c r="D107" s="21">
        <f>D106*D105</f>
        <v>50892600</v>
      </c>
      <c r="E107" s="21">
        <f>E106*E105</f>
        <v>9474570</v>
      </c>
      <c r="F107" s="21">
        <f>F106*F105</f>
        <v>6193950</v>
      </c>
      <c r="G107" s="21">
        <f>G106*G105</f>
        <v>1829520.0000000002</v>
      </c>
      <c r="H107" s="22">
        <f>(E105-D105)*D106</f>
        <v>27198800</v>
      </c>
      <c r="I107" s="22">
        <f>SUM(D107:G107)</f>
        <v>68390640</v>
      </c>
      <c r="J107" s="22">
        <f>H107+I107</f>
        <v>95589440</v>
      </c>
    </row>
    <row r="108" spans="1:10" x14ac:dyDescent="0.35">
      <c r="A108" s="1204"/>
      <c r="B108" s="1211" t="str">
        <f>+'B) Reajuste Tarifas y Ocupación'!B36</f>
        <v xml:space="preserve">Uso en transito/Early check in/Late Check out </v>
      </c>
      <c r="C108" s="29"/>
      <c r="D108" s="29"/>
      <c r="E108" s="29"/>
      <c r="F108" s="29"/>
      <c r="G108" s="29"/>
      <c r="H108" s="1176"/>
      <c r="I108" s="1176"/>
      <c r="J108" s="1177"/>
    </row>
    <row r="109" spans="1:10" x14ac:dyDescent="0.35">
      <c r="A109" s="1204"/>
      <c r="B109" s="1212"/>
      <c r="C109" s="30"/>
      <c r="D109" s="30"/>
      <c r="E109" s="30"/>
      <c r="F109" s="30"/>
      <c r="G109" s="30"/>
      <c r="H109" s="1166"/>
      <c r="I109" s="1166"/>
      <c r="J109" s="1167"/>
    </row>
    <row r="110" spans="1:10" x14ac:dyDescent="0.35">
      <c r="A110" s="1204"/>
      <c r="B110" s="1213"/>
      <c r="C110" s="26"/>
      <c r="D110" s="26"/>
      <c r="E110" s="26"/>
      <c r="F110" s="26"/>
      <c r="G110" s="26"/>
      <c r="H110" s="22">
        <f>(E108-D108)*D109</f>
        <v>0</v>
      </c>
      <c r="I110" s="22">
        <f>SUM(D110:G110)</f>
        <v>0</v>
      </c>
      <c r="J110" s="22">
        <f>H110+I110</f>
        <v>0</v>
      </c>
    </row>
    <row r="111" spans="1:10" x14ac:dyDescent="0.35">
      <c r="A111" s="1204"/>
      <c r="B111" s="1205" t="str">
        <f>+'B) Reajuste Tarifas y Ocupación'!B37</f>
        <v>Cabañas - día/cabaña</v>
      </c>
      <c r="C111" s="16" t="s">
        <v>497</v>
      </c>
      <c r="D111" s="1173"/>
      <c r="E111" s="23">
        <f>+'B) Reajuste Tarifas y Ocupación'!K37</f>
        <v>16800</v>
      </c>
      <c r="F111" s="23">
        <f>+'B) Reajuste Tarifas y Ocupación'!L37</f>
        <v>20900</v>
      </c>
      <c r="G111" s="23">
        <f>+'B) Reajuste Tarifas y Ocupación'!M37</f>
        <v>21800</v>
      </c>
      <c r="H111" s="1176"/>
      <c r="I111" s="1176"/>
      <c r="J111" s="1177"/>
    </row>
    <row r="112" spans="1:10" x14ac:dyDescent="0.35">
      <c r="A112" s="1204"/>
      <c r="B112" s="1206"/>
      <c r="C112" s="16" t="s">
        <v>35</v>
      </c>
      <c r="D112" s="1174"/>
      <c r="E112" s="19">
        <f>+'B) Reajuste Tarifas y Ocupación'!V37</f>
        <v>0</v>
      </c>
      <c r="F112" s="19">
        <f>+'B) Reajuste Tarifas y Ocupación'!W37</f>
        <v>0</v>
      </c>
      <c r="G112" s="19">
        <f>+'B) Reajuste Tarifas y Ocupación'!X37</f>
        <v>0</v>
      </c>
      <c r="H112" s="1195"/>
      <c r="I112" s="1195"/>
      <c r="J112" s="1175"/>
    </row>
    <row r="113" spans="1:10" x14ac:dyDescent="0.35">
      <c r="A113" s="1204"/>
      <c r="B113" s="1207"/>
      <c r="C113" s="20" t="s">
        <v>36</v>
      </c>
      <c r="D113" s="26"/>
      <c r="E113" s="21">
        <f>E112*E111</f>
        <v>0</v>
      </c>
      <c r="F113" s="21">
        <f>F112*F111</f>
        <v>0</v>
      </c>
      <c r="G113" s="21">
        <f>G112*G111</f>
        <v>0</v>
      </c>
      <c r="H113" s="22">
        <f>(E111-D111)*D112</f>
        <v>0</v>
      </c>
      <c r="I113" s="22">
        <f>SUM(D113:G113)</f>
        <v>0</v>
      </c>
      <c r="J113" s="22">
        <f>H113+I113</f>
        <v>0</v>
      </c>
    </row>
    <row r="114" spans="1:10" x14ac:dyDescent="0.35">
      <c r="A114" s="1204"/>
      <c r="B114" s="1203" t="s">
        <v>37</v>
      </c>
      <c r="C114" s="1169"/>
      <c r="D114" s="28">
        <f>+D107+D110+D113</f>
        <v>50892600</v>
      </c>
      <c r="E114" s="28">
        <f t="shared" ref="E114:J114" si="11">+E107+E110+E113</f>
        <v>9474570</v>
      </c>
      <c r="F114" s="28">
        <f t="shared" si="11"/>
        <v>6193950</v>
      </c>
      <c r="G114" s="28">
        <f t="shared" si="11"/>
        <v>1829520.0000000002</v>
      </c>
      <c r="H114" s="28">
        <f>+H107+H110+H113</f>
        <v>27198800</v>
      </c>
      <c r="I114" s="28">
        <f>+I107+I110+I113</f>
        <v>68390640</v>
      </c>
      <c r="J114" s="28">
        <f t="shared" si="11"/>
        <v>95589440</v>
      </c>
    </row>
    <row r="115" spans="1:10" x14ac:dyDescent="0.35">
      <c r="A115" s="1208" t="str">
        <f>+'B) Reajuste Tarifas y Ocupación'!A38</f>
        <v>Piscina C.R. Faro Tumbes</v>
      </c>
      <c r="B115" s="1192" t="str">
        <f>+'B) Reajuste Tarifas y Ocupación'!B38</f>
        <v>Piscina adultos</v>
      </c>
      <c r="C115" s="16" t="s">
        <v>497</v>
      </c>
      <c r="D115" s="1173"/>
      <c r="E115" s="23">
        <f>+'B) Reajuste Tarifas y Ocupación'!K38</f>
        <v>6600</v>
      </c>
      <c r="F115" s="23">
        <f>+'B) Reajuste Tarifas y Ocupación'!L38</f>
        <v>8300</v>
      </c>
      <c r="G115" s="23">
        <f>+'B) Reajuste Tarifas y Ocupación'!M38</f>
        <v>8700</v>
      </c>
      <c r="H115" s="1176"/>
      <c r="I115" s="1176"/>
      <c r="J115" s="1177"/>
    </row>
    <row r="116" spans="1:10" x14ac:dyDescent="0.35">
      <c r="A116" s="1209"/>
      <c r="B116" s="1193"/>
      <c r="C116" s="16" t="s">
        <v>35</v>
      </c>
      <c r="D116" s="1174"/>
      <c r="E116" s="24">
        <f>+'B) Reajuste Tarifas y Ocupación'!V38</f>
        <v>349</v>
      </c>
      <c r="F116" s="24">
        <f>+'B) Reajuste Tarifas y Ocupación'!W38</f>
        <v>40.950000000000003</v>
      </c>
      <c r="G116" s="24">
        <f>+'B) Reajuste Tarifas y Ocupación'!X38</f>
        <v>455.70000000000005</v>
      </c>
      <c r="H116" s="1166"/>
      <c r="I116" s="1166"/>
      <c r="J116" s="1167"/>
    </row>
    <row r="117" spans="1:10" x14ac:dyDescent="0.35">
      <c r="A117" s="1209"/>
      <c r="B117" s="1194"/>
      <c r="C117" s="20" t="s">
        <v>36</v>
      </c>
      <c r="D117" s="26"/>
      <c r="E117" s="21">
        <f>E116*E115</f>
        <v>2303400</v>
      </c>
      <c r="F117" s="21">
        <f>F116*F115</f>
        <v>339885</v>
      </c>
      <c r="G117" s="21">
        <f>G116*G115</f>
        <v>3964590.0000000005</v>
      </c>
      <c r="H117" s="22">
        <f>(E115-D115)*D116</f>
        <v>0</v>
      </c>
      <c r="I117" s="22">
        <f>SUM(D117:G117)</f>
        <v>6607875</v>
      </c>
      <c r="J117" s="22">
        <f>H117+I117</f>
        <v>6607875</v>
      </c>
    </row>
    <row r="118" spans="1:10" x14ac:dyDescent="0.35">
      <c r="A118" s="1209"/>
      <c r="B118" s="1192" t="str">
        <f>+'B) Reajuste Tarifas y Ocupación'!B39</f>
        <v>Piscina niños</v>
      </c>
      <c r="C118" s="16" t="s">
        <v>497</v>
      </c>
      <c r="D118" s="1173"/>
      <c r="E118" s="23">
        <f>+'B) Reajuste Tarifas y Ocupación'!K39</f>
        <v>3900</v>
      </c>
      <c r="F118" s="23">
        <f>+'B) Reajuste Tarifas y Ocupación'!L39</f>
        <v>4900</v>
      </c>
      <c r="G118" s="23">
        <f>+'B) Reajuste Tarifas y Ocupación'!M39</f>
        <v>5100</v>
      </c>
      <c r="H118" s="1176"/>
      <c r="I118" s="1176"/>
      <c r="J118" s="1177"/>
    </row>
    <row r="119" spans="1:10" x14ac:dyDescent="0.35">
      <c r="A119" s="1209"/>
      <c r="B119" s="1193"/>
      <c r="C119" s="16" t="s">
        <v>35</v>
      </c>
      <c r="D119" s="1174"/>
      <c r="E119" s="19">
        <f>+'B) Reajuste Tarifas y Ocupación'!V39</f>
        <v>0</v>
      </c>
      <c r="F119" s="19">
        <f>+'B) Reajuste Tarifas y Ocupación'!W39</f>
        <v>0</v>
      </c>
      <c r="G119" s="19">
        <f>+'B) Reajuste Tarifas y Ocupación'!X39</f>
        <v>0</v>
      </c>
      <c r="H119" s="1195"/>
      <c r="I119" s="1195"/>
      <c r="J119" s="1175"/>
    </row>
    <row r="120" spans="1:10" x14ac:dyDescent="0.35">
      <c r="A120" s="1209"/>
      <c r="B120" s="1194"/>
      <c r="C120" s="20" t="s">
        <v>36</v>
      </c>
      <c r="D120" s="26"/>
      <c r="E120" s="21">
        <f>E119*E118</f>
        <v>0</v>
      </c>
      <c r="F120" s="21">
        <f>F119*F118</f>
        <v>0</v>
      </c>
      <c r="G120" s="21">
        <f>G119*G118</f>
        <v>0</v>
      </c>
      <c r="H120" s="22">
        <f>(E118-D118)*D119</f>
        <v>0</v>
      </c>
      <c r="I120" s="22">
        <f>SUM(D120:G120)</f>
        <v>0</v>
      </c>
      <c r="J120" s="22">
        <f>H120+I120</f>
        <v>0</v>
      </c>
    </row>
    <row r="121" spans="1:10" x14ac:dyDescent="0.35">
      <c r="A121" s="1210"/>
      <c r="B121" s="1203" t="s">
        <v>37</v>
      </c>
      <c r="C121" s="1169"/>
      <c r="D121" s="28">
        <f>+D117+D120</f>
        <v>0</v>
      </c>
      <c r="E121" s="28">
        <f t="shared" ref="E121:J121" si="12">+E117+E120</f>
        <v>2303400</v>
      </c>
      <c r="F121" s="28">
        <f t="shared" si="12"/>
        <v>339885</v>
      </c>
      <c r="G121" s="28">
        <f t="shared" si="12"/>
        <v>3964590.0000000005</v>
      </c>
      <c r="H121" s="28">
        <f t="shared" si="12"/>
        <v>0</v>
      </c>
      <c r="I121" s="28">
        <f t="shared" si="12"/>
        <v>6607875</v>
      </c>
      <c r="J121" s="28">
        <f t="shared" si="12"/>
        <v>6607875</v>
      </c>
    </row>
    <row r="122" spans="1:10" x14ac:dyDescent="0.35">
      <c r="A122" s="1189" t="str">
        <f>+'B) Reajuste Tarifas y Ocupación'!A40</f>
        <v>Quinchos y Canchas 
C.R. Faro Tumbes</v>
      </c>
      <c r="B122" s="1192" t="str">
        <f>+'B) Reajuste Tarifas y Ocupación'!B40</f>
        <v>Quincho 1 [1 a 20 pp.]</v>
      </c>
      <c r="C122" s="16" t="s">
        <v>497</v>
      </c>
      <c r="D122" s="23">
        <f>+'B) Reajuste Tarifas y Ocupación'!J40</f>
        <v>46000</v>
      </c>
      <c r="E122" s="23">
        <f>+'B) Reajuste Tarifas y Ocupación'!K40</f>
        <v>70700</v>
      </c>
      <c r="F122" s="23">
        <f>+'B) Reajuste Tarifas y Ocupación'!L40</f>
        <v>92500</v>
      </c>
      <c r="G122" s="23">
        <f>+'B) Reajuste Tarifas y Ocupación'!M40</f>
        <v>96800</v>
      </c>
      <c r="H122" s="1176"/>
      <c r="I122" s="1176"/>
      <c r="J122" s="1177"/>
    </row>
    <row r="123" spans="1:10" x14ac:dyDescent="0.35">
      <c r="A123" s="1190"/>
      <c r="B123" s="1193"/>
      <c r="C123" s="16" t="s">
        <v>35</v>
      </c>
      <c r="D123" s="24">
        <f>+'B) Reajuste Tarifas y Ocupación'!U40</f>
        <v>0</v>
      </c>
      <c r="E123" s="24">
        <f>+'B) Reajuste Tarifas y Ocupación'!V40</f>
        <v>173</v>
      </c>
      <c r="F123" s="24">
        <f>+'B) Reajuste Tarifas y Ocupación'!W40</f>
        <v>20</v>
      </c>
      <c r="G123" s="24">
        <f>+'B) Reajuste Tarifas y Ocupación'!X40</f>
        <v>0</v>
      </c>
      <c r="H123" s="1166"/>
      <c r="I123" s="1166"/>
      <c r="J123" s="1167"/>
    </row>
    <row r="124" spans="1:10" x14ac:dyDescent="0.35">
      <c r="A124" s="1190"/>
      <c r="B124" s="1194"/>
      <c r="C124" s="20" t="s">
        <v>36</v>
      </c>
      <c r="D124" s="21">
        <f>D123*D122</f>
        <v>0</v>
      </c>
      <c r="E124" s="21">
        <f>E123*E122</f>
        <v>12231100</v>
      </c>
      <c r="F124" s="21">
        <f>F123*F122</f>
        <v>1850000</v>
      </c>
      <c r="G124" s="21">
        <f>G123*G122</f>
        <v>0</v>
      </c>
      <c r="H124" s="22">
        <f>(E122-D122)*D123</f>
        <v>0</v>
      </c>
      <c r="I124" s="22">
        <f>SUM(D124:G124)</f>
        <v>14081100</v>
      </c>
      <c r="J124" s="22">
        <f>H124+I124</f>
        <v>14081100</v>
      </c>
    </row>
    <row r="125" spans="1:10" x14ac:dyDescent="0.35">
      <c r="A125" s="1190"/>
      <c r="B125" s="1192" t="str">
        <f>+'B) Reajuste Tarifas y Ocupación'!B41</f>
        <v>Quincho 1 [persona adicional)</v>
      </c>
      <c r="C125" s="16" t="s">
        <v>497</v>
      </c>
      <c r="D125" s="23">
        <f>+'B) Reajuste Tarifas y Ocupación'!J41</f>
        <v>1500</v>
      </c>
      <c r="E125" s="23">
        <f>+'B) Reajuste Tarifas y Ocupación'!K41</f>
        <v>2200</v>
      </c>
      <c r="F125" s="23">
        <f>+'B) Reajuste Tarifas y Ocupación'!L41</f>
        <v>2900</v>
      </c>
      <c r="G125" s="23">
        <f>+'B) Reajuste Tarifas y Ocupación'!M41</f>
        <v>3000</v>
      </c>
      <c r="H125" s="1176"/>
      <c r="I125" s="1176"/>
      <c r="J125" s="1177"/>
    </row>
    <row r="126" spans="1:10" x14ac:dyDescent="0.35">
      <c r="A126" s="1190"/>
      <c r="B126" s="1193"/>
      <c r="C126" s="16" t="s">
        <v>35</v>
      </c>
      <c r="D126" s="24">
        <f>+'B) Reajuste Tarifas y Ocupación'!U41</f>
        <v>0</v>
      </c>
      <c r="E126" s="24">
        <f>+'B) Reajuste Tarifas y Ocupación'!V41</f>
        <v>0</v>
      </c>
      <c r="F126" s="24">
        <f>+'B) Reajuste Tarifas y Ocupación'!W41</f>
        <v>0</v>
      </c>
      <c r="G126" s="24">
        <f>+'B) Reajuste Tarifas y Ocupación'!X41</f>
        <v>0</v>
      </c>
      <c r="H126" s="1166"/>
      <c r="I126" s="1166"/>
      <c r="J126" s="1167"/>
    </row>
    <row r="127" spans="1:10" x14ac:dyDescent="0.35">
      <c r="A127" s="1190"/>
      <c r="B127" s="1194"/>
      <c r="C127" s="20" t="s">
        <v>36</v>
      </c>
      <c r="D127" s="21">
        <f>D126*D125</f>
        <v>0</v>
      </c>
      <c r="E127" s="21">
        <f>E126*E125</f>
        <v>0</v>
      </c>
      <c r="F127" s="21">
        <f>F126*F125</f>
        <v>0</v>
      </c>
      <c r="G127" s="21">
        <f>G126*G125</f>
        <v>0</v>
      </c>
      <c r="H127" s="22">
        <f>(E125-D125)*D126</f>
        <v>0</v>
      </c>
      <c r="I127" s="22">
        <f>SUM(D127:G127)</f>
        <v>0</v>
      </c>
      <c r="J127" s="22">
        <f>H127+I127</f>
        <v>0</v>
      </c>
    </row>
    <row r="128" spans="1:10" x14ac:dyDescent="0.35">
      <c r="A128" s="1190"/>
      <c r="B128" s="1192" t="str">
        <f>+'B) Reajuste Tarifas y Ocupación'!B42</f>
        <v>Quincho 2 (41-80 personas)</v>
      </c>
      <c r="C128" s="16" t="s">
        <v>497</v>
      </c>
      <c r="D128" s="1173"/>
      <c r="E128" s="25">
        <f>+'B) Reajuste Tarifas y Ocupación'!K42</f>
        <v>157400</v>
      </c>
      <c r="F128" s="25">
        <f>+'B) Reajuste Tarifas y Ocupación'!L42</f>
        <v>206100</v>
      </c>
      <c r="G128" s="25">
        <f>+'B) Reajuste Tarifas y Ocupación'!M42</f>
        <v>215400</v>
      </c>
      <c r="H128" s="1166"/>
      <c r="I128" s="1166"/>
      <c r="J128" s="1167"/>
    </row>
    <row r="129" spans="1:10" x14ac:dyDescent="0.35">
      <c r="A129" s="1190"/>
      <c r="B129" s="1193"/>
      <c r="C129" s="16" t="s">
        <v>35</v>
      </c>
      <c r="D129" s="1174"/>
      <c r="E129" s="24">
        <f>+'B) Reajuste Tarifas y Ocupación'!V42</f>
        <v>0</v>
      </c>
      <c r="F129" s="24">
        <f>+'B) Reajuste Tarifas y Ocupación'!W42</f>
        <v>0</v>
      </c>
      <c r="G129" s="24">
        <f>+'B) Reajuste Tarifas y Ocupación'!X42</f>
        <v>0</v>
      </c>
      <c r="H129" s="1166"/>
      <c r="I129" s="1166"/>
      <c r="J129" s="1167"/>
    </row>
    <row r="130" spans="1:10" x14ac:dyDescent="0.35">
      <c r="A130" s="1190"/>
      <c r="B130" s="1194"/>
      <c r="C130" s="20" t="s">
        <v>36</v>
      </c>
      <c r="D130" s="26"/>
      <c r="E130" s="21">
        <f>E129*E128</f>
        <v>0</v>
      </c>
      <c r="F130" s="21">
        <f>F129*F128</f>
        <v>0</v>
      </c>
      <c r="G130" s="21">
        <f>G129*G128</f>
        <v>0</v>
      </c>
      <c r="H130" s="22">
        <f>(E128-D128)*D129</f>
        <v>0</v>
      </c>
      <c r="I130" s="22">
        <f>SUM(D130:G130)</f>
        <v>0</v>
      </c>
      <c r="J130" s="22">
        <f>H130+I130</f>
        <v>0</v>
      </c>
    </row>
    <row r="131" spans="1:10" x14ac:dyDescent="0.35">
      <c r="A131" s="1190"/>
      <c r="B131" s="1192" t="str">
        <f>+'B) Reajuste Tarifas y Ocupación'!B43</f>
        <v>Quincho 2 (persona adicional)</v>
      </c>
      <c r="C131" s="16" t="s">
        <v>497</v>
      </c>
      <c r="D131" s="1173"/>
      <c r="E131" s="23">
        <f>+'B) Reajuste Tarifas y Ocupación'!K43</f>
        <v>2200</v>
      </c>
      <c r="F131" s="23">
        <f>+'B) Reajuste Tarifas y Ocupación'!L43</f>
        <v>2900</v>
      </c>
      <c r="G131" s="23">
        <f>+'B) Reajuste Tarifas y Ocupación'!M43</f>
        <v>3000</v>
      </c>
      <c r="H131" s="1176"/>
      <c r="I131" s="1176"/>
      <c r="J131" s="1177"/>
    </row>
    <row r="132" spans="1:10" x14ac:dyDescent="0.35">
      <c r="A132" s="1190"/>
      <c r="B132" s="1193"/>
      <c r="C132" s="16" t="s">
        <v>35</v>
      </c>
      <c r="D132" s="1174"/>
      <c r="E132" s="19">
        <f>+'B) Reajuste Tarifas y Ocupación'!V43</f>
        <v>0</v>
      </c>
      <c r="F132" s="19">
        <f>+'B) Reajuste Tarifas y Ocupación'!W43</f>
        <v>0</v>
      </c>
      <c r="G132" s="19">
        <f>+'B) Reajuste Tarifas y Ocupación'!X43</f>
        <v>0</v>
      </c>
      <c r="H132" s="1195"/>
      <c r="I132" s="1195"/>
      <c r="J132" s="1175"/>
    </row>
    <row r="133" spans="1:10" x14ac:dyDescent="0.35">
      <c r="A133" s="1190"/>
      <c r="B133" s="1194"/>
      <c r="C133" s="20" t="s">
        <v>36</v>
      </c>
      <c r="D133" s="26"/>
      <c r="E133" s="21">
        <f>E132*E131</f>
        <v>0</v>
      </c>
      <c r="F133" s="21">
        <f>F132*F131</f>
        <v>0</v>
      </c>
      <c r="G133" s="21">
        <f>G132*G131</f>
        <v>0</v>
      </c>
      <c r="H133" s="22">
        <f>(E131-D131)*D132</f>
        <v>0</v>
      </c>
      <c r="I133" s="22">
        <f>SUM(D133:G133)</f>
        <v>0</v>
      </c>
      <c r="J133" s="22">
        <f>H133+I133</f>
        <v>0</v>
      </c>
    </row>
    <row r="134" spans="1:10" x14ac:dyDescent="0.35">
      <c r="A134" s="1190"/>
      <c r="B134" s="1192" t="str">
        <f>+'B) Reajuste Tarifas y Ocupación'!B44</f>
        <v>Picnic 1- 10 personas</v>
      </c>
      <c r="C134" s="16" t="s">
        <v>497</v>
      </c>
      <c r="D134" s="23">
        <f>+'B) Reajuste Tarifas y Ocupación'!J44</f>
        <v>10500</v>
      </c>
      <c r="E134" s="23">
        <f>+'B) Reajuste Tarifas y Ocupación'!K44</f>
        <v>16100</v>
      </c>
      <c r="F134" s="23">
        <f>+'B) Reajuste Tarifas y Ocupación'!L44</f>
        <v>21200</v>
      </c>
      <c r="G134" s="23">
        <f>+'B) Reajuste Tarifas y Ocupación'!M44</f>
        <v>22100</v>
      </c>
      <c r="H134" s="1176"/>
      <c r="I134" s="1176"/>
      <c r="J134" s="1177"/>
    </row>
    <row r="135" spans="1:10" x14ac:dyDescent="0.35">
      <c r="A135" s="1190"/>
      <c r="B135" s="1193"/>
      <c r="C135" s="16" t="s">
        <v>35</v>
      </c>
      <c r="D135" s="24">
        <f>+'B) Reajuste Tarifas y Ocupación'!U44</f>
        <v>0</v>
      </c>
      <c r="E135" s="24">
        <f>+'B) Reajuste Tarifas y Ocupación'!V44</f>
        <v>0</v>
      </c>
      <c r="F135" s="24">
        <f>+'B) Reajuste Tarifas y Ocupación'!W44</f>
        <v>0</v>
      </c>
      <c r="G135" s="24">
        <f>+'B) Reajuste Tarifas y Ocupación'!X44</f>
        <v>0</v>
      </c>
      <c r="H135" s="1166"/>
      <c r="I135" s="1166"/>
      <c r="J135" s="1167"/>
    </row>
    <row r="136" spans="1:10" x14ac:dyDescent="0.35">
      <c r="A136" s="1190"/>
      <c r="B136" s="1194"/>
      <c r="C136" s="20" t="s">
        <v>36</v>
      </c>
      <c r="D136" s="21">
        <f>D135*D134</f>
        <v>0</v>
      </c>
      <c r="E136" s="21">
        <f>E135*E134</f>
        <v>0</v>
      </c>
      <c r="F136" s="21">
        <f>F135*F134</f>
        <v>0</v>
      </c>
      <c r="G136" s="21">
        <f>G135*G134</f>
        <v>0</v>
      </c>
      <c r="H136" s="22">
        <f>(E134-D134)*D135</f>
        <v>0</v>
      </c>
      <c r="I136" s="22">
        <f>SUM(D136:G136)</f>
        <v>0</v>
      </c>
      <c r="J136" s="22">
        <f>H136+I136</f>
        <v>0</v>
      </c>
    </row>
    <row r="137" spans="1:10" x14ac:dyDescent="0.35">
      <c r="A137" s="1190"/>
      <c r="B137" s="1192" t="str">
        <f>+'B) Reajuste Tarifas y Ocupación'!B45</f>
        <v>Picnic (persona adicional)</v>
      </c>
      <c r="C137" s="16" t="s">
        <v>497</v>
      </c>
      <c r="D137" s="25">
        <f>+'B) Reajuste Tarifas y Ocupación'!J45</f>
        <v>1000</v>
      </c>
      <c r="E137" s="25">
        <f>+'B) Reajuste Tarifas y Ocupación'!K45</f>
        <v>1400</v>
      </c>
      <c r="F137" s="25">
        <f>+'B) Reajuste Tarifas y Ocupación'!L45</f>
        <v>1700</v>
      </c>
      <c r="G137" s="25">
        <f>+'B) Reajuste Tarifas y Ocupación'!M45</f>
        <v>1800</v>
      </c>
      <c r="H137" s="1166"/>
      <c r="I137" s="1166"/>
      <c r="J137" s="1167"/>
    </row>
    <row r="138" spans="1:10" x14ac:dyDescent="0.35">
      <c r="A138" s="1190"/>
      <c r="B138" s="1193"/>
      <c r="C138" s="16" t="s">
        <v>35</v>
      </c>
      <c r="D138" s="24">
        <f>+'B) Reajuste Tarifas y Ocupación'!U45</f>
        <v>0</v>
      </c>
      <c r="E138" s="24">
        <f>+'B) Reajuste Tarifas y Ocupación'!V45</f>
        <v>0</v>
      </c>
      <c r="F138" s="24">
        <f>+'B) Reajuste Tarifas y Ocupación'!W45</f>
        <v>0</v>
      </c>
      <c r="G138" s="24">
        <f>+'B) Reajuste Tarifas y Ocupación'!X45</f>
        <v>0</v>
      </c>
      <c r="H138" s="1166"/>
      <c r="I138" s="1166"/>
      <c r="J138" s="1167"/>
    </row>
    <row r="139" spans="1:10" x14ac:dyDescent="0.35">
      <c r="A139" s="1190"/>
      <c r="B139" s="1194"/>
      <c r="C139" s="20" t="s">
        <v>36</v>
      </c>
      <c r="D139" s="21">
        <f>D138*D137</f>
        <v>0</v>
      </c>
      <c r="E139" s="21">
        <f>E138*E137</f>
        <v>0</v>
      </c>
      <c r="F139" s="21">
        <f>F138*F137</f>
        <v>0</v>
      </c>
      <c r="G139" s="21">
        <f>G138*G137</f>
        <v>0</v>
      </c>
      <c r="H139" s="22">
        <f>(E137-D137)*D138</f>
        <v>0</v>
      </c>
      <c r="I139" s="22">
        <f>SUM(D139:G139)</f>
        <v>0</v>
      </c>
      <c r="J139" s="22">
        <f>H139+I139</f>
        <v>0</v>
      </c>
    </row>
    <row r="140" spans="1:10" x14ac:dyDescent="0.35">
      <c r="A140" s="1190"/>
      <c r="B140" s="1192" t="str">
        <f>+'B) Reajuste Tarifas y Ocupación'!B46</f>
        <v>Cancha pasto sintético</v>
      </c>
      <c r="C140" s="16" t="s">
        <v>497</v>
      </c>
      <c r="D140" s="25">
        <f>+'B) Reajuste Tarifas y Ocupación'!J46</f>
        <v>16200</v>
      </c>
      <c r="E140" s="25">
        <f>+'B) Reajuste Tarifas y Ocupación'!K46</f>
        <v>24800</v>
      </c>
      <c r="F140" s="25">
        <f>+'B) Reajuste Tarifas y Ocupación'!L46</f>
        <v>32500</v>
      </c>
      <c r="G140" s="25">
        <f>+'B) Reajuste Tarifas y Ocupación'!M46</f>
        <v>34000</v>
      </c>
      <c r="H140" s="1166"/>
      <c r="I140" s="1166"/>
      <c r="J140" s="1167"/>
    </row>
    <row r="141" spans="1:10" x14ac:dyDescent="0.35">
      <c r="A141" s="1190"/>
      <c r="B141" s="1193"/>
      <c r="C141" s="16" t="s">
        <v>35</v>
      </c>
      <c r="D141" s="24">
        <f>+'B) Reajuste Tarifas y Ocupación'!U46</f>
        <v>0</v>
      </c>
      <c r="E141" s="24">
        <f>+'B) Reajuste Tarifas y Ocupación'!V46</f>
        <v>0</v>
      </c>
      <c r="F141" s="24">
        <f>+'B) Reajuste Tarifas y Ocupación'!W46</f>
        <v>0</v>
      </c>
      <c r="G141" s="24">
        <f>+'B) Reajuste Tarifas y Ocupación'!X46</f>
        <v>0</v>
      </c>
      <c r="H141" s="1166"/>
      <c r="I141" s="1166"/>
      <c r="J141" s="1167"/>
    </row>
    <row r="142" spans="1:10" x14ac:dyDescent="0.35">
      <c r="A142" s="1190"/>
      <c r="B142" s="1194"/>
      <c r="C142" s="20" t="s">
        <v>36</v>
      </c>
      <c r="D142" s="21">
        <f>D141*D140</f>
        <v>0</v>
      </c>
      <c r="E142" s="21">
        <f>E141*E140</f>
        <v>0</v>
      </c>
      <c r="F142" s="21">
        <f>F141*F140</f>
        <v>0</v>
      </c>
      <c r="G142" s="21">
        <f>G141*G140</f>
        <v>0</v>
      </c>
      <c r="H142" s="22">
        <f>(E140-D140)*D141</f>
        <v>0</v>
      </c>
      <c r="I142" s="22">
        <f>SUM(D142:G142)</f>
        <v>0</v>
      </c>
      <c r="J142" s="22">
        <f>H142+I142</f>
        <v>0</v>
      </c>
    </row>
    <row r="143" spans="1:10" x14ac:dyDescent="0.35">
      <c r="A143" s="1190"/>
      <c r="B143" s="1192" t="str">
        <f>+'B) Reajuste Tarifas y Ocupación'!B47</f>
        <v>Cancha tenis (Single)</v>
      </c>
      <c r="C143" s="16" t="s">
        <v>497</v>
      </c>
      <c r="D143" s="25">
        <f>+'B) Reajuste Tarifas y Ocupación'!J47</f>
        <v>2700</v>
      </c>
      <c r="E143" s="25">
        <f>+'B) Reajuste Tarifas y Ocupación'!K47</f>
        <v>4100</v>
      </c>
      <c r="F143" s="25">
        <f>+'B) Reajuste Tarifas y Ocupación'!L47</f>
        <v>5200</v>
      </c>
      <c r="G143" s="25">
        <f>+'B) Reajuste Tarifas y Ocupación'!M47</f>
        <v>5400</v>
      </c>
      <c r="H143" s="1166"/>
      <c r="I143" s="1166"/>
      <c r="J143" s="1167"/>
    </row>
    <row r="144" spans="1:10" x14ac:dyDescent="0.35">
      <c r="A144" s="1190"/>
      <c r="B144" s="1193"/>
      <c r="C144" s="16" t="s">
        <v>35</v>
      </c>
      <c r="D144" s="24">
        <f>+'B) Reajuste Tarifas y Ocupación'!U47</f>
        <v>0</v>
      </c>
      <c r="E144" s="24">
        <f>+'B) Reajuste Tarifas y Ocupación'!V47</f>
        <v>0</v>
      </c>
      <c r="F144" s="24">
        <f>+'B) Reajuste Tarifas y Ocupación'!W47</f>
        <v>0</v>
      </c>
      <c r="G144" s="24">
        <f>+'B) Reajuste Tarifas y Ocupación'!X47</f>
        <v>0</v>
      </c>
      <c r="H144" s="1166"/>
      <c r="I144" s="1166"/>
      <c r="J144" s="1167"/>
    </row>
    <row r="145" spans="1:12" x14ac:dyDescent="0.35">
      <c r="A145" s="1190"/>
      <c r="B145" s="1194"/>
      <c r="C145" s="20" t="s">
        <v>36</v>
      </c>
      <c r="D145" s="21">
        <f>D144*D143</f>
        <v>0</v>
      </c>
      <c r="E145" s="21">
        <f>E144*E143</f>
        <v>0</v>
      </c>
      <c r="F145" s="21">
        <f>F144*F143</f>
        <v>0</v>
      </c>
      <c r="G145" s="21">
        <f>G144*G143</f>
        <v>0</v>
      </c>
      <c r="H145" s="22">
        <f>(E143-D143)*D144</f>
        <v>0</v>
      </c>
      <c r="I145" s="22">
        <f>SUM(D145:G145)</f>
        <v>0</v>
      </c>
      <c r="J145" s="22">
        <f>H145+I145</f>
        <v>0</v>
      </c>
    </row>
    <row r="146" spans="1:12" x14ac:dyDescent="0.35">
      <c r="A146" s="1190"/>
      <c r="B146" s="1192" t="str">
        <f>+'B) Reajuste Tarifas y Ocupación'!B48</f>
        <v>Cancha tenis (Doble)</v>
      </c>
      <c r="C146" s="16" t="s">
        <v>497</v>
      </c>
      <c r="D146" s="23">
        <f>+'B) Reajuste Tarifas y Ocupación'!J48</f>
        <v>3800</v>
      </c>
      <c r="E146" s="23">
        <f>+'B) Reajuste Tarifas y Ocupación'!K48</f>
        <v>5700</v>
      </c>
      <c r="F146" s="23">
        <f>+'B) Reajuste Tarifas y Ocupación'!L48</f>
        <v>7100</v>
      </c>
      <c r="G146" s="23">
        <f>+'B) Reajuste Tarifas y Ocupación'!M48</f>
        <v>7400</v>
      </c>
      <c r="H146" s="1176"/>
      <c r="I146" s="1176"/>
      <c r="J146" s="1177"/>
    </row>
    <row r="147" spans="1:12" x14ac:dyDescent="0.35">
      <c r="A147" s="1190"/>
      <c r="B147" s="1193"/>
      <c r="C147" s="16" t="s">
        <v>35</v>
      </c>
      <c r="D147" s="24">
        <f>+'B) Reajuste Tarifas y Ocupación'!U48</f>
        <v>0</v>
      </c>
      <c r="E147" s="24">
        <f>+'B) Reajuste Tarifas y Ocupación'!V48</f>
        <v>0</v>
      </c>
      <c r="F147" s="24">
        <f>+'B) Reajuste Tarifas y Ocupación'!W48</f>
        <v>0</v>
      </c>
      <c r="G147" s="24">
        <f>+'B) Reajuste Tarifas y Ocupación'!X48</f>
        <v>0</v>
      </c>
      <c r="H147" s="1166"/>
      <c r="I147" s="1166"/>
      <c r="J147" s="1167"/>
    </row>
    <row r="148" spans="1:12" x14ac:dyDescent="0.35">
      <c r="A148" s="1190"/>
      <c r="B148" s="1194"/>
      <c r="C148" s="20" t="s">
        <v>36</v>
      </c>
      <c r="D148" s="21">
        <f>D147*D146</f>
        <v>0</v>
      </c>
      <c r="E148" s="21">
        <f>E147*E146</f>
        <v>0</v>
      </c>
      <c r="F148" s="21">
        <f>F147*F146</f>
        <v>0</v>
      </c>
      <c r="G148" s="21">
        <f>G147*G146</f>
        <v>0</v>
      </c>
      <c r="H148" s="22">
        <f>(E146-D146)*D147</f>
        <v>0</v>
      </c>
      <c r="I148" s="22">
        <f>SUM(D148:G148)</f>
        <v>0</v>
      </c>
      <c r="J148" s="22">
        <f>H148+I148</f>
        <v>0</v>
      </c>
    </row>
    <row r="149" spans="1:12" x14ac:dyDescent="0.35">
      <c r="A149" s="1191"/>
      <c r="B149" s="1168" t="s">
        <v>37</v>
      </c>
      <c r="C149" s="1169"/>
      <c r="D149" s="28">
        <f t="shared" ref="D149:J149" si="13">+D124+D127+D130+D133+D136+D139+D142+D145+D148</f>
        <v>0</v>
      </c>
      <c r="E149" s="28">
        <f t="shared" si="13"/>
        <v>12231100</v>
      </c>
      <c r="F149" s="28">
        <f t="shared" si="13"/>
        <v>1850000</v>
      </c>
      <c r="G149" s="28">
        <f t="shared" si="13"/>
        <v>0</v>
      </c>
      <c r="H149" s="28">
        <f t="shared" si="13"/>
        <v>0</v>
      </c>
      <c r="I149" s="28">
        <f t="shared" si="13"/>
        <v>14081100</v>
      </c>
      <c r="J149" s="28">
        <f t="shared" si="13"/>
        <v>14081100</v>
      </c>
    </row>
    <row r="151" spans="1:12" x14ac:dyDescent="0.35">
      <c r="J151" s="540">
        <f>+J149+J121+J114+J104+J97+J90+J80+J58</f>
        <v>985806450.00000012</v>
      </c>
    </row>
    <row r="154" spans="1:12" x14ac:dyDescent="0.35">
      <c r="A154" s="1214" t="s">
        <v>38</v>
      </c>
      <c r="B154" s="1214"/>
      <c r="C154" s="1214"/>
      <c r="D154" s="1214"/>
      <c r="E154"/>
      <c r="F154"/>
      <c r="G154"/>
    </row>
    <row r="155" spans="1:12" ht="15" thickBot="1" x14ac:dyDescent="0.4"/>
    <row r="156" spans="1:12" ht="23.25" customHeight="1" thickBot="1" x14ac:dyDescent="0.4">
      <c r="A156" s="1222" t="s">
        <v>39</v>
      </c>
      <c r="B156" s="1225" t="s">
        <v>40</v>
      </c>
      <c r="C156" s="1228" t="s">
        <v>41</v>
      </c>
      <c r="D156" s="1231" t="s">
        <v>42</v>
      </c>
      <c r="E156" s="1232"/>
      <c r="F156" s="1232"/>
      <c r="G156" s="1232"/>
      <c r="H156" s="1233"/>
    </row>
    <row r="157" spans="1:12" ht="29.25" customHeight="1" x14ac:dyDescent="0.35">
      <c r="A157" s="1223"/>
      <c r="B157" s="1226"/>
      <c r="C157" s="1229"/>
      <c r="D157" s="1238" t="s">
        <v>333</v>
      </c>
      <c r="E157" s="1240" t="s">
        <v>344</v>
      </c>
      <c r="F157" s="1240" t="s">
        <v>656</v>
      </c>
      <c r="G157" s="1242" t="s">
        <v>496</v>
      </c>
      <c r="H157" s="1243"/>
    </row>
    <row r="158" spans="1:12" ht="15" thickBot="1" x14ac:dyDescent="0.4">
      <c r="A158" s="1224"/>
      <c r="B158" s="1227"/>
      <c r="C158" s="1230"/>
      <c r="D158" s="1239"/>
      <c r="E158" s="1241"/>
      <c r="F158" s="1241"/>
      <c r="G158" s="1244"/>
      <c r="H158" s="1245"/>
      <c r="I158" s="538"/>
      <c r="K158" s="539"/>
    </row>
    <row r="159" spans="1:12" ht="29" x14ac:dyDescent="0.35">
      <c r="A159" s="1237" t="s">
        <v>18</v>
      </c>
      <c r="B159" s="31">
        <v>43101010200002</v>
      </c>
      <c r="C159" s="32" t="s">
        <v>44</v>
      </c>
      <c r="D159" s="33">
        <v>229481177</v>
      </c>
      <c r="E159" s="33">
        <v>279928822</v>
      </c>
      <c r="F159" s="33">
        <v>177451009</v>
      </c>
      <c r="G159" s="498">
        <v>247248406</v>
      </c>
      <c r="H159" s="1236">
        <f>SUM(G159:G163)</f>
        <v>257102059</v>
      </c>
      <c r="I159" s="12"/>
      <c r="K159" s="536"/>
      <c r="L159" s="542"/>
    </row>
    <row r="160" spans="1:12" x14ac:dyDescent="0.35">
      <c r="A160" s="1216"/>
      <c r="B160" s="34">
        <v>43101010200003</v>
      </c>
      <c r="C160" s="35" t="s">
        <v>45</v>
      </c>
      <c r="D160" s="36">
        <v>208500</v>
      </c>
      <c r="E160" s="36">
        <v>0</v>
      </c>
      <c r="F160" s="36">
        <v>0</v>
      </c>
      <c r="G160" s="37">
        <f>+(F160/7)*12*1.06</f>
        <v>0</v>
      </c>
      <c r="H160" s="1220"/>
      <c r="K160" s="536"/>
    </row>
    <row r="161" spans="1:12" ht="29" x14ac:dyDescent="0.35">
      <c r="A161" s="1216"/>
      <c r="B161" s="34">
        <v>43301010100000</v>
      </c>
      <c r="C161" s="35" t="s">
        <v>46</v>
      </c>
      <c r="D161" s="36">
        <v>0</v>
      </c>
      <c r="E161" s="36">
        <v>0</v>
      </c>
      <c r="F161" s="36">
        <v>0</v>
      </c>
      <c r="G161" s="37">
        <f>+(F161/7)*12*1.06</f>
        <v>0</v>
      </c>
      <c r="H161" s="1220"/>
      <c r="K161" s="537"/>
      <c r="L161" s="315"/>
    </row>
    <row r="162" spans="1:12" ht="29" x14ac:dyDescent="0.35">
      <c r="A162" s="1217"/>
      <c r="B162" s="38">
        <v>43101010200005</v>
      </c>
      <c r="C162" s="39" t="s">
        <v>47</v>
      </c>
      <c r="D162" s="36">
        <v>0</v>
      </c>
      <c r="E162" s="36">
        <v>0</v>
      </c>
      <c r="F162" s="36">
        <v>0</v>
      </c>
      <c r="G162" s="37">
        <f>+(F162/7)*12*1.06</f>
        <v>0</v>
      </c>
      <c r="H162" s="1220"/>
      <c r="J162" s="540"/>
    </row>
    <row r="163" spans="1:12" ht="29.5" thickBot="1" x14ac:dyDescent="0.4">
      <c r="A163" s="1217"/>
      <c r="B163" s="38">
        <v>43101010400003</v>
      </c>
      <c r="C163" s="40" t="s">
        <v>43</v>
      </c>
      <c r="D163" s="41">
        <v>9486285</v>
      </c>
      <c r="E163" s="41">
        <v>13912076</v>
      </c>
      <c r="F163" s="41">
        <v>7072000</v>
      </c>
      <c r="G163" s="42">
        <v>9853653</v>
      </c>
      <c r="H163" s="1220"/>
      <c r="J163" s="543"/>
    </row>
    <row r="164" spans="1:12" ht="29" x14ac:dyDescent="0.35">
      <c r="A164" s="1215" t="s">
        <v>19</v>
      </c>
      <c r="B164" s="43">
        <v>43101010200002</v>
      </c>
      <c r="C164" s="44" t="s">
        <v>44</v>
      </c>
      <c r="D164" s="45">
        <v>2849064</v>
      </c>
      <c r="E164" s="45">
        <v>0</v>
      </c>
      <c r="F164" s="45"/>
      <c r="G164" s="46"/>
      <c r="H164" s="1219">
        <f>SUM(G164:G168)</f>
        <v>28649372</v>
      </c>
    </row>
    <row r="165" spans="1:12" x14ac:dyDescent="0.35">
      <c r="A165" s="1216"/>
      <c r="B165" s="34">
        <v>43101010200003</v>
      </c>
      <c r="C165" s="35" t="s">
        <v>45</v>
      </c>
      <c r="D165" s="36">
        <v>4208435</v>
      </c>
      <c r="E165" s="36">
        <v>0</v>
      </c>
      <c r="F165" s="36">
        <v>367800</v>
      </c>
      <c r="G165" s="37">
        <v>512468</v>
      </c>
      <c r="H165" s="1220"/>
    </row>
    <row r="166" spans="1:12" ht="29" x14ac:dyDescent="0.35">
      <c r="A166" s="1216"/>
      <c r="B166" s="34">
        <v>43301010100000</v>
      </c>
      <c r="C166" s="35" t="s">
        <v>46</v>
      </c>
      <c r="D166" s="36">
        <v>0</v>
      </c>
      <c r="E166" s="36">
        <v>0</v>
      </c>
      <c r="F166" s="36">
        <v>0</v>
      </c>
      <c r="G166" s="498">
        <f>+(F166/7)*12*1.05</f>
        <v>0</v>
      </c>
      <c r="H166" s="1220"/>
    </row>
    <row r="167" spans="1:12" ht="29" x14ac:dyDescent="0.35">
      <c r="A167" s="1217"/>
      <c r="B167" s="38">
        <v>43101010200005</v>
      </c>
      <c r="C167" s="39" t="s">
        <v>47</v>
      </c>
      <c r="D167" s="36"/>
      <c r="E167" s="36">
        <v>0</v>
      </c>
      <c r="F167" s="36">
        <v>624454</v>
      </c>
      <c r="G167" s="37">
        <v>870073</v>
      </c>
      <c r="H167" s="1220"/>
    </row>
    <row r="168" spans="1:12" ht="29.5" thickBot="1" x14ac:dyDescent="0.4">
      <c r="A168" s="1218"/>
      <c r="B168" s="47">
        <v>43101010400003</v>
      </c>
      <c r="C168" s="48" t="s">
        <v>43</v>
      </c>
      <c r="D168" s="49">
        <v>27464888</v>
      </c>
      <c r="E168" s="49">
        <v>28598483</v>
      </c>
      <c r="F168" s="49">
        <v>19569496</v>
      </c>
      <c r="G168" s="50">
        <v>27266831</v>
      </c>
      <c r="H168" s="1221"/>
    </row>
    <row r="169" spans="1:12" ht="29" x14ac:dyDescent="0.35">
      <c r="A169" s="1234" t="s">
        <v>48</v>
      </c>
      <c r="B169" s="31">
        <v>43101010200010</v>
      </c>
      <c r="C169" s="32" t="s">
        <v>49</v>
      </c>
      <c r="D169" s="33">
        <v>15423861</v>
      </c>
      <c r="E169" s="33">
        <v>12219201</v>
      </c>
      <c r="F169" s="33">
        <v>10162235</v>
      </c>
      <c r="G169" s="51">
        <v>14159381</v>
      </c>
      <c r="H169" s="1236">
        <f>SUM(G169:G171)</f>
        <v>14559257</v>
      </c>
    </row>
    <row r="170" spans="1:12" ht="29" x14ac:dyDescent="0.35">
      <c r="A170" s="1234"/>
      <c r="B170" s="34">
        <v>43301010100000</v>
      </c>
      <c r="C170" s="35" t="s">
        <v>46</v>
      </c>
      <c r="D170" s="36">
        <v>3230870</v>
      </c>
      <c r="E170" s="36">
        <v>366180</v>
      </c>
      <c r="F170" s="36">
        <v>286992</v>
      </c>
      <c r="G170" s="37">
        <v>399876</v>
      </c>
      <c r="H170" s="1220"/>
    </row>
    <row r="171" spans="1:12" ht="29.5" thickBot="1" x14ac:dyDescent="0.4">
      <c r="A171" s="1235"/>
      <c r="B171" s="47">
        <v>43101010400003</v>
      </c>
      <c r="C171" s="48" t="s">
        <v>43</v>
      </c>
      <c r="D171" s="49">
        <v>0</v>
      </c>
      <c r="E171" s="49">
        <v>0</v>
      </c>
      <c r="F171" s="49">
        <v>0</v>
      </c>
      <c r="G171" s="50">
        <v>0</v>
      </c>
      <c r="H171" s="1221"/>
    </row>
    <row r="172" spans="1:12" ht="29" x14ac:dyDescent="0.35">
      <c r="A172" s="1215" t="s">
        <v>339</v>
      </c>
      <c r="B172" s="43">
        <v>43101010200002</v>
      </c>
      <c r="C172" s="44" t="s">
        <v>44</v>
      </c>
      <c r="D172" s="45">
        <v>14606549</v>
      </c>
      <c r="E172" s="45">
        <v>53497752</v>
      </c>
      <c r="F172" s="45">
        <v>50987450</v>
      </c>
      <c r="G172" s="509">
        <v>71042514</v>
      </c>
      <c r="H172" s="1219">
        <f>SUM(G172:G176)</f>
        <v>98961418</v>
      </c>
      <c r="I172" s="12"/>
      <c r="K172" s="536"/>
      <c r="L172" s="542"/>
    </row>
    <row r="173" spans="1:12" x14ac:dyDescent="0.35">
      <c r="A173" s="1216"/>
      <c r="B173" s="34">
        <v>43101010200003</v>
      </c>
      <c r="C173" s="35" t="s">
        <v>45</v>
      </c>
      <c r="D173" s="36">
        <v>0</v>
      </c>
      <c r="E173" s="36">
        <v>3698000</v>
      </c>
      <c r="F173" s="36">
        <v>0</v>
      </c>
      <c r="G173" s="37">
        <f>+(F173/7)*12*1.05</f>
        <v>0</v>
      </c>
      <c r="H173" s="1220"/>
      <c r="K173" s="536"/>
    </row>
    <row r="174" spans="1:12" ht="29" x14ac:dyDescent="0.35">
      <c r="A174" s="1216"/>
      <c r="B174" s="34">
        <v>43301010100000</v>
      </c>
      <c r="C174" s="35" t="s">
        <v>46</v>
      </c>
      <c r="D174" s="36"/>
      <c r="E174" s="36">
        <v>1938235</v>
      </c>
      <c r="F174" s="36">
        <v>378151</v>
      </c>
      <c r="G174" s="37">
        <v>526890</v>
      </c>
      <c r="H174" s="1220"/>
      <c r="K174" s="541"/>
      <c r="L174" s="315"/>
    </row>
    <row r="175" spans="1:12" ht="29" x14ac:dyDescent="0.35">
      <c r="A175" s="1217"/>
      <c r="B175" s="38">
        <v>43101010200005</v>
      </c>
      <c r="C175" s="39" t="s">
        <v>47</v>
      </c>
      <c r="D175" s="36"/>
      <c r="E175" s="36">
        <v>0</v>
      </c>
      <c r="F175" s="36">
        <v>0</v>
      </c>
      <c r="G175" s="37">
        <v>0</v>
      </c>
      <c r="H175" s="1220"/>
    </row>
    <row r="176" spans="1:12" ht="29.5" thickBot="1" x14ac:dyDescent="0.4">
      <c r="A176" s="1218"/>
      <c r="B176" s="47">
        <v>43101010400003</v>
      </c>
      <c r="C176" s="48" t="s">
        <v>43</v>
      </c>
      <c r="D176" s="49">
        <v>11227582</v>
      </c>
      <c r="E176" s="49">
        <v>34980000</v>
      </c>
      <c r="F176" s="49">
        <v>19659340</v>
      </c>
      <c r="G176" s="50">
        <v>27392014</v>
      </c>
      <c r="H176" s="1221"/>
      <c r="J176" s="540"/>
    </row>
    <row r="177" spans="8:10" x14ac:dyDescent="0.35">
      <c r="J177" s="543"/>
    </row>
    <row r="178" spans="8:10" x14ac:dyDescent="0.35">
      <c r="H178" s="540"/>
      <c r="J178" s="543"/>
    </row>
  </sheetData>
  <mergeCells count="212">
    <mergeCell ref="A172:A176"/>
    <mergeCell ref="H172:H176"/>
    <mergeCell ref="A156:A158"/>
    <mergeCell ref="B156:B158"/>
    <mergeCell ref="C156:C158"/>
    <mergeCell ref="D156:H156"/>
    <mergeCell ref="A164:A168"/>
    <mergeCell ref="H164:H168"/>
    <mergeCell ref="A169:A171"/>
    <mergeCell ref="H169:H171"/>
    <mergeCell ref="A159:A163"/>
    <mergeCell ref="H159:H163"/>
    <mergeCell ref="D157:D158"/>
    <mergeCell ref="E157:E158"/>
    <mergeCell ref="F157:F158"/>
    <mergeCell ref="G157:H158"/>
    <mergeCell ref="B140:B142"/>
    <mergeCell ref="H140:H141"/>
    <mergeCell ref="I140:I141"/>
    <mergeCell ref="J140:J141"/>
    <mergeCell ref="J131:J132"/>
    <mergeCell ref="B128:B130"/>
    <mergeCell ref="H134:H135"/>
    <mergeCell ref="I134:I135"/>
    <mergeCell ref="J134:J135"/>
    <mergeCell ref="B137:B139"/>
    <mergeCell ref="H137:H138"/>
    <mergeCell ref="I137:I138"/>
    <mergeCell ref="J146:J147"/>
    <mergeCell ref="D128:D129"/>
    <mergeCell ref="H128:H129"/>
    <mergeCell ref="I128:I129"/>
    <mergeCell ref="J128:J129"/>
    <mergeCell ref="J137:J138"/>
    <mergeCell ref="B149:C149"/>
    <mergeCell ref="A154:D154"/>
    <mergeCell ref="A122:A149"/>
    <mergeCell ref="B122:B124"/>
    <mergeCell ref="H122:H123"/>
    <mergeCell ref="I122:I123"/>
    <mergeCell ref="B131:B133"/>
    <mergeCell ref="D131:D132"/>
    <mergeCell ref="H131:H132"/>
    <mergeCell ref="I131:I132"/>
    <mergeCell ref="B143:B145"/>
    <mergeCell ref="H143:H144"/>
    <mergeCell ref="I143:I144"/>
    <mergeCell ref="J143:J144"/>
    <mergeCell ref="B146:B148"/>
    <mergeCell ref="H146:H147"/>
    <mergeCell ref="I146:I147"/>
    <mergeCell ref="J122:J123"/>
    <mergeCell ref="B125:B127"/>
    <mergeCell ref="H125:H126"/>
    <mergeCell ref="I125:I126"/>
    <mergeCell ref="J125:J126"/>
    <mergeCell ref="B134:B136"/>
    <mergeCell ref="J115:J116"/>
    <mergeCell ref="B118:B120"/>
    <mergeCell ref="D118:D119"/>
    <mergeCell ref="H118:H119"/>
    <mergeCell ref="I118:I119"/>
    <mergeCell ref="J118:J119"/>
    <mergeCell ref="A115:A121"/>
    <mergeCell ref="B115:B117"/>
    <mergeCell ref="D115:D116"/>
    <mergeCell ref="H115:H116"/>
    <mergeCell ref="I115:I116"/>
    <mergeCell ref="B121:C121"/>
    <mergeCell ref="J108:J109"/>
    <mergeCell ref="B111:B113"/>
    <mergeCell ref="D111:D112"/>
    <mergeCell ref="H111:H112"/>
    <mergeCell ref="I111:I112"/>
    <mergeCell ref="J111:J112"/>
    <mergeCell ref="A105:A114"/>
    <mergeCell ref="B105:B107"/>
    <mergeCell ref="H105:H106"/>
    <mergeCell ref="I105:I106"/>
    <mergeCell ref="J105:J106"/>
    <mergeCell ref="B108:B110"/>
    <mergeCell ref="H108:H109"/>
    <mergeCell ref="I108:I109"/>
    <mergeCell ref="B114:C114"/>
    <mergeCell ref="J94:J95"/>
    <mergeCell ref="B97:C97"/>
    <mergeCell ref="A98:A104"/>
    <mergeCell ref="B98:B100"/>
    <mergeCell ref="H98:H99"/>
    <mergeCell ref="I98:I99"/>
    <mergeCell ref="J98:J99"/>
    <mergeCell ref="B101:B103"/>
    <mergeCell ref="H101:H102"/>
    <mergeCell ref="I101:I102"/>
    <mergeCell ref="A91:A97"/>
    <mergeCell ref="B91:B93"/>
    <mergeCell ref="D91:D92"/>
    <mergeCell ref="H91:H92"/>
    <mergeCell ref="I91:I92"/>
    <mergeCell ref="J91:J92"/>
    <mergeCell ref="B94:B96"/>
    <mergeCell ref="D94:D95"/>
    <mergeCell ref="H94:H95"/>
    <mergeCell ref="I94:I95"/>
    <mergeCell ref="J101:J102"/>
    <mergeCell ref="B104:C104"/>
    <mergeCell ref="B90:C90"/>
    <mergeCell ref="B80:C80"/>
    <mergeCell ref="A81:A90"/>
    <mergeCell ref="B81:B83"/>
    <mergeCell ref="H81:H82"/>
    <mergeCell ref="I81:I82"/>
    <mergeCell ref="J81:J82"/>
    <mergeCell ref="B84:B86"/>
    <mergeCell ref="H84:H85"/>
    <mergeCell ref="I84:I85"/>
    <mergeCell ref="J84:J85"/>
    <mergeCell ref="A59:A80"/>
    <mergeCell ref="B59:B61"/>
    <mergeCell ref="H59:H60"/>
    <mergeCell ref="I59:I60"/>
    <mergeCell ref="J59:J60"/>
    <mergeCell ref="B62:B64"/>
    <mergeCell ref="H62:H63"/>
    <mergeCell ref="I62:I63"/>
    <mergeCell ref="D74:D75"/>
    <mergeCell ref="H74:H75"/>
    <mergeCell ref="I74:I75"/>
    <mergeCell ref="J74:J75"/>
    <mergeCell ref="B87:B89"/>
    <mergeCell ref="D87:D88"/>
    <mergeCell ref="H87:H88"/>
    <mergeCell ref="I87:I88"/>
    <mergeCell ref="J87:J88"/>
    <mergeCell ref="B77:B79"/>
    <mergeCell ref="H77:H78"/>
    <mergeCell ref="I77:I78"/>
    <mergeCell ref="J77:J78"/>
    <mergeCell ref="D52:D53"/>
    <mergeCell ref="H52:H53"/>
    <mergeCell ref="I52:I53"/>
    <mergeCell ref="J52:J53"/>
    <mergeCell ref="H65:H66"/>
    <mergeCell ref="I65:I66"/>
    <mergeCell ref="J65:J66"/>
    <mergeCell ref="B68:B70"/>
    <mergeCell ref="D68:D69"/>
    <mergeCell ref="H68:H69"/>
    <mergeCell ref="I68:I69"/>
    <mergeCell ref="J68:J69"/>
    <mergeCell ref="J62:J63"/>
    <mergeCell ref="B65:B67"/>
    <mergeCell ref="B71:B73"/>
    <mergeCell ref="D71:D72"/>
    <mergeCell ref="H71:H72"/>
    <mergeCell ref="I71:I72"/>
    <mergeCell ref="J71:J72"/>
    <mergeCell ref="B74:B76"/>
    <mergeCell ref="I29:I30"/>
    <mergeCell ref="J29:J30"/>
    <mergeCell ref="H43:H44"/>
    <mergeCell ref="I43:I44"/>
    <mergeCell ref="J43:J44"/>
    <mergeCell ref="B46:B48"/>
    <mergeCell ref="D46:D47"/>
    <mergeCell ref="H46:H47"/>
    <mergeCell ref="I46:I47"/>
    <mergeCell ref="J46:J47"/>
    <mergeCell ref="B40:B42"/>
    <mergeCell ref="H40:H41"/>
    <mergeCell ref="I40:I41"/>
    <mergeCell ref="J40:J41"/>
    <mergeCell ref="B43:B45"/>
    <mergeCell ref="C43:C44"/>
    <mergeCell ref="D43:D44"/>
    <mergeCell ref="E43:E44"/>
    <mergeCell ref="F43:F44"/>
    <mergeCell ref="G43:G44"/>
    <mergeCell ref="J31:J32"/>
    <mergeCell ref="I34:I35"/>
    <mergeCell ref="J34:J35"/>
    <mergeCell ref="C4:D4"/>
    <mergeCell ref="E4:F4"/>
    <mergeCell ref="A6:D6"/>
    <mergeCell ref="A27:D27"/>
    <mergeCell ref="A29:A30"/>
    <mergeCell ref="B29:B30"/>
    <mergeCell ref="C29:C30"/>
    <mergeCell ref="D29:G29"/>
    <mergeCell ref="H29:H30"/>
    <mergeCell ref="A31:A58"/>
    <mergeCell ref="B31:B33"/>
    <mergeCell ref="H31:H32"/>
    <mergeCell ref="B34:B36"/>
    <mergeCell ref="H34:H35"/>
    <mergeCell ref="B37:B39"/>
    <mergeCell ref="I37:I38"/>
    <mergeCell ref="I31:I32"/>
    <mergeCell ref="J37:J38"/>
    <mergeCell ref="B55:B57"/>
    <mergeCell ref="D55:D56"/>
    <mergeCell ref="H55:H56"/>
    <mergeCell ref="H37:H38"/>
    <mergeCell ref="I55:I56"/>
    <mergeCell ref="J55:J56"/>
    <mergeCell ref="B58:C58"/>
    <mergeCell ref="B49:B51"/>
    <mergeCell ref="D49:D50"/>
    <mergeCell ref="H49:H50"/>
    <mergeCell ref="I49:I50"/>
    <mergeCell ref="J49:J50"/>
    <mergeCell ref="B52:B54"/>
  </mergeCells>
  <conditionalFormatting sqref="E9:M20 B9:D25">
    <cfRule type="cellIs" dxfId="15" priority="10" stopIfTrue="1" operator="lessThan">
      <formula>0</formula>
    </cfRule>
  </conditionalFormatting>
  <conditionalFormatting sqref="E21:O21 E22:M23 N23 E24:L24 E25:M25 C26:L26 E27:J27">
    <cfRule type="cellIs" dxfId="14" priority="23" stopIfTrue="1" operator="lessThan">
      <formula>0</formula>
    </cfRule>
  </conditionalFormatting>
  <conditionalFormatting sqref="M9:N21">
    <cfRule type="cellIs" dxfId="13" priority="9" stopIfTrue="1" operator="lessThan">
      <formula>0</formula>
    </cfRule>
  </conditionalFormatting>
  <hyperlinks>
    <hyperlink ref="A6:D6" location="'Índice Tablas '!A1" display="TABLA 1: RESUMEN DE INGRESOS Y EGRESOS DE CENTROS DE BENEFICIOS" xr:uid="{00000000-0004-0000-0200-000000000000}"/>
    <hyperlink ref="A27:D27" location="'Índice Tablas '!A1" display="TABLA 2: DETALLE DE INGRESOS POR PRESTACIÓN Y SEGMENTO" xr:uid="{00000000-0004-0000-0200-000001000000}"/>
    <hyperlink ref="A154:D154" location="'Índice Tablas '!A1" display="TABLA N°2-A: INGRESOS ESTIMADOS POR UNIDAD DE NEGOCIOS" xr:uid="{00000000-0004-0000-0200-000002000000}"/>
  </hyperlinks>
  <pageMargins left="0.7" right="0.7" top="0.75" bottom="0.75" header="0.3" footer="0.3"/>
  <pageSetup orientation="portrait" r:id="rId1"/>
  <ignoredErrors>
    <ignoredError sqref="G160:G161 G162 G173 G166 G171 G17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A51"/>
  <sheetViews>
    <sheetView topLeftCell="A5" workbookViewId="0">
      <selection activeCell="W45" sqref="W45"/>
    </sheetView>
  </sheetViews>
  <sheetFormatPr baseColWidth="10" defaultRowHeight="14.5" x14ac:dyDescent="0.35"/>
  <cols>
    <col min="1" max="1" width="28" customWidth="1"/>
    <col min="2" max="2" width="53.453125" bestFit="1" customWidth="1"/>
    <col min="3" max="4" width="14.81640625" customWidth="1"/>
    <col min="5" max="5" width="15.453125" customWidth="1"/>
    <col min="6" max="6" width="15.54296875" customWidth="1"/>
    <col min="7" max="7" width="14.81640625" bestFit="1" customWidth="1"/>
    <col min="8" max="8" width="15.7265625" customWidth="1"/>
    <col min="9" max="9" width="15.453125" bestFit="1" customWidth="1"/>
    <col min="10" max="10" width="13.54296875" customWidth="1"/>
    <col min="11" max="11" width="14.81640625" bestFit="1" customWidth="1"/>
    <col min="12" max="13" width="15.453125" bestFit="1" customWidth="1"/>
    <col min="14" max="17" width="14" customWidth="1"/>
    <col min="18" max="18" width="11.81640625" customWidth="1"/>
    <col min="19" max="19" width="33.81640625" customWidth="1"/>
    <col min="20" max="20" width="53.453125" bestFit="1" customWidth="1"/>
    <col min="22" max="24" width="13.54296875" bestFit="1" customWidth="1"/>
  </cols>
  <sheetData>
    <row r="1" spans="1:27" x14ac:dyDescent="0.35">
      <c r="A1" s="745"/>
      <c r="B1" s="746"/>
      <c r="C1" s="746"/>
      <c r="D1" s="746"/>
      <c r="E1" s="746"/>
      <c r="F1" s="747"/>
      <c r="G1" s="746"/>
      <c r="H1" s="746"/>
      <c r="I1" s="746"/>
      <c r="J1" s="746"/>
      <c r="K1" s="745"/>
      <c r="L1" s="746"/>
      <c r="M1" s="746"/>
      <c r="N1" s="746"/>
      <c r="O1" s="746"/>
      <c r="P1" s="746"/>
      <c r="Q1" s="746"/>
      <c r="R1" s="746"/>
      <c r="S1" s="746"/>
      <c r="T1" s="746"/>
      <c r="U1" s="746"/>
      <c r="V1" s="746"/>
      <c r="W1" s="746"/>
      <c r="X1" s="746"/>
      <c r="Y1" s="746"/>
    </row>
    <row r="2" spans="1:27" x14ac:dyDescent="0.35">
      <c r="A2" s="748"/>
      <c r="B2" s="746"/>
      <c r="C2" s="746"/>
      <c r="D2" s="746"/>
      <c r="E2" s="746"/>
      <c r="F2" s="747" t="s">
        <v>50</v>
      </c>
      <c r="G2" s="746"/>
      <c r="H2" s="746"/>
      <c r="I2" s="746"/>
      <c r="J2" s="746"/>
      <c r="K2" s="748"/>
      <c r="L2" s="746"/>
      <c r="M2" s="746"/>
      <c r="N2" s="746"/>
      <c r="O2" s="746"/>
      <c r="P2" s="746"/>
      <c r="Q2" s="746"/>
      <c r="R2" s="746"/>
      <c r="S2" s="746"/>
      <c r="T2" s="746"/>
      <c r="U2" s="746"/>
      <c r="V2" s="746"/>
      <c r="W2" s="746"/>
      <c r="X2" s="746"/>
      <c r="Y2" s="746"/>
    </row>
    <row r="3" spans="1:27" x14ac:dyDescent="0.35">
      <c r="A3" s="5"/>
      <c r="B3" s="746"/>
      <c r="C3" s="746"/>
      <c r="D3" s="746"/>
      <c r="E3" s="746"/>
      <c r="F3" s="746"/>
      <c r="G3" s="746"/>
      <c r="H3" s="746"/>
      <c r="I3" s="746"/>
      <c r="J3" s="746"/>
      <c r="K3" s="5"/>
      <c r="L3" s="749"/>
      <c r="M3" s="746"/>
      <c r="N3" s="746"/>
      <c r="O3" s="746"/>
      <c r="P3" s="746"/>
      <c r="Q3" s="746"/>
      <c r="R3" s="746"/>
      <c r="S3" s="746"/>
      <c r="T3" s="746"/>
      <c r="U3" s="746"/>
      <c r="V3" s="746"/>
      <c r="W3" s="746"/>
      <c r="X3" s="746"/>
      <c r="Y3" s="746"/>
    </row>
    <row r="4" spans="1:27" ht="15" thickBot="1" x14ac:dyDescent="0.4">
      <c r="A4" s="5"/>
      <c r="B4" s="750"/>
      <c r="C4" s="750"/>
      <c r="D4" s="746"/>
      <c r="E4" s="746"/>
      <c r="F4" s="746"/>
      <c r="G4" s="746"/>
      <c r="H4" s="746"/>
      <c r="I4" s="746"/>
      <c r="J4" s="746"/>
      <c r="K4" s="5"/>
      <c r="L4" s="750"/>
      <c r="M4" s="746"/>
      <c r="N4" s="746"/>
      <c r="O4" s="746"/>
      <c r="P4" s="746"/>
      <c r="Q4" s="746"/>
      <c r="R4" s="746"/>
      <c r="S4" s="746"/>
      <c r="T4" s="746"/>
      <c r="U4" s="746"/>
      <c r="V4" s="746"/>
      <c r="W4" s="746"/>
      <c r="X4" s="746"/>
      <c r="Y4" s="746"/>
    </row>
    <row r="5" spans="1:27" ht="15" thickBot="1" x14ac:dyDescent="0.4">
      <c r="A5" s="5"/>
      <c r="B5" s="750"/>
      <c r="C5" s="750"/>
      <c r="D5" s="1246" t="s">
        <v>1</v>
      </c>
      <c r="E5" s="1247"/>
      <c r="F5" s="1248" t="s">
        <v>51</v>
      </c>
      <c r="G5" s="1249"/>
      <c r="H5" s="747"/>
      <c r="I5" s="747"/>
      <c r="J5" s="747"/>
      <c r="K5" s="5"/>
      <c r="L5" s="749"/>
      <c r="M5" s="746"/>
      <c r="N5" s="746"/>
      <c r="O5" s="746"/>
      <c r="P5" s="746"/>
      <c r="Q5" s="746"/>
      <c r="R5" s="746"/>
      <c r="S5" s="7"/>
      <c r="T5" s="746"/>
      <c r="U5" s="746"/>
      <c r="V5" s="746"/>
      <c r="W5" s="746"/>
      <c r="X5" s="746"/>
      <c r="Y5" s="746"/>
    </row>
    <row r="6" spans="1:27" ht="15" thickBot="1" x14ac:dyDescent="0.4">
      <c r="A6" s="5"/>
      <c r="B6" s="750"/>
      <c r="C6" s="750"/>
      <c r="D6" s="751"/>
      <c r="E6" s="751"/>
      <c r="F6" s="747"/>
      <c r="G6" s="747"/>
      <c r="H6" s="747"/>
      <c r="I6" s="747"/>
      <c r="J6" s="747"/>
      <c r="K6" s="5"/>
      <c r="L6" s="750"/>
      <c r="M6" s="746"/>
      <c r="N6" s="746"/>
      <c r="O6" s="746"/>
      <c r="P6" s="746"/>
      <c r="Q6" s="746"/>
      <c r="R6" s="746"/>
      <c r="S6" s="7"/>
      <c r="T6" s="746"/>
      <c r="U6" s="746"/>
      <c r="V6" s="746"/>
      <c r="W6" s="746"/>
      <c r="X6" s="746"/>
      <c r="Y6" s="746"/>
    </row>
    <row r="7" spans="1:27" ht="15" thickBot="1" x14ac:dyDescent="0.4">
      <c r="A7" s="5"/>
      <c r="B7" s="920"/>
      <c r="C7" s="920"/>
      <c r="D7" s="751"/>
      <c r="E7" s="751"/>
      <c r="F7" s="747"/>
      <c r="G7" s="747"/>
      <c r="H7" s="752" t="s">
        <v>312</v>
      </c>
      <c r="I7" s="753"/>
      <c r="J7" s="754"/>
      <c r="K7" s="755">
        <v>4.4999999999999998E-2</v>
      </c>
      <c r="L7" s="750"/>
      <c r="M7" s="746"/>
      <c r="N7" s="746"/>
      <c r="O7" s="746"/>
      <c r="P7" s="746"/>
      <c r="Q7" s="746"/>
      <c r="R7" s="746"/>
      <c r="S7" s="730"/>
      <c r="T7" s="746"/>
      <c r="U7" s="746"/>
      <c r="V7" s="746"/>
      <c r="W7" s="746"/>
      <c r="X7" s="746"/>
      <c r="Y7" s="746"/>
    </row>
    <row r="8" spans="1:27" x14ac:dyDescent="0.35">
      <c r="A8" s="1250" t="s">
        <v>52</v>
      </c>
      <c r="B8" s="1250"/>
      <c r="C8" s="1250"/>
      <c r="D8" s="921"/>
      <c r="E8" s="747"/>
      <c r="F8" s="747"/>
      <c r="G8" s="746"/>
      <c r="H8" s="746"/>
      <c r="I8" s="746"/>
      <c r="J8" s="746"/>
      <c r="K8" s="746"/>
      <c r="L8" s="746"/>
      <c r="M8" s="746"/>
      <c r="N8" s="746"/>
      <c r="O8" s="746"/>
      <c r="P8" s="746"/>
      <c r="Q8" s="746"/>
      <c r="R8" s="746"/>
      <c r="S8" s="1251" t="s">
        <v>53</v>
      </c>
      <c r="T8" s="1251"/>
      <c r="U8" s="1251"/>
      <c r="V8" s="731"/>
      <c r="W8" s="746"/>
      <c r="X8" s="746"/>
      <c r="Y8" s="746"/>
    </row>
    <row r="9" spans="1:27" ht="15" thickBot="1" x14ac:dyDescent="0.4"/>
    <row r="10" spans="1:27" ht="15.75" customHeight="1" thickBot="1" x14ac:dyDescent="0.4">
      <c r="A10" s="1252" t="s">
        <v>3</v>
      </c>
      <c r="B10" s="1252" t="s">
        <v>26</v>
      </c>
      <c r="C10" s="1254" t="s">
        <v>343</v>
      </c>
      <c r="D10" s="1255"/>
      <c r="E10" s="1255"/>
      <c r="F10" s="1256"/>
      <c r="G10" s="1257" t="s">
        <v>54</v>
      </c>
      <c r="H10" s="1258"/>
      <c r="I10" s="1259"/>
      <c r="J10" s="1254" t="s">
        <v>493</v>
      </c>
      <c r="K10" s="1255"/>
      <c r="L10" s="1255"/>
      <c r="M10" s="1256"/>
      <c r="N10" s="1275" t="s">
        <v>483</v>
      </c>
      <c r="O10" s="1276"/>
      <c r="P10" s="1276"/>
      <c r="Q10" s="1277"/>
      <c r="R10" s="756"/>
      <c r="S10" s="1260" t="s">
        <v>25</v>
      </c>
      <c r="T10" s="1262" t="s">
        <v>26</v>
      </c>
      <c r="U10" s="1264" t="s">
        <v>498</v>
      </c>
      <c r="V10" s="1265"/>
      <c r="W10" s="1265"/>
      <c r="X10" s="1266"/>
      <c r="Y10" s="1267" t="s">
        <v>56</v>
      </c>
    </row>
    <row r="11" spans="1:27" ht="29.5" thickBot="1" x14ac:dyDescent="0.4">
      <c r="A11" s="1253"/>
      <c r="B11" s="1253"/>
      <c r="C11" s="757" t="s">
        <v>57</v>
      </c>
      <c r="D11" s="758" t="s">
        <v>31</v>
      </c>
      <c r="E11" s="758" t="s">
        <v>32</v>
      </c>
      <c r="F11" s="898" t="s">
        <v>33</v>
      </c>
      <c r="G11" s="894" t="s">
        <v>31</v>
      </c>
      <c r="H11" s="900" t="s">
        <v>32</v>
      </c>
      <c r="I11" s="895" t="s">
        <v>33</v>
      </c>
      <c r="J11" s="899" t="s">
        <v>57</v>
      </c>
      <c r="K11" s="758" t="s">
        <v>31</v>
      </c>
      <c r="L11" s="758" t="s">
        <v>32</v>
      </c>
      <c r="M11" s="759" t="s">
        <v>33</v>
      </c>
      <c r="N11" s="760" t="s">
        <v>57</v>
      </c>
      <c r="O11" s="761" t="s">
        <v>484</v>
      </c>
      <c r="P11" s="761" t="s">
        <v>485</v>
      </c>
      <c r="Q11" s="762" t="s">
        <v>486</v>
      </c>
      <c r="R11" s="756"/>
      <c r="S11" s="1261"/>
      <c r="T11" s="1263"/>
      <c r="U11" s="763" t="s">
        <v>30</v>
      </c>
      <c r="V11" s="764" t="s">
        <v>31</v>
      </c>
      <c r="W11" s="764" t="s">
        <v>32</v>
      </c>
      <c r="X11" s="765" t="s">
        <v>33</v>
      </c>
      <c r="Y11" s="1268"/>
    </row>
    <row r="12" spans="1:27" x14ac:dyDescent="0.35">
      <c r="A12" s="1269" t="s">
        <v>58</v>
      </c>
      <c r="B12" s="574" t="s">
        <v>59</v>
      </c>
      <c r="C12" s="766">
        <v>40700</v>
      </c>
      <c r="D12" s="767">
        <v>62600</v>
      </c>
      <c r="E12" s="767">
        <v>78100</v>
      </c>
      <c r="F12" s="768">
        <v>81600</v>
      </c>
      <c r="G12" s="901">
        <v>4.4999999999999998E-2</v>
      </c>
      <c r="H12" s="897">
        <v>4.4999999999999998E-2</v>
      </c>
      <c r="I12" s="902">
        <v>4.4999999999999998E-2</v>
      </c>
      <c r="J12" s="769">
        <f>IF(OR(C12=0,C12=""),0,CEILING(K12*0.65,100))</f>
        <v>42600</v>
      </c>
      <c r="K12" s="770">
        <f>CEILING($D12*(1+$G12),100)</f>
        <v>65500</v>
      </c>
      <c r="L12" s="770">
        <f>CEILING($E12*(1+$H12),100)</f>
        <v>81700</v>
      </c>
      <c r="M12" s="771">
        <f>CEILING($F12*(1+$I12),100)</f>
        <v>85300</v>
      </c>
      <c r="N12" s="769">
        <f>J12-C12</f>
        <v>1900</v>
      </c>
      <c r="O12" s="770">
        <f>K12-D12</f>
        <v>2900</v>
      </c>
      <c r="P12" s="770">
        <f>L12-E12</f>
        <v>3600</v>
      </c>
      <c r="Q12" s="771">
        <f>M12-F12</f>
        <v>3700</v>
      </c>
      <c r="R12" s="732"/>
      <c r="S12" s="1272" t="str">
        <f>+A12</f>
        <v>C. H. Carlos Condell</v>
      </c>
      <c r="T12" s="733" t="str">
        <f>+B12</f>
        <v>Superior</v>
      </c>
      <c r="U12" s="772">
        <v>145</v>
      </c>
      <c r="V12" s="773">
        <v>77</v>
      </c>
      <c r="W12" s="773">
        <v>62</v>
      </c>
      <c r="X12" s="774">
        <v>5</v>
      </c>
      <c r="Y12" s="775">
        <f>SUM(U12:X12)</f>
        <v>289</v>
      </c>
    </row>
    <row r="13" spans="1:27" x14ac:dyDescent="0.35">
      <c r="A13" s="1270"/>
      <c r="B13" s="575" t="s">
        <v>60</v>
      </c>
      <c r="C13" s="776">
        <v>29200</v>
      </c>
      <c r="D13" s="777">
        <v>44900</v>
      </c>
      <c r="E13" s="777">
        <v>55900</v>
      </c>
      <c r="F13" s="778">
        <v>58500</v>
      </c>
      <c r="G13" s="901">
        <v>4.4999999999999998E-2</v>
      </c>
      <c r="H13" s="897">
        <v>4.4999999999999998E-2</v>
      </c>
      <c r="I13" s="902">
        <v>4.4999999999999998E-2</v>
      </c>
      <c r="J13" s="779">
        <f t="shared" ref="J13:J23" si="0">IF(OR(C13=0,C13=""),0,CEILING(K13*0.65,100))</f>
        <v>30600</v>
      </c>
      <c r="K13" s="780">
        <f t="shared" ref="K13:K26" si="1">CEILING($D13*(1+$G13),100)</f>
        <v>47000</v>
      </c>
      <c r="L13" s="780">
        <f t="shared" ref="L13:L26" si="2">CEILING($E13*(1+$H13),100)</f>
        <v>58500</v>
      </c>
      <c r="M13" s="781">
        <f t="shared" ref="M13:M26" si="3">CEILING($F13*(1+$I13),100)</f>
        <v>61200</v>
      </c>
      <c r="N13" s="779">
        <f>J13-C13</f>
        <v>1400</v>
      </c>
      <c r="O13" s="780">
        <f t="shared" ref="O13:O48" si="4">K13-D13</f>
        <v>2100</v>
      </c>
      <c r="P13" s="780">
        <f t="shared" ref="P13:P48" si="5">L13-E13</f>
        <v>2600</v>
      </c>
      <c r="Q13" s="781">
        <f t="shared" ref="Q13:Q48" si="6">M13-F13</f>
        <v>2700</v>
      </c>
      <c r="R13" s="732"/>
      <c r="S13" s="1273"/>
      <c r="T13" s="733" t="str">
        <f t="shared" ref="T13:T48" si="7">+B13</f>
        <v>Simple</v>
      </c>
      <c r="U13" s="782">
        <v>498</v>
      </c>
      <c r="V13" s="783">
        <v>100</v>
      </c>
      <c r="W13" s="783">
        <v>56</v>
      </c>
      <c r="X13" s="784">
        <v>12</v>
      </c>
      <c r="Y13" s="785">
        <f t="shared" ref="Y13:Y18" si="8">SUM(U13:X13)</f>
        <v>666</v>
      </c>
    </row>
    <row r="14" spans="1:27" x14ac:dyDescent="0.35">
      <c r="A14" s="1270"/>
      <c r="B14" s="575" t="s">
        <v>61</v>
      </c>
      <c r="C14" s="776">
        <v>31900</v>
      </c>
      <c r="D14" s="777">
        <v>49000</v>
      </c>
      <c r="E14" s="777">
        <v>61000</v>
      </c>
      <c r="F14" s="778">
        <v>63800</v>
      </c>
      <c r="G14" s="901">
        <v>4.4999999999999998E-2</v>
      </c>
      <c r="H14" s="897">
        <v>4.4999999999999998E-2</v>
      </c>
      <c r="I14" s="902">
        <v>4.4999999999999998E-2</v>
      </c>
      <c r="J14" s="779">
        <f t="shared" si="0"/>
        <v>33400</v>
      </c>
      <c r="K14" s="780">
        <f t="shared" si="1"/>
        <v>51300</v>
      </c>
      <c r="L14" s="780">
        <f t="shared" si="2"/>
        <v>63800</v>
      </c>
      <c r="M14" s="781">
        <f t="shared" si="3"/>
        <v>66700</v>
      </c>
      <c r="N14" s="779">
        <f>J14-C14</f>
        <v>1500</v>
      </c>
      <c r="O14" s="780">
        <f t="shared" si="4"/>
        <v>2300</v>
      </c>
      <c r="P14" s="780">
        <f t="shared" si="5"/>
        <v>2800</v>
      </c>
      <c r="Q14" s="781">
        <f t="shared" si="6"/>
        <v>2900</v>
      </c>
      <c r="R14" s="732"/>
      <c r="S14" s="1273"/>
      <c r="T14" s="733" t="str">
        <f t="shared" si="7"/>
        <v>Doble</v>
      </c>
      <c r="U14" s="782">
        <v>298</v>
      </c>
      <c r="V14" s="783">
        <v>49</v>
      </c>
      <c r="W14" s="783">
        <v>49</v>
      </c>
      <c r="X14" s="784">
        <v>8</v>
      </c>
      <c r="Y14" s="785">
        <f t="shared" si="8"/>
        <v>404</v>
      </c>
      <c r="Z14">
        <f>Y14*2</f>
        <v>808</v>
      </c>
      <c r="AA14" s="1160">
        <f>Y12+Y13+Y14+Y15</f>
        <v>1700</v>
      </c>
    </row>
    <row r="15" spans="1:27" x14ac:dyDescent="0.35">
      <c r="A15" s="1270"/>
      <c r="B15" s="575" t="s">
        <v>62</v>
      </c>
      <c r="C15" s="776">
        <v>31900</v>
      </c>
      <c r="D15" s="777">
        <v>49000</v>
      </c>
      <c r="E15" s="777">
        <v>61000</v>
      </c>
      <c r="F15" s="778">
        <v>63800</v>
      </c>
      <c r="G15" s="901">
        <v>4.4999999999999998E-2</v>
      </c>
      <c r="H15" s="897">
        <v>4.4999999999999998E-2</v>
      </c>
      <c r="I15" s="902">
        <v>4.4999999999999998E-2</v>
      </c>
      <c r="J15" s="779">
        <f t="shared" si="0"/>
        <v>33400</v>
      </c>
      <c r="K15" s="780">
        <f>CEILING($D15*(1+$G15),100)</f>
        <v>51300</v>
      </c>
      <c r="L15" s="780">
        <f t="shared" si="2"/>
        <v>63800</v>
      </c>
      <c r="M15" s="781">
        <f t="shared" si="3"/>
        <v>66700</v>
      </c>
      <c r="N15" s="779">
        <f>J15-C15</f>
        <v>1500</v>
      </c>
      <c r="O15" s="780">
        <f t="shared" si="4"/>
        <v>2300</v>
      </c>
      <c r="P15" s="780">
        <f t="shared" si="5"/>
        <v>2800</v>
      </c>
      <c r="Q15" s="781">
        <f t="shared" si="6"/>
        <v>2900</v>
      </c>
      <c r="R15" s="732"/>
      <c r="S15" s="1273"/>
      <c r="T15" s="733" t="str">
        <f t="shared" si="7"/>
        <v>Matrimonial</v>
      </c>
      <c r="U15" s="782">
        <v>256</v>
      </c>
      <c r="V15" s="783">
        <v>30</v>
      </c>
      <c r="W15" s="783">
        <v>50</v>
      </c>
      <c r="X15" s="784">
        <v>5</v>
      </c>
      <c r="Y15" s="785">
        <f t="shared" si="8"/>
        <v>341</v>
      </c>
      <c r="Z15">
        <f>Y15*2</f>
        <v>682</v>
      </c>
    </row>
    <row r="16" spans="1:27" x14ac:dyDescent="0.35">
      <c r="A16" s="1270"/>
      <c r="B16" s="786" t="s">
        <v>63</v>
      </c>
      <c r="C16" s="776"/>
      <c r="D16" s="777"/>
      <c r="E16" s="777"/>
      <c r="F16" s="778"/>
      <c r="G16" s="901">
        <v>4.4999999999999998E-2</v>
      </c>
      <c r="H16" s="897">
        <v>4.4999999999999998E-2</v>
      </c>
      <c r="I16" s="902">
        <v>4.4999999999999998E-2</v>
      </c>
      <c r="J16" s="787"/>
      <c r="K16" s="788"/>
      <c r="L16" s="788"/>
      <c r="M16" s="789"/>
      <c r="N16" s="787"/>
      <c r="O16" s="788"/>
      <c r="P16" s="788"/>
      <c r="Q16" s="789"/>
      <c r="R16" s="732"/>
      <c r="S16" s="1273"/>
      <c r="T16" s="790" t="str">
        <f t="shared" si="7"/>
        <v xml:space="preserve">Uso en transito/Early check in/Late Check out </v>
      </c>
      <c r="U16" s="791"/>
      <c r="V16" s="792"/>
      <c r="W16" s="792"/>
      <c r="X16" s="793"/>
      <c r="Y16" s="794"/>
    </row>
    <row r="17" spans="1:25" x14ac:dyDescent="0.35">
      <c r="A17" s="1270"/>
      <c r="B17" s="579" t="s">
        <v>59</v>
      </c>
      <c r="C17" s="776"/>
      <c r="D17" s="777">
        <v>18800</v>
      </c>
      <c r="E17" s="777">
        <v>23500</v>
      </c>
      <c r="F17" s="778">
        <v>24500</v>
      </c>
      <c r="G17" s="901">
        <v>4.4999999999999998E-2</v>
      </c>
      <c r="H17" s="897">
        <v>4.4999999999999998E-2</v>
      </c>
      <c r="I17" s="902">
        <v>4.4999999999999998E-2</v>
      </c>
      <c r="J17" s="787"/>
      <c r="K17" s="780">
        <f t="shared" ref="K17:M20" si="9">CEILING(K12*0.3,100)</f>
        <v>19700</v>
      </c>
      <c r="L17" s="780">
        <f t="shared" si="9"/>
        <v>24600</v>
      </c>
      <c r="M17" s="781">
        <f t="shared" si="9"/>
        <v>25600</v>
      </c>
      <c r="N17" s="787"/>
      <c r="O17" s="780">
        <f t="shared" si="4"/>
        <v>900</v>
      </c>
      <c r="P17" s="780">
        <f t="shared" si="5"/>
        <v>1100</v>
      </c>
      <c r="Q17" s="781">
        <f t="shared" si="6"/>
        <v>1100</v>
      </c>
      <c r="R17" s="732"/>
      <c r="S17" s="1273"/>
      <c r="T17" s="734" t="str">
        <f t="shared" si="7"/>
        <v>Superior</v>
      </c>
      <c r="U17" s="791"/>
      <c r="V17" s="783"/>
      <c r="W17" s="783"/>
      <c r="X17" s="784"/>
      <c r="Y17" s="785">
        <f t="shared" si="8"/>
        <v>0</v>
      </c>
    </row>
    <row r="18" spans="1:25" x14ac:dyDescent="0.35">
      <c r="A18" s="1270"/>
      <c r="B18" s="579" t="s">
        <v>60</v>
      </c>
      <c r="C18" s="776"/>
      <c r="D18" s="777">
        <v>13500</v>
      </c>
      <c r="E18" s="777">
        <v>16800</v>
      </c>
      <c r="F18" s="778">
        <v>17600</v>
      </c>
      <c r="G18" s="901">
        <v>4.4999999999999998E-2</v>
      </c>
      <c r="H18" s="897">
        <v>4.4999999999999998E-2</v>
      </c>
      <c r="I18" s="902">
        <v>4.4999999999999998E-2</v>
      </c>
      <c r="J18" s="787"/>
      <c r="K18" s="780">
        <f t="shared" si="9"/>
        <v>14100</v>
      </c>
      <c r="L18" s="780">
        <f t="shared" si="9"/>
        <v>17600</v>
      </c>
      <c r="M18" s="781">
        <f t="shared" si="9"/>
        <v>18400</v>
      </c>
      <c r="N18" s="787"/>
      <c r="O18" s="780">
        <f t="shared" si="4"/>
        <v>600</v>
      </c>
      <c r="P18" s="780">
        <f t="shared" si="5"/>
        <v>800</v>
      </c>
      <c r="Q18" s="781">
        <f t="shared" si="6"/>
        <v>800</v>
      </c>
      <c r="R18" s="732"/>
      <c r="S18" s="1273"/>
      <c r="T18" s="734" t="str">
        <f t="shared" si="7"/>
        <v>Simple</v>
      </c>
      <c r="U18" s="791"/>
      <c r="V18" s="783"/>
      <c r="W18" s="783"/>
      <c r="X18" s="784"/>
      <c r="Y18" s="785">
        <f t="shared" si="8"/>
        <v>0</v>
      </c>
    </row>
    <row r="19" spans="1:25" x14ac:dyDescent="0.35">
      <c r="A19" s="1270"/>
      <c r="B19" s="579" t="s">
        <v>61</v>
      </c>
      <c r="C19" s="776"/>
      <c r="D19" s="777">
        <v>14700</v>
      </c>
      <c r="E19" s="777">
        <v>18300</v>
      </c>
      <c r="F19" s="778">
        <v>19200</v>
      </c>
      <c r="G19" s="901">
        <v>4.4999999999999998E-2</v>
      </c>
      <c r="H19" s="897">
        <v>4.4999999999999998E-2</v>
      </c>
      <c r="I19" s="902">
        <v>4.4999999999999998E-2</v>
      </c>
      <c r="J19" s="787"/>
      <c r="K19" s="780">
        <f t="shared" si="9"/>
        <v>15400</v>
      </c>
      <c r="L19" s="780">
        <f t="shared" si="9"/>
        <v>19200</v>
      </c>
      <c r="M19" s="781">
        <f t="shared" si="9"/>
        <v>20100</v>
      </c>
      <c r="N19" s="787"/>
      <c r="O19" s="780">
        <f t="shared" si="4"/>
        <v>700</v>
      </c>
      <c r="P19" s="780">
        <f t="shared" si="5"/>
        <v>900</v>
      </c>
      <c r="Q19" s="781">
        <f t="shared" si="6"/>
        <v>900</v>
      </c>
      <c r="R19" s="732"/>
      <c r="S19" s="1273"/>
      <c r="T19" s="734" t="str">
        <f t="shared" si="7"/>
        <v>Doble</v>
      </c>
      <c r="U19" s="791"/>
      <c r="V19" s="783"/>
      <c r="W19" s="783"/>
      <c r="X19" s="784"/>
      <c r="Y19" s="785">
        <f>SUM(U19:X19)</f>
        <v>0</v>
      </c>
    </row>
    <row r="20" spans="1:25" ht="15" thickBot="1" x14ac:dyDescent="0.4">
      <c r="A20" s="1271"/>
      <c r="B20" s="735" t="s">
        <v>62</v>
      </c>
      <c r="C20" s="795"/>
      <c r="D20" s="796">
        <v>14700</v>
      </c>
      <c r="E20" s="796">
        <v>18300</v>
      </c>
      <c r="F20" s="797">
        <v>19200</v>
      </c>
      <c r="G20" s="903">
        <v>4.4999999999999998E-2</v>
      </c>
      <c r="H20" s="904">
        <v>4.4999999999999998E-2</v>
      </c>
      <c r="I20" s="905">
        <v>4.4999999999999998E-2</v>
      </c>
      <c r="J20" s="798"/>
      <c r="K20" s="799">
        <f t="shared" si="9"/>
        <v>15400</v>
      </c>
      <c r="L20" s="799">
        <f t="shared" si="9"/>
        <v>19200</v>
      </c>
      <c r="M20" s="800">
        <f t="shared" si="9"/>
        <v>20100</v>
      </c>
      <c r="N20" s="798"/>
      <c r="O20" s="799">
        <f t="shared" si="4"/>
        <v>700</v>
      </c>
      <c r="P20" s="799">
        <f t="shared" si="5"/>
        <v>900</v>
      </c>
      <c r="Q20" s="800">
        <f t="shared" si="6"/>
        <v>900</v>
      </c>
      <c r="R20" s="732"/>
      <c r="S20" s="1274"/>
      <c r="T20" s="736" t="str">
        <f t="shared" si="7"/>
        <v>Matrimonial</v>
      </c>
      <c r="U20" s="791"/>
      <c r="V20" s="783"/>
      <c r="W20" s="783"/>
      <c r="X20" s="784"/>
      <c r="Y20" s="785">
        <f>SUM(U20:X20)</f>
        <v>0</v>
      </c>
    </row>
    <row r="21" spans="1:25" x14ac:dyDescent="0.35">
      <c r="A21" s="1252" t="s">
        <v>64</v>
      </c>
      <c r="B21" s="843" t="s">
        <v>65</v>
      </c>
      <c r="C21" s="836">
        <v>44600</v>
      </c>
      <c r="D21" s="837">
        <v>68600</v>
      </c>
      <c r="E21" s="837">
        <v>89800</v>
      </c>
      <c r="F21" s="838">
        <v>93900</v>
      </c>
      <c r="G21" s="896">
        <v>4.4999999999999998E-2</v>
      </c>
      <c r="H21" s="906">
        <v>4.4999999999999998E-2</v>
      </c>
      <c r="I21" s="907">
        <v>4.4999999999999998E-2</v>
      </c>
      <c r="J21" s="836">
        <f t="shared" si="0"/>
        <v>46700</v>
      </c>
      <c r="K21" s="861">
        <f>CEILING($D21*(1+$G21),100)</f>
        <v>71700</v>
      </c>
      <c r="L21" s="861">
        <f>CEILING(E21*(1+H21),100)</f>
        <v>93900</v>
      </c>
      <c r="M21" s="861">
        <f>CEILING(F21*(1+I21),100)</f>
        <v>98200</v>
      </c>
      <c r="N21" s="836">
        <f>J21-C21</f>
        <v>2100</v>
      </c>
      <c r="O21" s="837">
        <f t="shared" si="4"/>
        <v>3100</v>
      </c>
      <c r="P21" s="837">
        <f t="shared" si="5"/>
        <v>4100</v>
      </c>
      <c r="Q21" s="845">
        <f t="shared" si="6"/>
        <v>4300</v>
      </c>
      <c r="R21" s="732"/>
      <c r="S21" s="1289" t="s">
        <v>64</v>
      </c>
      <c r="T21" s="834" t="str">
        <f t="shared" si="7"/>
        <v>Pensión completa adulto</v>
      </c>
      <c r="U21" s="831">
        <f>5770*1.1</f>
        <v>6347.0000000000009</v>
      </c>
      <c r="V21" s="773">
        <f>2189*1.1</f>
        <v>2407.9</v>
      </c>
      <c r="W21" s="773">
        <f>305*1.1</f>
        <v>335.5</v>
      </c>
      <c r="X21" s="865">
        <f>5*1.1</f>
        <v>5.5</v>
      </c>
      <c r="Y21" s="867">
        <f t="shared" ref="Y21:Y27" si="10">SUM(U21:X21)</f>
        <v>9095.9000000000015</v>
      </c>
    </row>
    <row r="22" spans="1:25" x14ac:dyDescent="0.35">
      <c r="A22" s="1287"/>
      <c r="B22" s="830" t="s">
        <v>66</v>
      </c>
      <c r="C22" s="829">
        <v>20500</v>
      </c>
      <c r="D22" s="777">
        <v>31400</v>
      </c>
      <c r="E22" s="777">
        <v>39200</v>
      </c>
      <c r="F22" s="778">
        <v>41000</v>
      </c>
      <c r="G22" s="901">
        <v>4.4999999999999998E-2</v>
      </c>
      <c r="H22" s="897">
        <v>4.4999999999999998E-2</v>
      </c>
      <c r="I22" s="902">
        <v>4.4999999999999998E-2</v>
      </c>
      <c r="J22" s="779">
        <f t="shared" si="0"/>
        <v>21400</v>
      </c>
      <c r="K22" s="780">
        <f t="shared" si="1"/>
        <v>32900</v>
      </c>
      <c r="L22" s="780">
        <f t="shared" si="2"/>
        <v>41000</v>
      </c>
      <c r="M22" s="781">
        <f>CEILING($F22*(1+$I22),100)</f>
        <v>42900</v>
      </c>
      <c r="N22" s="779">
        <f>J22-C22</f>
        <v>900</v>
      </c>
      <c r="O22" s="780">
        <f t="shared" si="4"/>
        <v>1500</v>
      </c>
      <c r="P22" s="780">
        <f t="shared" si="5"/>
        <v>1800</v>
      </c>
      <c r="Q22" s="781">
        <f t="shared" si="6"/>
        <v>1900</v>
      </c>
      <c r="R22" s="732"/>
      <c r="S22" s="1290"/>
      <c r="T22" s="830" t="str">
        <f t="shared" si="7"/>
        <v>Pensión completa niño</v>
      </c>
      <c r="U22" s="832">
        <f>895*1</f>
        <v>895</v>
      </c>
      <c r="V22" s="783">
        <f>152*1</f>
        <v>152</v>
      </c>
      <c r="W22" s="783">
        <f>23*1</f>
        <v>23</v>
      </c>
      <c r="X22" s="863">
        <v>0</v>
      </c>
      <c r="Y22" s="868">
        <f t="shared" si="10"/>
        <v>1070</v>
      </c>
    </row>
    <row r="23" spans="1:25" x14ac:dyDescent="0.35">
      <c r="A23" s="1287"/>
      <c r="B23" s="830" t="s">
        <v>67</v>
      </c>
      <c r="C23" s="829">
        <v>27000</v>
      </c>
      <c r="D23" s="777">
        <v>41400</v>
      </c>
      <c r="E23" s="777">
        <v>51600</v>
      </c>
      <c r="F23" s="778">
        <v>54000</v>
      </c>
      <c r="G23" s="901">
        <v>4.4999999999999998E-2</v>
      </c>
      <c r="H23" s="897">
        <v>4.4999999999999998E-2</v>
      </c>
      <c r="I23" s="902">
        <v>4.4999999999999998E-2</v>
      </c>
      <c r="J23" s="779">
        <f t="shared" si="0"/>
        <v>28200</v>
      </c>
      <c r="K23" s="780">
        <f t="shared" si="1"/>
        <v>43300</v>
      </c>
      <c r="L23" s="780">
        <f t="shared" si="2"/>
        <v>54000</v>
      </c>
      <c r="M23" s="781">
        <f t="shared" si="3"/>
        <v>56500</v>
      </c>
      <c r="N23" s="779">
        <f>J23-C23</f>
        <v>1200</v>
      </c>
      <c r="O23" s="780">
        <f t="shared" si="4"/>
        <v>1900</v>
      </c>
      <c r="P23" s="780">
        <f t="shared" si="5"/>
        <v>2400</v>
      </c>
      <c r="Q23" s="781">
        <f t="shared" si="6"/>
        <v>2500</v>
      </c>
      <c r="R23" s="732"/>
      <c r="S23" s="1290"/>
      <c r="T23" s="830" t="str">
        <f t="shared" si="7"/>
        <v>Alojamiento sin pensión</v>
      </c>
      <c r="U23" s="832"/>
      <c r="V23" s="783"/>
      <c r="W23" s="783"/>
      <c r="X23" s="863"/>
      <c r="Y23" s="868">
        <f t="shared" si="10"/>
        <v>0</v>
      </c>
    </row>
    <row r="24" spans="1:25" x14ac:dyDescent="0.35">
      <c r="A24" s="1287"/>
      <c r="B24" s="830" t="s">
        <v>68</v>
      </c>
      <c r="C24" s="829"/>
      <c r="D24" s="777">
        <v>15100</v>
      </c>
      <c r="E24" s="777">
        <v>18800</v>
      </c>
      <c r="F24" s="778">
        <v>19600</v>
      </c>
      <c r="G24" s="901">
        <v>4.4999999999999998E-2</v>
      </c>
      <c r="H24" s="897">
        <v>4.4999999999999998E-2</v>
      </c>
      <c r="I24" s="902">
        <v>4.4999999999999998E-2</v>
      </c>
      <c r="J24" s="787"/>
      <c r="K24" s="780">
        <f t="shared" si="1"/>
        <v>15800</v>
      </c>
      <c r="L24" s="780">
        <f t="shared" si="2"/>
        <v>19700</v>
      </c>
      <c r="M24" s="781">
        <f t="shared" si="3"/>
        <v>20500</v>
      </c>
      <c r="N24" s="787"/>
      <c r="O24" s="780">
        <f t="shared" si="4"/>
        <v>700</v>
      </c>
      <c r="P24" s="780">
        <f t="shared" si="5"/>
        <v>900</v>
      </c>
      <c r="Q24" s="781">
        <f t="shared" si="6"/>
        <v>900</v>
      </c>
      <c r="R24" s="732"/>
      <c r="S24" s="1290"/>
      <c r="T24" s="830" t="str">
        <f t="shared" si="7"/>
        <v>Pasante (almuerzo)</v>
      </c>
      <c r="U24" s="833"/>
      <c r="V24" s="783">
        <f>277*1.1</f>
        <v>304.70000000000005</v>
      </c>
      <c r="W24" s="783">
        <f>44*1.1</f>
        <v>48.400000000000006</v>
      </c>
      <c r="X24" s="863">
        <v>11</v>
      </c>
      <c r="Y24" s="868">
        <f t="shared" si="10"/>
        <v>364.1</v>
      </c>
    </row>
    <row r="25" spans="1:25" x14ac:dyDescent="0.35">
      <c r="A25" s="1287"/>
      <c r="B25" s="830" t="s">
        <v>69</v>
      </c>
      <c r="C25" s="829"/>
      <c r="D25" s="777">
        <v>5400</v>
      </c>
      <c r="E25" s="777">
        <v>6700</v>
      </c>
      <c r="F25" s="778">
        <v>7000</v>
      </c>
      <c r="G25" s="901">
        <v>4.4999999999999998E-2</v>
      </c>
      <c r="H25" s="897">
        <v>4.4999999999999998E-2</v>
      </c>
      <c r="I25" s="902">
        <v>4.4999999999999998E-2</v>
      </c>
      <c r="J25" s="787"/>
      <c r="K25" s="780">
        <f t="shared" si="1"/>
        <v>5700</v>
      </c>
      <c r="L25" s="780">
        <f t="shared" si="2"/>
        <v>7100</v>
      </c>
      <c r="M25" s="781">
        <f t="shared" si="3"/>
        <v>7400</v>
      </c>
      <c r="N25" s="787"/>
      <c r="O25" s="780">
        <f t="shared" si="4"/>
        <v>300</v>
      </c>
      <c r="P25" s="780">
        <f t="shared" si="5"/>
        <v>400</v>
      </c>
      <c r="Q25" s="781">
        <f t="shared" si="6"/>
        <v>400</v>
      </c>
      <c r="R25" s="732"/>
      <c r="S25" s="1290"/>
      <c r="T25" s="830" t="str">
        <f t="shared" si="7"/>
        <v>Piscina aduto</v>
      </c>
      <c r="U25" s="833"/>
      <c r="V25" s="783">
        <f>182*1.1</f>
        <v>200.20000000000002</v>
      </c>
      <c r="W25" s="783">
        <f>116*1.1</f>
        <v>127.60000000000001</v>
      </c>
      <c r="X25" s="863"/>
      <c r="Y25" s="868">
        <f t="shared" si="10"/>
        <v>327.8</v>
      </c>
    </row>
    <row r="26" spans="1:25" ht="15" thickBot="1" x14ac:dyDescent="0.4">
      <c r="A26" s="1287"/>
      <c r="B26" s="830" t="s">
        <v>70</v>
      </c>
      <c r="C26" s="829"/>
      <c r="D26" s="777">
        <v>3900</v>
      </c>
      <c r="E26" s="777">
        <v>4900</v>
      </c>
      <c r="F26" s="778">
        <v>5100</v>
      </c>
      <c r="G26" s="901">
        <v>4.4999999999999998E-2</v>
      </c>
      <c r="H26" s="897">
        <v>4.4999999999999998E-2</v>
      </c>
      <c r="I26" s="902">
        <v>4.4999999999999998E-2</v>
      </c>
      <c r="J26" s="787"/>
      <c r="K26" s="780">
        <f t="shared" si="1"/>
        <v>4100</v>
      </c>
      <c r="L26" s="780">
        <f t="shared" si="2"/>
        <v>5200</v>
      </c>
      <c r="M26" s="781">
        <f t="shared" si="3"/>
        <v>5400</v>
      </c>
      <c r="N26" s="787"/>
      <c r="O26" s="780">
        <f t="shared" si="4"/>
        <v>200</v>
      </c>
      <c r="P26" s="780">
        <f t="shared" si="5"/>
        <v>300</v>
      </c>
      <c r="Q26" s="781">
        <f t="shared" si="6"/>
        <v>300</v>
      </c>
      <c r="R26" s="732"/>
      <c r="S26" s="1290"/>
      <c r="T26" s="830" t="str">
        <f t="shared" si="7"/>
        <v>Piscina niños</v>
      </c>
      <c r="U26" s="833"/>
      <c r="V26" s="783">
        <f>292*1.1</f>
        <v>321.20000000000005</v>
      </c>
      <c r="W26" s="783">
        <f>176*1.1</f>
        <v>193.60000000000002</v>
      </c>
      <c r="X26" s="863"/>
      <c r="Y26" s="868">
        <f t="shared" si="10"/>
        <v>514.80000000000007</v>
      </c>
    </row>
    <row r="27" spans="1:25" ht="15" thickBot="1" x14ac:dyDescent="0.4">
      <c r="A27" s="1288"/>
      <c r="B27" s="835" t="s">
        <v>487</v>
      </c>
      <c r="C27" s="819">
        <v>85000</v>
      </c>
      <c r="D27" s="813">
        <v>130700</v>
      </c>
      <c r="E27" s="813">
        <v>171100</v>
      </c>
      <c r="F27" s="814">
        <v>178900</v>
      </c>
      <c r="G27" s="903">
        <v>4.4999999999999998E-2</v>
      </c>
      <c r="H27" s="904">
        <v>4.4999999999999998E-2</v>
      </c>
      <c r="I27" s="905">
        <v>4.4999999999999998E-2</v>
      </c>
      <c r="J27" s="841">
        <f>+CEILING(K27*0.65,100)</f>
        <v>88800</v>
      </c>
      <c r="K27" s="861">
        <f>CEILING($D27*(1+$G27),100)</f>
        <v>136600</v>
      </c>
      <c r="L27" s="861">
        <f>CEILING(E27*(1+H27),100)</f>
        <v>178800</v>
      </c>
      <c r="M27" s="861">
        <f>CEILING(F27*(1+I27),100)</f>
        <v>187000</v>
      </c>
      <c r="N27" s="841"/>
      <c r="O27" s="839"/>
      <c r="P27" s="839">
        <f t="shared" si="5"/>
        <v>7700</v>
      </c>
      <c r="Q27" s="840">
        <f t="shared" si="6"/>
        <v>8100</v>
      </c>
      <c r="R27" s="732"/>
      <c r="S27" s="1291"/>
      <c r="T27" s="835" t="str">
        <f t="shared" si="7"/>
        <v>Cabaña VIP (día)</v>
      </c>
      <c r="U27" s="864">
        <f>50*1.05</f>
        <v>52.5</v>
      </c>
      <c r="V27" s="864">
        <v>6</v>
      </c>
      <c r="W27" s="864">
        <v>5</v>
      </c>
      <c r="X27" s="866">
        <v>2</v>
      </c>
      <c r="Y27" s="868">
        <f t="shared" si="10"/>
        <v>65.5</v>
      </c>
    </row>
    <row r="28" spans="1:25" x14ac:dyDescent="0.35">
      <c r="A28" s="1278" t="s">
        <v>71</v>
      </c>
      <c r="B28" s="847" t="s">
        <v>72</v>
      </c>
      <c r="C28" s="848">
        <v>52300</v>
      </c>
      <c r="D28" s="849">
        <v>80400</v>
      </c>
      <c r="E28" s="849">
        <v>105300</v>
      </c>
      <c r="F28" s="850">
        <v>110100</v>
      </c>
      <c r="G28" s="896">
        <v>4.4999999999999998E-2</v>
      </c>
      <c r="H28" s="906">
        <v>4.4999999999999998E-2</v>
      </c>
      <c r="I28" s="907">
        <v>4.4999999999999998E-2</v>
      </c>
      <c r="J28" s="851">
        <f>IF(OR(C28=0,C28=""),0,CEILING(K28*0.65,100))</f>
        <v>54700</v>
      </c>
      <c r="K28" s="862">
        <f>CEILING($D28*(1+$G28),100)</f>
        <v>84100</v>
      </c>
      <c r="L28" s="862">
        <f>CEILING(E28*(1+H28),100)</f>
        <v>110100</v>
      </c>
      <c r="M28" s="862">
        <f>CEILING(F28*(1+I28),100)</f>
        <v>115100</v>
      </c>
      <c r="N28" s="851">
        <f>J28-C28</f>
        <v>2400</v>
      </c>
      <c r="O28" s="849">
        <f t="shared" si="4"/>
        <v>3700</v>
      </c>
      <c r="P28" s="849">
        <f>L28-E28</f>
        <v>4800</v>
      </c>
      <c r="Q28" s="852">
        <f t="shared" si="6"/>
        <v>5000</v>
      </c>
      <c r="R28" s="732"/>
      <c r="S28" s="1279" t="str">
        <f>+A28</f>
        <v>Cabañas C.N.C. Tumbes</v>
      </c>
      <c r="T28" s="740" t="str">
        <f t="shared" si="7"/>
        <v>Cabañas - día/cabaña</v>
      </c>
      <c r="U28" s="772">
        <v>532</v>
      </c>
      <c r="V28" s="773">
        <v>91</v>
      </c>
      <c r="W28" s="773">
        <v>77.7</v>
      </c>
      <c r="X28" s="774">
        <v>3.1500000000000004</v>
      </c>
      <c r="Y28" s="775">
        <f>SUM(U28:X28)</f>
        <v>703.85</v>
      </c>
    </row>
    <row r="29" spans="1:25" x14ac:dyDescent="0.35">
      <c r="A29" s="1270"/>
      <c r="B29" s="786" t="s">
        <v>63</v>
      </c>
      <c r="C29" s="776"/>
      <c r="D29" s="777"/>
      <c r="E29" s="777"/>
      <c r="F29" s="778"/>
      <c r="G29" s="1284"/>
      <c r="H29" s="1285"/>
      <c r="I29" s="1286"/>
      <c r="J29" s="787"/>
      <c r="K29" s="788"/>
      <c r="L29" s="788"/>
      <c r="M29" s="789"/>
      <c r="N29" s="787"/>
      <c r="O29" s="788"/>
      <c r="P29" s="788"/>
      <c r="Q29" s="789"/>
      <c r="R29" s="732"/>
      <c r="S29" s="1280"/>
      <c r="T29" s="790" t="str">
        <f t="shared" si="7"/>
        <v xml:space="preserve">Uso en transito/Early check in/Late Check out </v>
      </c>
      <c r="U29" s="791"/>
      <c r="V29" s="792"/>
      <c r="W29" s="792"/>
      <c r="X29" s="793"/>
      <c r="Y29" s="794"/>
    </row>
    <row r="30" spans="1:25" ht="15" thickBot="1" x14ac:dyDescent="0.4">
      <c r="A30" s="1271"/>
      <c r="B30" s="735" t="s">
        <v>72</v>
      </c>
      <c r="C30" s="795"/>
      <c r="D30" s="796">
        <v>24500</v>
      </c>
      <c r="E30" s="796">
        <v>31600</v>
      </c>
      <c r="F30" s="797">
        <v>33100</v>
      </c>
      <c r="G30" s="903">
        <v>4.4999999999999998E-2</v>
      </c>
      <c r="H30" s="904">
        <v>4.4999999999999998E-2</v>
      </c>
      <c r="I30" s="905">
        <v>4.4999999999999998E-2</v>
      </c>
      <c r="J30" s="798"/>
      <c r="K30" s="780">
        <f>CEILING(K28*0.3,100)</f>
        <v>25300</v>
      </c>
      <c r="L30" s="780">
        <f>CEILING(L28*0.3,100)</f>
        <v>33100</v>
      </c>
      <c r="M30" s="781">
        <f>CEILING(M28*0.3,100)</f>
        <v>34600</v>
      </c>
      <c r="N30" s="798"/>
      <c r="O30" s="780">
        <f t="shared" si="4"/>
        <v>800</v>
      </c>
      <c r="P30" s="780">
        <f t="shared" si="5"/>
        <v>1500</v>
      </c>
      <c r="Q30" s="781">
        <f t="shared" si="6"/>
        <v>1500</v>
      </c>
      <c r="R30" s="732"/>
      <c r="S30" s="1281"/>
      <c r="T30" s="739" t="str">
        <f t="shared" si="7"/>
        <v>Cabañas - día/cabaña</v>
      </c>
      <c r="U30" s="806"/>
      <c r="V30" s="807"/>
      <c r="W30" s="807"/>
      <c r="X30" s="808"/>
      <c r="Y30" s="809">
        <f t="shared" ref="Y30:Y35" si="11">SUM(U30:X30)</f>
        <v>0</v>
      </c>
    </row>
    <row r="31" spans="1:25" x14ac:dyDescent="0.35">
      <c r="A31" s="1282" t="s">
        <v>73</v>
      </c>
      <c r="B31" s="574" t="s">
        <v>74</v>
      </c>
      <c r="C31" s="766"/>
      <c r="D31" s="767">
        <v>5200</v>
      </c>
      <c r="E31" s="767">
        <v>6500</v>
      </c>
      <c r="F31" s="768">
        <v>6800</v>
      </c>
      <c r="G31" s="896">
        <v>4.4999999999999998E-2</v>
      </c>
      <c r="H31" s="906">
        <v>4.4999999999999998E-2</v>
      </c>
      <c r="I31" s="907">
        <v>4.4999999999999998E-2</v>
      </c>
      <c r="J31" s="810"/>
      <c r="K31" s="767">
        <f>CEILING($D31*(1+$G31),100)</f>
        <v>5500</v>
      </c>
      <c r="L31" s="767">
        <f>CEILING($E31*(1+$H31),100)</f>
        <v>6800</v>
      </c>
      <c r="M31" s="805">
        <f>CEILING($F31*(1+$I31),100)</f>
        <v>7200</v>
      </c>
      <c r="N31" s="810"/>
      <c r="O31" s="767">
        <f t="shared" si="4"/>
        <v>300</v>
      </c>
      <c r="P31" s="767">
        <f t="shared" si="5"/>
        <v>300</v>
      </c>
      <c r="Q31" s="805">
        <f t="shared" si="6"/>
        <v>400</v>
      </c>
      <c r="R31" s="732"/>
      <c r="S31" s="1279" t="str">
        <f>+A31</f>
        <v>Piscina C.N.C. Tumbes</v>
      </c>
      <c r="T31" s="737" t="str">
        <f t="shared" si="7"/>
        <v>Piscina adultos</v>
      </c>
      <c r="U31" s="811"/>
      <c r="V31" s="773">
        <v>150</v>
      </c>
      <c r="W31" s="773">
        <v>48.300000000000004</v>
      </c>
      <c r="X31" s="774">
        <v>66</v>
      </c>
      <c r="Y31" s="775">
        <f t="shared" si="11"/>
        <v>264.3</v>
      </c>
    </row>
    <row r="32" spans="1:25" ht="15" thickBot="1" x14ac:dyDescent="0.4">
      <c r="A32" s="1283"/>
      <c r="B32" s="581" t="s">
        <v>70</v>
      </c>
      <c r="C32" s="812"/>
      <c r="D32" s="813">
        <v>3100</v>
      </c>
      <c r="E32" s="813">
        <v>3800</v>
      </c>
      <c r="F32" s="814">
        <v>4000</v>
      </c>
      <c r="G32" s="903">
        <v>4.4999999999999998E-2</v>
      </c>
      <c r="H32" s="904">
        <v>4.4999999999999998E-2</v>
      </c>
      <c r="I32" s="905">
        <v>4.4999999999999998E-2</v>
      </c>
      <c r="J32" s="801"/>
      <c r="K32" s="813">
        <f>CEILING($D32*(1+$G32),100)</f>
        <v>3300</v>
      </c>
      <c r="L32" s="813">
        <f>CEILING($E32*(1+$H32),100)</f>
        <v>4000</v>
      </c>
      <c r="M32" s="815">
        <f>CEILING($F32*(1+$I32),100)</f>
        <v>4200</v>
      </c>
      <c r="N32" s="801"/>
      <c r="O32" s="813">
        <f t="shared" si="4"/>
        <v>200</v>
      </c>
      <c r="P32" s="813">
        <f t="shared" si="5"/>
        <v>200</v>
      </c>
      <c r="Q32" s="815">
        <f t="shared" si="6"/>
        <v>200</v>
      </c>
      <c r="R32" s="732"/>
      <c r="S32" s="1281"/>
      <c r="T32" s="738" t="str">
        <f t="shared" si="7"/>
        <v>Piscina niños</v>
      </c>
      <c r="U32" s="806"/>
      <c r="V32" s="816"/>
      <c r="W32" s="817"/>
      <c r="X32" s="818"/>
      <c r="Y32" s="785">
        <f>SUM(U32:X32)</f>
        <v>0</v>
      </c>
    </row>
    <row r="33" spans="1:25" x14ac:dyDescent="0.35">
      <c r="A33" s="1282" t="s">
        <v>75</v>
      </c>
      <c r="B33" s="574" t="s">
        <v>76</v>
      </c>
      <c r="C33" s="766">
        <v>2900</v>
      </c>
      <c r="D33" s="767">
        <v>4400</v>
      </c>
      <c r="E33" s="767">
        <v>5400</v>
      </c>
      <c r="F33" s="768">
        <v>5700</v>
      </c>
      <c r="G33" s="896">
        <v>4.4999999999999998E-2</v>
      </c>
      <c r="H33" s="906">
        <v>4.4999999999999998E-2</v>
      </c>
      <c r="I33" s="907">
        <v>4.4999999999999998E-2</v>
      </c>
      <c r="J33" s="804">
        <f>IF(OR(C33=0,C33=""),0,CEILING(K33*0.65,100))</f>
        <v>3000</v>
      </c>
      <c r="K33" s="767">
        <f>CEILING($D33*(1+$G33),100)</f>
        <v>4600</v>
      </c>
      <c r="L33" s="767">
        <f>CEILING($E33*(1+$H33),100)</f>
        <v>5700</v>
      </c>
      <c r="M33" s="805">
        <f>CEILING($F33*(1+$I33),100)</f>
        <v>6000</v>
      </c>
      <c r="N33" s="804">
        <f>J33-C33</f>
        <v>100</v>
      </c>
      <c r="O33" s="767">
        <f t="shared" si="4"/>
        <v>200</v>
      </c>
      <c r="P33" s="767">
        <f t="shared" si="5"/>
        <v>300</v>
      </c>
      <c r="Q33" s="805">
        <f t="shared" si="6"/>
        <v>300</v>
      </c>
      <c r="R33" s="732"/>
      <c r="S33" s="1279" t="str">
        <f>+A33</f>
        <v>Canchas C.N.C. Tumbes</v>
      </c>
      <c r="T33" s="737" t="str">
        <f t="shared" si="7"/>
        <v>Cancha tenis (Single)</v>
      </c>
      <c r="U33" s="772"/>
      <c r="V33" s="773"/>
      <c r="W33" s="773"/>
      <c r="X33" s="774"/>
      <c r="Y33" s="775">
        <f t="shared" si="11"/>
        <v>0</v>
      </c>
    </row>
    <row r="34" spans="1:25" ht="15" thickBot="1" x14ac:dyDescent="0.4">
      <c r="A34" s="1283"/>
      <c r="B34" s="581" t="s">
        <v>77</v>
      </c>
      <c r="C34" s="812">
        <v>3900</v>
      </c>
      <c r="D34" s="813">
        <v>5900</v>
      </c>
      <c r="E34" s="813">
        <v>7400</v>
      </c>
      <c r="F34" s="814">
        <v>7700</v>
      </c>
      <c r="G34" s="903">
        <v>4.4999999999999998E-2</v>
      </c>
      <c r="H34" s="904">
        <v>4.4999999999999998E-2</v>
      </c>
      <c r="I34" s="905">
        <v>4.4999999999999998E-2</v>
      </c>
      <c r="J34" s="819">
        <f>IF(OR(C34=0,C34=""),0,CEILING(K34*0.65,100))</f>
        <v>4100</v>
      </c>
      <c r="K34" s="813">
        <f>CEILING($D34*(1+$G34),100)</f>
        <v>6200</v>
      </c>
      <c r="L34" s="813">
        <f>CEILING($E34*(1+$H34),100)</f>
        <v>7800</v>
      </c>
      <c r="M34" s="815">
        <f>CEILING($F34*(1+$I34),100)</f>
        <v>8100</v>
      </c>
      <c r="N34" s="819">
        <f>J34-C34</f>
        <v>200</v>
      </c>
      <c r="O34" s="813">
        <f t="shared" si="4"/>
        <v>300</v>
      </c>
      <c r="P34" s="813">
        <f t="shared" si="5"/>
        <v>400</v>
      </c>
      <c r="Q34" s="815">
        <f t="shared" si="6"/>
        <v>400</v>
      </c>
      <c r="R34" s="732"/>
      <c r="S34" s="1281"/>
      <c r="T34" s="738" t="str">
        <f t="shared" si="7"/>
        <v>Cancha tenis (Doble)</v>
      </c>
      <c r="U34" s="820"/>
      <c r="V34" s="807"/>
      <c r="W34" s="807"/>
      <c r="X34" s="808"/>
      <c r="Y34" s="809">
        <f t="shared" si="11"/>
        <v>0</v>
      </c>
    </row>
    <row r="35" spans="1:25" ht="15" thickBot="1" x14ac:dyDescent="0.4">
      <c r="A35" s="1269" t="s">
        <v>78</v>
      </c>
      <c r="B35" s="574" t="s">
        <v>72</v>
      </c>
      <c r="C35" s="766">
        <v>34700</v>
      </c>
      <c r="D35" s="767">
        <v>53300</v>
      </c>
      <c r="E35" s="767">
        <v>66400</v>
      </c>
      <c r="F35" s="768">
        <v>69400</v>
      </c>
      <c r="G35" s="908">
        <v>4.4999999999999998E-2</v>
      </c>
      <c r="H35" s="909">
        <v>4.4999999999999998E-2</v>
      </c>
      <c r="I35" s="910">
        <v>4.4999999999999998E-2</v>
      </c>
      <c r="J35" s="804">
        <f>IF(OR(C35=0,C35=""),0,CEILING(K35*0.65,100))</f>
        <v>36300</v>
      </c>
      <c r="K35" s="767">
        <f>CEILING($D35*(1+$G35),100)</f>
        <v>55700</v>
      </c>
      <c r="L35" s="767">
        <f>CEILING($E35*(1+$H35),100)</f>
        <v>69400</v>
      </c>
      <c r="M35" s="805">
        <f>CEILING($F35*(1+$I35),100)</f>
        <v>72600</v>
      </c>
      <c r="N35" s="804">
        <f>J35-C35</f>
        <v>1600</v>
      </c>
      <c r="O35" s="767">
        <f t="shared" si="4"/>
        <v>2400</v>
      </c>
      <c r="P35" s="767">
        <f t="shared" si="5"/>
        <v>3000</v>
      </c>
      <c r="Q35" s="805">
        <f t="shared" si="6"/>
        <v>3200</v>
      </c>
      <c r="R35" s="732"/>
      <c r="S35" s="1280" t="str">
        <f>+A35</f>
        <v>Cabañas C.R. Faro Tumbes</v>
      </c>
      <c r="T35" s="740" t="str">
        <f t="shared" si="7"/>
        <v>Cabañas - día/cabaña</v>
      </c>
      <c r="U35" s="821">
        <v>1402</v>
      </c>
      <c r="V35" s="822">
        <v>170.1</v>
      </c>
      <c r="W35" s="822">
        <v>89.25</v>
      </c>
      <c r="X35" s="823">
        <v>25.200000000000003</v>
      </c>
      <c r="Y35" s="824">
        <f t="shared" si="11"/>
        <v>1686.55</v>
      </c>
    </row>
    <row r="36" spans="1:25" ht="15" hidden="1" thickBot="1" x14ac:dyDescent="0.4">
      <c r="A36" s="1270"/>
      <c r="B36" s="786" t="s">
        <v>63</v>
      </c>
      <c r="C36" s="776"/>
      <c r="D36" s="777"/>
      <c r="E36" s="777"/>
      <c r="F36" s="778"/>
      <c r="G36" s="1294"/>
      <c r="H36" s="1294"/>
      <c r="I36" s="1294"/>
      <c r="J36" s="787"/>
      <c r="K36" s="788"/>
      <c r="L36" s="788"/>
      <c r="M36" s="789"/>
      <c r="N36" s="787"/>
      <c r="O36" s="788"/>
      <c r="P36" s="788"/>
      <c r="Q36" s="789"/>
      <c r="R36" s="732"/>
      <c r="S36" s="1280"/>
      <c r="T36" s="790" t="str">
        <f t="shared" si="7"/>
        <v xml:space="preserve">Uso en transito/Early check in/Late Check out </v>
      </c>
      <c r="U36" s="791"/>
      <c r="V36" s="792"/>
      <c r="W36" s="792"/>
      <c r="X36" s="793"/>
      <c r="Y36" s="794"/>
    </row>
    <row r="37" spans="1:25" ht="15" hidden="1" thickBot="1" x14ac:dyDescent="0.4">
      <c r="A37" s="1271"/>
      <c r="B37" s="735" t="s">
        <v>72</v>
      </c>
      <c r="C37" s="776"/>
      <c r="D37" s="796">
        <v>15300</v>
      </c>
      <c r="E37" s="796">
        <v>18700</v>
      </c>
      <c r="F37" s="797">
        <v>23700</v>
      </c>
      <c r="G37" s="828">
        <v>0.05</v>
      </c>
      <c r="H37" s="828">
        <f>'% Reajuste'!L28</f>
        <v>7.4866310160427801E-2</v>
      </c>
      <c r="I37" s="828">
        <f>'% Reajuste'!M28</f>
        <v>-0.11392405063291139</v>
      </c>
      <c r="J37" s="787"/>
      <c r="K37" s="780">
        <f>CEILING(K35*0.3,100)</f>
        <v>16800</v>
      </c>
      <c r="L37" s="780">
        <f>CEILING(L35*0.3,100)</f>
        <v>20900</v>
      </c>
      <c r="M37" s="781">
        <f>CEILING(M35*0.3,100)</f>
        <v>21800</v>
      </c>
      <c r="N37" s="787"/>
      <c r="O37" s="780">
        <f t="shared" si="4"/>
        <v>1500</v>
      </c>
      <c r="P37" s="780">
        <f t="shared" si="5"/>
        <v>2200</v>
      </c>
      <c r="Q37" s="781">
        <f t="shared" si="6"/>
        <v>-1900</v>
      </c>
      <c r="R37" s="732"/>
      <c r="S37" s="1281"/>
      <c r="T37" s="739" t="str">
        <f t="shared" si="7"/>
        <v>Cabañas - día/cabaña</v>
      </c>
      <c r="U37" s="791"/>
      <c r="V37" s="822"/>
      <c r="W37" s="822"/>
      <c r="X37" s="823"/>
      <c r="Y37" s="809">
        <f>SUM(U37:X37)</f>
        <v>0</v>
      </c>
    </row>
    <row r="38" spans="1:25" x14ac:dyDescent="0.35">
      <c r="A38" s="1269" t="s">
        <v>79</v>
      </c>
      <c r="B38" s="574" t="s">
        <v>74</v>
      </c>
      <c r="C38" s="766"/>
      <c r="D38" s="767">
        <v>6300</v>
      </c>
      <c r="E38" s="767">
        <v>7900</v>
      </c>
      <c r="F38" s="768">
        <v>8300</v>
      </c>
      <c r="G38" s="896">
        <v>4.4999999999999998E-2</v>
      </c>
      <c r="H38" s="906">
        <v>4.4999999999999998E-2</v>
      </c>
      <c r="I38" s="907">
        <v>4.4999999999999998E-2</v>
      </c>
      <c r="J38" s="810"/>
      <c r="K38" s="767">
        <f t="shared" ref="K38:K48" si="12">CEILING($D38*(1+$G38),100)</f>
        <v>6600</v>
      </c>
      <c r="L38" s="767">
        <f t="shared" ref="L38:L48" si="13">CEILING($E38*(1+$H38),100)</f>
        <v>8300</v>
      </c>
      <c r="M38" s="805">
        <f t="shared" ref="M38:M48" si="14">CEILING($F38*(1+$I38),100)</f>
        <v>8700</v>
      </c>
      <c r="N38" s="810"/>
      <c r="O38" s="767">
        <f t="shared" si="4"/>
        <v>300</v>
      </c>
      <c r="P38" s="767">
        <f t="shared" si="5"/>
        <v>400</v>
      </c>
      <c r="Q38" s="805">
        <f t="shared" si="6"/>
        <v>400</v>
      </c>
      <c r="R38" s="732"/>
      <c r="S38" s="1272" t="str">
        <f>+A38</f>
        <v>Piscina C.R. Faro Tumbes</v>
      </c>
      <c r="T38" s="737" t="str">
        <f t="shared" si="7"/>
        <v>Piscina adultos</v>
      </c>
      <c r="U38" s="811"/>
      <c r="V38" s="773">
        <v>349</v>
      </c>
      <c r="W38" s="773">
        <v>40.950000000000003</v>
      </c>
      <c r="X38" s="774">
        <v>455.70000000000005</v>
      </c>
      <c r="Y38" s="775">
        <f t="shared" ref="Y38:Y48" si="15">SUM(U38:X38)</f>
        <v>845.65000000000009</v>
      </c>
    </row>
    <row r="39" spans="1:25" ht="15" thickBot="1" x14ac:dyDescent="0.4">
      <c r="A39" s="1292"/>
      <c r="B39" s="581" t="s">
        <v>70</v>
      </c>
      <c r="C39" s="812"/>
      <c r="D39" s="813">
        <v>3700</v>
      </c>
      <c r="E39" s="813">
        <v>4600</v>
      </c>
      <c r="F39" s="814">
        <v>4800</v>
      </c>
      <c r="G39" s="903">
        <v>4.4999999999999998E-2</v>
      </c>
      <c r="H39" s="904">
        <v>4.4999999999999998E-2</v>
      </c>
      <c r="I39" s="905">
        <v>4.4999999999999998E-2</v>
      </c>
      <c r="J39" s="801"/>
      <c r="K39" s="813">
        <f t="shared" si="12"/>
        <v>3900</v>
      </c>
      <c r="L39" s="813">
        <f t="shared" si="13"/>
        <v>4900</v>
      </c>
      <c r="M39" s="815">
        <f t="shared" si="14"/>
        <v>5100</v>
      </c>
      <c r="N39" s="801"/>
      <c r="O39" s="813">
        <f t="shared" si="4"/>
        <v>200</v>
      </c>
      <c r="P39" s="813">
        <f t="shared" si="5"/>
        <v>300</v>
      </c>
      <c r="Q39" s="815">
        <f t="shared" si="6"/>
        <v>300</v>
      </c>
      <c r="R39" s="732"/>
      <c r="S39" s="1293"/>
      <c r="T39" s="738" t="str">
        <f t="shared" si="7"/>
        <v>Piscina niños</v>
      </c>
      <c r="U39" s="825"/>
      <c r="V39" s="816"/>
      <c r="W39" s="816"/>
      <c r="X39" s="826"/>
      <c r="Y39" s="785">
        <f t="shared" si="15"/>
        <v>0</v>
      </c>
    </row>
    <row r="40" spans="1:25" x14ac:dyDescent="0.35">
      <c r="A40" s="1269" t="s">
        <v>80</v>
      </c>
      <c r="B40" s="846" t="s">
        <v>81</v>
      </c>
      <c r="C40" s="844">
        <v>44000</v>
      </c>
      <c r="D40" s="837">
        <v>67600</v>
      </c>
      <c r="E40" s="837">
        <v>88500</v>
      </c>
      <c r="F40" s="838">
        <v>92600</v>
      </c>
      <c r="G40" s="896">
        <v>4.4999999999999998E-2</v>
      </c>
      <c r="H40" s="906">
        <v>4.4999999999999998E-2</v>
      </c>
      <c r="I40" s="907">
        <v>4.4999999999999998E-2</v>
      </c>
      <c r="J40" s="836">
        <f>IF(OR(C40=0,C40=""),0,CEILING(K40*0.65,100))</f>
        <v>46000</v>
      </c>
      <c r="K40" s="861">
        <f>CEILING($D40*(1+$G40),100)</f>
        <v>70700</v>
      </c>
      <c r="L40" s="861">
        <f>CEILING(E40*(1+H40),100)</f>
        <v>92500</v>
      </c>
      <c r="M40" s="861">
        <f>CEILING(F40*(1+I40),100)</f>
        <v>96800</v>
      </c>
      <c r="N40" s="836">
        <f>J40-C40</f>
        <v>2000</v>
      </c>
      <c r="O40" s="837">
        <f t="shared" si="4"/>
        <v>3100</v>
      </c>
      <c r="P40" s="837">
        <f t="shared" si="5"/>
        <v>4000</v>
      </c>
      <c r="Q40" s="845">
        <f t="shared" si="6"/>
        <v>4200</v>
      </c>
      <c r="R40" s="732"/>
      <c r="S40" s="1272" t="str">
        <f>+A40</f>
        <v>Quinchos y Canchas 
C.R. Faro Tumbes</v>
      </c>
      <c r="T40" s="737" t="str">
        <f t="shared" si="7"/>
        <v>Quincho 1 [1 a 20 pp.]</v>
      </c>
      <c r="U40" s="772"/>
      <c r="V40" s="773">
        <v>173</v>
      </c>
      <c r="W40" s="773">
        <v>20</v>
      </c>
      <c r="X40" s="774">
        <v>0</v>
      </c>
      <c r="Y40" s="775">
        <f t="shared" si="15"/>
        <v>193</v>
      </c>
    </row>
    <row r="41" spans="1:25" ht="15" thickBot="1" x14ac:dyDescent="0.4">
      <c r="A41" s="1270"/>
      <c r="B41" s="575" t="s">
        <v>82</v>
      </c>
      <c r="C41" s="776">
        <v>1400</v>
      </c>
      <c r="D41" s="777">
        <v>2100</v>
      </c>
      <c r="E41" s="777">
        <v>2700</v>
      </c>
      <c r="F41" s="778">
        <v>2800</v>
      </c>
      <c r="G41" s="901">
        <v>4.4999999999999998E-2</v>
      </c>
      <c r="H41" s="897">
        <v>4.4999999999999998E-2</v>
      </c>
      <c r="I41" s="902">
        <v>4.4999999999999998E-2</v>
      </c>
      <c r="J41" s="779">
        <f>IF(OR(C41=0,C41=""),0,CEILING(K41*0.65,100))</f>
        <v>1500</v>
      </c>
      <c r="K41" s="780">
        <f t="shared" si="12"/>
        <v>2200</v>
      </c>
      <c r="L41" s="780">
        <f>CEILING($E41*(1+$H41),100)</f>
        <v>2900</v>
      </c>
      <c r="M41" s="781">
        <f t="shared" si="14"/>
        <v>3000</v>
      </c>
      <c r="N41" s="779">
        <f>J41-C41</f>
        <v>100</v>
      </c>
      <c r="O41" s="780">
        <f t="shared" si="4"/>
        <v>100</v>
      </c>
      <c r="P41" s="780">
        <f t="shared" si="5"/>
        <v>200</v>
      </c>
      <c r="Q41" s="781">
        <f t="shared" si="6"/>
        <v>200</v>
      </c>
      <c r="R41" s="732"/>
      <c r="S41" s="1273"/>
      <c r="T41" s="733" t="str">
        <f t="shared" si="7"/>
        <v>Quincho 1 [persona adicional)</v>
      </c>
      <c r="U41" s="782"/>
      <c r="V41" s="783"/>
      <c r="W41" s="783"/>
      <c r="X41" s="784"/>
      <c r="Y41" s="785">
        <f t="shared" si="15"/>
        <v>0</v>
      </c>
    </row>
    <row r="42" spans="1:25" x14ac:dyDescent="0.35">
      <c r="A42" s="1270"/>
      <c r="B42" s="854" t="s">
        <v>83</v>
      </c>
      <c r="C42" s="855"/>
      <c r="D42" s="842">
        <v>150600</v>
      </c>
      <c r="E42" s="842">
        <v>197200</v>
      </c>
      <c r="F42" s="856">
        <v>206100</v>
      </c>
      <c r="G42" s="901">
        <v>4.4999999999999998E-2</v>
      </c>
      <c r="H42" s="897">
        <v>4.4999999999999998E-2</v>
      </c>
      <c r="I42" s="902">
        <v>4.4999999999999998E-2</v>
      </c>
      <c r="J42" s="857"/>
      <c r="K42" s="860">
        <f>CEILING($D42*(1+$G42),100)</f>
        <v>157400</v>
      </c>
      <c r="L42" s="861">
        <f>CEILING(E42*(1+H42),100)</f>
        <v>206100</v>
      </c>
      <c r="M42" s="861">
        <f>CEILING(F42*(1+I42),100)</f>
        <v>215400</v>
      </c>
      <c r="N42" s="857"/>
      <c r="O42" s="842">
        <f t="shared" si="4"/>
        <v>6800</v>
      </c>
      <c r="P42" s="842">
        <f t="shared" si="5"/>
        <v>8900</v>
      </c>
      <c r="Q42" s="858">
        <f t="shared" si="6"/>
        <v>9300</v>
      </c>
      <c r="R42" s="732"/>
      <c r="S42" s="1273"/>
      <c r="T42" s="733" t="str">
        <f t="shared" si="7"/>
        <v>Quincho 2 (41-80 personas)</v>
      </c>
      <c r="U42" s="791"/>
      <c r="V42" s="783"/>
      <c r="W42" s="783"/>
      <c r="X42" s="784"/>
      <c r="Y42" s="785">
        <f t="shared" si="15"/>
        <v>0</v>
      </c>
    </row>
    <row r="43" spans="1:25" ht="15" thickBot="1" x14ac:dyDescent="0.4">
      <c r="A43" s="1270"/>
      <c r="B43" s="575" t="s">
        <v>84</v>
      </c>
      <c r="C43" s="776"/>
      <c r="D43" s="777">
        <v>2100</v>
      </c>
      <c r="E43" s="777">
        <v>2700</v>
      </c>
      <c r="F43" s="778">
        <v>2800</v>
      </c>
      <c r="G43" s="901">
        <v>4.4999999999999998E-2</v>
      </c>
      <c r="H43" s="897">
        <v>4.4999999999999998E-2</v>
      </c>
      <c r="I43" s="902">
        <v>4.4999999999999998E-2</v>
      </c>
      <c r="J43" s="787"/>
      <c r="K43" s="780">
        <f t="shared" si="12"/>
        <v>2200</v>
      </c>
      <c r="L43" s="780">
        <f t="shared" si="13"/>
        <v>2900</v>
      </c>
      <c r="M43" s="781">
        <f t="shared" si="14"/>
        <v>3000</v>
      </c>
      <c r="N43" s="787"/>
      <c r="O43" s="780">
        <f t="shared" si="4"/>
        <v>100</v>
      </c>
      <c r="P43" s="780">
        <f t="shared" si="5"/>
        <v>200</v>
      </c>
      <c r="Q43" s="781">
        <f t="shared" si="6"/>
        <v>200</v>
      </c>
      <c r="R43" s="732"/>
      <c r="S43" s="1273"/>
      <c r="T43" s="733" t="str">
        <f t="shared" si="7"/>
        <v>Quincho 2 (persona adicional)</v>
      </c>
      <c r="U43" s="791"/>
      <c r="V43" s="783"/>
      <c r="W43" s="783"/>
      <c r="X43" s="784"/>
      <c r="Y43" s="785">
        <f t="shared" si="15"/>
        <v>0</v>
      </c>
    </row>
    <row r="44" spans="1:25" x14ac:dyDescent="0.35">
      <c r="A44" s="1270"/>
      <c r="B44" s="854" t="s">
        <v>85</v>
      </c>
      <c r="C44" s="855">
        <v>10100</v>
      </c>
      <c r="D44" s="842">
        <v>15400</v>
      </c>
      <c r="E44" s="842">
        <v>20200</v>
      </c>
      <c r="F44" s="856">
        <v>21100</v>
      </c>
      <c r="G44" s="901">
        <v>4.4999999999999998E-2</v>
      </c>
      <c r="H44" s="897">
        <v>4.4999999999999998E-2</v>
      </c>
      <c r="I44" s="902">
        <v>4.4999999999999998E-2</v>
      </c>
      <c r="J44" s="859">
        <f>IF(OR(C44=0,C44=""),0,CEILING(K44*0.65,100))</f>
        <v>10500</v>
      </c>
      <c r="K44" s="860">
        <f t="shared" si="12"/>
        <v>16100</v>
      </c>
      <c r="L44" s="861">
        <f>CEILING(E44*(1+H44),100)</f>
        <v>21200</v>
      </c>
      <c r="M44" s="861">
        <f>CEILING(F44*(1+I44),100)</f>
        <v>22100</v>
      </c>
      <c r="N44" s="859">
        <f>J44-C44</f>
        <v>400</v>
      </c>
      <c r="O44" s="842">
        <f t="shared" si="4"/>
        <v>700</v>
      </c>
      <c r="P44" s="842">
        <f t="shared" si="5"/>
        <v>1000</v>
      </c>
      <c r="Q44" s="858">
        <f t="shared" si="6"/>
        <v>1000</v>
      </c>
      <c r="R44" s="732"/>
      <c r="S44" s="1273"/>
      <c r="T44" s="733" t="str">
        <f t="shared" si="7"/>
        <v>Picnic 1- 10 personas</v>
      </c>
      <c r="U44" s="782"/>
      <c r="V44" s="741"/>
      <c r="W44" s="741"/>
      <c r="X44" s="742"/>
      <c r="Y44" s="785">
        <f t="shared" si="15"/>
        <v>0</v>
      </c>
    </row>
    <row r="45" spans="1:25" ht="15" thickBot="1" x14ac:dyDescent="0.4">
      <c r="A45" s="1270"/>
      <c r="B45" s="575" t="s">
        <v>86</v>
      </c>
      <c r="C45" s="776">
        <v>900</v>
      </c>
      <c r="D45" s="777">
        <v>1300</v>
      </c>
      <c r="E45" s="777">
        <v>1600</v>
      </c>
      <c r="F45" s="778">
        <v>1700</v>
      </c>
      <c r="G45" s="901">
        <v>4.4999999999999998E-2</v>
      </c>
      <c r="H45" s="897">
        <v>4.4999999999999998E-2</v>
      </c>
      <c r="I45" s="902">
        <v>4.4999999999999998E-2</v>
      </c>
      <c r="J45" s="779">
        <f>IF(OR(C45=0,C45=""),0,CEILING(K45*0.65,100))</f>
        <v>1000</v>
      </c>
      <c r="K45" s="780">
        <f t="shared" si="12"/>
        <v>1400</v>
      </c>
      <c r="L45" s="780">
        <f t="shared" si="13"/>
        <v>1700</v>
      </c>
      <c r="M45" s="781">
        <f t="shared" si="14"/>
        <v>1800</v>
      </c>
      <c r="N45" s="779">
        <f>J45-C45</f>
        <v>100</v>
      </c>
      <c r="O45" s="780">
        <f t="shared" si="4"/>
        <v>100</v>
      </c>
      <c r="P45" s="780">
        <f t="shared" si="5"/>
        <v>100</v>
      </c>
      <c r="Q45" s="781">
        <f t="shared" si="6"/>
        <v>100</v>
      </c>
      <c r="R45" s="732"/>
      <c r="S45" s="1273"/>
      <c r="T45" s="733" t="str">
        <f t="shared" si="7"/>
        <v>Picnic (persona adicional)</v>
      </c>
      <c r="U45" s="782"/>
      <c r="V45" s="741"/>
      <c r="W45" s="741"/>
      <c r="X45" s="742"/>
      <c r="Y45" s="785">
        <f t="shared" si="15"/>
        <v>0</v>
      </c>
    </row>
    <row r="46" spans="1:25" x14ac:dyDescent="0.35">
      <c r="A46" s="1270"/>
      <c r="B46" s="854" t="s">
        <v>87</v>
      </c>
      <c r="C46" s="855">
        <v>15500</v>
      </c>
      <c r="D46" s="842">
        <v>23700</v>
      </c>
      <c r="E46" s="842">
        <v>31100</v>
      </c>
      <c r="F46" s="856">
        <v>32500</v>
      </c>
      <c r="G46" s="901">
        <v>4.4999999999999998E-2</v>
      </c>
      <c r="H46" s="897">
        <v>4.4999999999999998E-2</v>
      </c>
      <c r="I46" s="902">
        <v>4.4999999999999998E-2</v>
      </c>
      <c r="J46" s="859">
        <f>IF(OR(C46=0,C46=""),0,CEILING(K46*0.65,100))</f>
        <v>16200</v>
      </c>
      <c r="K46" s="860">
        <f t="shared" si="12"/>
        <v>24800</v>
      </c>
      <c r="L46" s="861">
        <f>CEILING(E46*(1+H46),100)</f>
        <v>32500</v>
      </c>
      <c r="M46" s="861">
        <f>CEILING(F46*(1+I46),100)</f>
        <v>34000</v>
      </c>
      <c r="N46" s="859">
        <f>J46-C46</f>
        <v>700</v>
      </c>
      <c r="O46" s="842">
        <f t="shared" si="4"/>
        <v>1100</v>
      </c>
      <c r="P46" s="842">
        <f t="shared" si="5"/>
        <v>1400</v>
      </c>
      <c r="Q46" s="858">
        <f t="shared" si="6"/>
        <v>1500</v>
      </c>
      <c r="R46" s="732"/>
      <c r="S46" s="1273"/>
      <c r="T46" s="733" t="str">
        <f t="shared" si="7"/>
        <v>Cancha pasto sintético</v>
      </c>
      <c r="U46" s="782"/>
      <c r="V46" s="741"/>
      <c r="W46" s="741"/>
      <c r="X46" s="742"/>
      <c r="Y46" s="785">
        <f t="shared" si="15"/>
        <v>0</v>
      </c>
    </row>
    <row r="47" spans="1:25" x14ac:dyDescent="0.35">
      <c r="A47" s="1270"/>
      <c r="B47" s="575" t="s">
        <v>76</v>
      </c>
      <c r="C47" s="776">
        <v>2600</v>
      </c>
      <c r="D47" s="777">
        <v>3900</v>
      </c>
      <c r="E47" s="777">
        <v>4900</v>
      </c>
      <c r="F47" s="778">
        <v>5100</v>
      </c>
      <c r="G47" s="901">
        <v>4.4999999999999998E-2</v>
      </c>
      <c r="H47" s="897">
        <v>4.4999999999999998E-2</v>
      </c>
      <c r="I47" s="902">
        <v>4.4999999999999998E-2</v>
      </c>
      <c r="J47" s="779">
        <f>IF(OR(C47=0,C47=""),0,CEILING(K47*0.65,100))</f>
        <v>2700</v>
      </c>
      <c r="K47" s="780">
        <f t="shared" si="12"/>
        <v>4100</v>
      </c>
      <c r="L47" s="780">
        <f t="shared" si="13"/>
        <v>5200</v>
      </c>
      <c r="M47" s="781">
        <f t="shared" si="14"/>
        <v>5400</v>
      </c>
      <c r="N47" s="779">
        <f>J47-C47</f>
        <v>100</v>
      </c>
      <c r="O47" s="780">
        <f t="shared" si="4"/>
        <v>200</v>
      </c>
      <c r="P47" s="780">
        <f t="shared" si="5"/>
        <v>300</v>
      </c>
      <c r="Q47" s="781">
        <f t="shared" si="6"/>
        <v>300</v>
      </c>
      <c r="R47" s="732"/>
      <c r="S47" s="1273"/>
      <c r="T47" s="733" t="str">
        <f t="shared" si="7"/>
        <v>Cancha tenis (Single)</v>
      </c>
      <c r="U47" s="782"/>
      <c r="V47" s="741"/>
      <c r="W47" s="741"/>
      <c r="X47" s="742"/>
      <c r="Y47" s="785">
        <f t="shared" si="15"/>
        <v>0</v>
      </c>
    </row>
    <row r="48" spans="1:25" ht="15" thickBot="1" x14ac:dyDescent="0.4">
      <c r="A48" s="1292"/>
      <c r="B48" s="581" t="s">
        <v>77</v>
      </c>
      <c r="C48" s="812">
        <v>3600</v>
      </c>
      <c r="D48" s="813">
        <v>5400</v>
      </c>
      <c r="E48" s="813">
        <v>6700</v>
      </c>
      <c r="F48" s="814">
        <v>7000</v>
      </c>
      <c r="G48" s="903">
        <v>4.4999999999999998E-2</v>
      </c>
      <c r="H48" s="904">
        <v>4.4999999999999998E-2</v>
      </c>
      <c r="I48" s="905">
        <v>4.4999999999999998E-2</v>
      </c>
      <c r="J48" s="827">
        <f>IF(OR(C48=0,C48=""),0,CEILING(K48*0.65,100))</f>
        <v>3800</v>
      </c>
      <c r="K48" s="802">
        <f t="shared" si="12"/>
        <v>5700</v>
      </c>
      <c r="L48" s="802">
        <f t="shared" si="13"/>
        <v>7100</v>
      </c>
      <c r="M48" s="803">
        <f t="shared" si="14"/>
        <v>7400</v>
      </c>
      <c r="N48" s="827">
        <f>J48-C48</f>
        <v>200</v>
      </c>
      <c r="O48" s="802">
        <f t="shared" si="4"/>
        <v>300</v>
      </c>
      <c r="P48" s="802">
        <f t="shared" si="5"/>
        <v>400</v>
      </c>
      <c r="Q48" s="803">
        <f t="shared" si="6"/>
        <v>400</v>
      </c>
      <c r="R48" s="732"/>
      <c r="S48" s="1293"/>
      <c r="T48" s="738" t="str">
        <f t="shared" si="7"/>
        <v>Cancha tenis (Doble)</v>
      </c>
      <c r="U48" s="820"/>
      <c r="V48" s="743"/>
      <c r="W48" s="743"/>
      <c r="X48" s="744"/>
      <c r="Y48" s="809">
        <f t="shared" si="15"/>
        <v>0</v>
      </c>
    </row>
    <row r="50" spans="3:11" x14ac:dyDescent="0.35">
      <c r="C50" s="451"/>
      <c r="K50" s="853"/>
    </row>
    <row r="51" spans="3:11" x14ac:dyDescent="0.35">
      <c r="J51" s="451"/>
    </row>
  </sheetData>
  <mergeCells count="32">
    <mergeCell ref="A40:A48"/>
    <mergeCell ref="S40:S48"/>
    <mergeCell ref="A33:A34"/>
    <mergeCell ref="S33:S34"/>
    <mergeCell ref="A35:A37"/>
    <mergeCell ref="S35:S37"/>
    <mergeCell ref="A38:A39"/>
    <mergeCell ref="S38:S39"/>
    <mergeCell ref="G36:I36"/>
    <mergeCell ref="A31:A32"/>
    <mergeCell ref="S31:S32"/>
    <mergeCell ref="G29:I29"/>
    <mergeCell ref="A21:A27"/>
    <mergeCell ref="S21:S27"/>
    <mergeCell ref="Y10:Y11"/>
    <mergeCell ref="A12:A20"/>
    <mergeCell ref="S12:S20"/>
    <mergeCell ref="N10:Q10"/>
    <mergeCell ref="A28:A30"/>
    <mergeCell ref="S28:S30"/>
    <mergeCell ref="D5:E5"/>
    <mergeCell ref="F5:G5"/>
    <mergeCell ref="A8:C8"/>
    <mergeCell ref="S8:U8"/>
    <mergeCell ref="A10:A11"/>
    <mergeCell ref="B10:B11"/>
    <mergeCell ref="C10:F10"/>
    <mergeCell ref="G10:I10"/>
    <mergeCell ref="J10:M10"/>
    <mergeCell ref="S10:S11"/>
    <mergeCell ref="T10:T11"/>
    <mergeCell ref="U10:X10"/>
  </mergeCells>
  <hyperlinks>
    <hyperlink ref="A8:C8" location="'Índice Tablas '!A1" display="TABLA 3: REAJUSTE DE TARIFAS POR PRESTACIÓN Y SEGMENTO" xr:uid="{00000000-0004-0000-0300-000000000000}"/>
    <hyperlink ref="S8:U8" location="'Índice Tablas '!A1" display="TABLA 4: METAS DE OCUPACIÓN POR PRESTACIÓN Y SEGMENTO" xr:uid="{00000000-0004-0000-0300-000001000000}"/>
  </hyperlinks>
  <pageMargins left="0.7" right="0.7" top="0.75" bottom="0.75" header="0.3" footer="0.3"/>
  <pageSetup orientation="portrait" r:id="rId1"/>
  <ignoredErrors>
    <ignoredError sqref="M43:M4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9"/>
  <sheetViews>
    <sheetView workbookViewId="0">
      <selection activeCell="O37" sqref="O37"/>
    </sheetView>
  </sheetViews>
  <sheetFormatPr baseColWidth="10" defaultColWidth="11.453125" defaultRowHeight="14.5" x14ac:dyDescent="0.35"/>
  <cols>
    <col min="1" max="1" width="11.453125" style="206"/>
    <col min="2" max="2" width="35.1796875" style="206" bestFit="1" customWidth="1"/>
    <col min="3" max="3" width="42.81640625" style="206" bestFit="1" customWidth="1"/>
    <col min="4" max="4" width="11.453125" style="206"/>
    <col min="5" max="7" width="9.453125" style="206" bestFit="1" customWidth="1"/>
    <col min="8" max="11" width="11.453125" style="206"/>
    <col min="12" max="13" width="11.81640625" style="206" bestFit="1" customWidth="1"/>
    <col min="14" max="16384" width="11.453125" style="206"/>
  </cols>
  <sheetData>
    <row r="1" spans="2:13" x14ac:dyDescent="0.35">
      <c r="B1" s="876" t="s">
        <v>3</v>
      </c>
      <c r="C1" s="876" t="s">
        <v>26</v>
      </c>
      <c r="D1" s="1295" t="s">
        <v>492</v>
      </c>
      <c r="E1" s="1295"/>
      <c r="F1" s="1295"/>
      <c r="G1" s="1295"/>
    </row>
    <row r="2" spans="2:13" x14ac:dyDescent="0.35">
      <c r="B2" s="876"/>
      <c r="C2" s="876"/>
      <c r="D2" s="876" t="s">
        <v>30</v>
      </c>
      <c r="E2" s="876" t="s">
        <v>199</v>
      </c>
      <c r="F2" s="876" t="s">
        <v>200</v>
      </c>
      <c r="G2" s="876" t="s">
        <v>201</v>
      </c>
      <c r="I2" s="206">
        <v>1.19</v>
      </c>
    </row>
    <row r="3" spans="2:13" x14ac:dyDescent="0.35">
      <c r="B3" s="876" t="s">
        <v>58</v>
      </c>
      <c r="C3" s="876" t="s">
        <v>59</v>
      </c>
      <c r="D3" s="876">
        <v>42600</v>
      </c>
      <c r="E3" s="876">
        <v>65500</v>
      </c>
      <c r="F3" s="876">
        <v>81700</v>
      </c>
      <c r="G3" s="876">
        <v>85300</v>
      </c>
      <c r="I3" s="316">
        <f>F3/$I$2</f>
        <v>68655.462184873948</v>
      </c>
      <c r="J3" s="316">
        <f>G3/$I$2</f>
        <v>71680.672268907569</v>
      </c>
      <c r="L3" s="206" t="b">
        <f>I3&gt;E3</f>
        <v>1</v>
      </c>
      <c r="M3" s="206" t="b">
        <f>J3&gt;E3</f>
        <v>1</v>
      </c>
    </row>
    <row r="4" spans="2:13" x14ac:dyDescent="0.35">
      <c r="B4" s="876"/>
      <c r="C4" s="876" t="s">
        <v>60</v>
      </c>
      <c r="D4" s="876">
        <v>30600</v>
      </c>
      <c r="E4" s="876">
        <v>47000</v>
      </c>
      <c r="F4" s="876">
        <v>58500</v>
      </c>
      <c r="G4" s="876">
        <v>61200</v>
      </c>
      <c r="I4" s="316">
        <f t="shared" ref="I4:I39" si="0">F4/$I$2</f>
        <v>49159.663865546223</v>
      </c>
      <c r="J4" s="316">
        <f t="shared" ref="J4:J39" si="1">G4/$I$2</f>
        <v>51428.571428571428</v>
      </c>
      <c r="L4" s="206" t="b">
        <f>I4&gt;E4</f>
        <v>1</v>
      </c>
      <c r="M4" s="206" t="b">
        <f t="shared" ref="M4:M39" si="2">J4&gt;E4</f>
        <v>1</v>
      </c>
    </row>
    <row r="5" spans="2:13" x14ac:dyDescent="0.35">
      <c r="B5" s="876"/>
      <c r="C5" s="876" t="s">
        <v>61</v>
      </c>
      <c r="D5" s="876">
        <v>33400</v>
      </c>
      <c r="E5" s="876">
        <v>51300</v>
      </c>
      <c r="F5" s="876">
        <v>63800</v>
      </c>
      <c r="G5" s="876">
        <v>66700</v>
      </c>
      <c r="I5" s="316">
        <f t="shared" si="0"/>
        <v>53613.445378151264</v>
      </c>
      <c r="J5" s="316">
        <f t="shared" si="1"/>
        <v>56050.420168067227</v>
      </c>
      <c r="L5" s="206" t="b">
        <f t="shared" ref="L5:L39" si="3">I5&gt;E5</f>
        <v>1</v>
      </c>
      <c r="M5" s="206" t="b">
        <f t="shared" si="2"/>
        <v>1</v>
      </c>
    </row>
    <row r="6" spans="2:13" x14ac:dyDescent="0.35">
      <c r="B6" s="876"/>
      <c r="C6" s="876" t="s">
        <v>62</v>
      </c>
      <c r="D6" s="876">
        <v>33400</v>
      </c>
      <c r="E6" s="876">
        <v>51300</v>
      </c>
      <c r="F6" s="876">
        <v>63800</v>
      </c>
      <c r="G6" s="876">
        <v>66700</v>
      </c>
      <c r="I6" s="316">
        <f t="shared" si="0"/>
        <v>53613.445378151264</v>
      </c>
      <c r="J6" s="316">
        <f t="shared" si="1"/>
        <v>56050.420168067227</v>
      </c>
      <c r="L6" s="206" t="b">
        <f t="shared" si="3"/>
        <v>1</v>
      </c>
      <c r="M6" s="206" t="b">
        <f t="shared" si="2"/>
        <v>1</v>
      </c>
    </row>
    <row r="7" spans="2:13" x14ac:dyDescent="0.35">
      <c r="B7" s="876"/>
      <c r="C7" s="876" t="s">
        <v>63</v>
      </c>
      <c r="D7" s="876"/>
      <c r="E7" s="876"/>
      <c r="F7" s="876"/>
      <c r="G7" s="876"/>
      <c r="I7" s="316"/>
      <c r="J7" s="316"/>
    </row>
    <row r="8" spans="2:13" x14ac:dyDescent="0.35">
      <c r="B8" s="876"/>
      <c r="C8" s="876" t="s">
        <v>59</v>
      </c>
      <c r="D8" s="876"/>
      <c r="E8" s="876">
        <v>19700</v>
      </c>
      <c r="F8" s="876">
        <v>24600</v>
      </c>
      <c r="G8" s="876">
        <v>25600</v>
      </c>
      <c r="I8" s="316">
        <f t="shared" si="0"/>
        <v>20672.268907563026</v>
      </c>
      <c r="J8" s="316">
        <f t="shared" si="1"/>
        <v>21512.605042016807</v>
      </c>
      <c r="L8" s="206" t="b">
        <f t="shared" si="3"/>
        <v>1</v>
      </c>
      <c r="M8" s="206" t="b">
        <f t="shared" si="2"/>
        <v>1</v>
      </c>
    </row>
    <row r="9" spans="2:13" x14ac:dyDescent="0.35">
      <c r="B9" s="876"/>
      <c r="C9" s="876" t="s">
        <v>60</v>
      </c>
      <c r="D9" s="876"/>
      <c r="E9" s="876">
        <v>14100</v>
      </c>
      <c r="F9" s="876">
        <v>17600</v>
      </c>
      <c r="G9" s="876">
        <v>18400</v>
      </c>
      <c r="I9" s="316">
        <f t="shared" si="0"/>
        <v>14789.915966386556</v>
      </c>
      <c r="J9" s="316">
        <f t="shared" si="1"/>
        <v>15462.18487394958</v>
      </c>
      <c r="L9" s="206" t="b">
        <f t="shared" si="3"/>
        <v>1</v>
      </c>
      <c r="M9" s="206" t="b">
        <f t="shared" si="2"/>
        <v>1</v>
      </c>
    </row>
    <row r="10" spans="2:13" x14ac:dyDescent="0.35">
      <c r="B10" s="876"/>
      <c r="C10" s="876" t="s">
        <v>61</v>
      </c>
      <c r="D10" s="876"/>
      <c r="E10" s="876">
        <v>15400</v>
      </c>
      <c r="F10" s="876">
        <v>19200</v>
      </c>
      <c r="G10" s="876">
        <v>20100</v>
      </c>
      <c r="I10" s="316">
        <f t="shared" si="0"/>
        <v>16134.453781512606</v>
      </c>
      <c r="J10" s="316">
        <f t="shared" si="1"/>
        <v>16890.756302521007</v>
      </c>
      <c r="L10" s="206" t="b">
        <f t="shared" si="3"/>
        <v>1</v>
      </c>
      <c r="M10" s="206" t="b">
        <f t="shared" si="2"/>
        <v>1</v>
      </c>
    </row>
    <row r="11" spans="2:13" x14ac:dyDescent="0.35">
      <c r="B11" s="876"/>
      <c r="C11" s="876" t="s">
        <v>62</v>
      </c>
      <c r="D11" s="876"/>
      <c r="E11" s="876">
        <v>15400</v>
      </c>
      <c r="F11" s="876">
        <v>19200</v>
      </c>
      <c r="G11" s="876">
        <v>20100</v>
      </c>
      <c r="I11" s="316">
        <f t="shared" si="0"/>
        <v>16134.453781512606</v>
      </c>
      <c r="J11" s="316">
        <f t="shared" si="1"/>
        <v>16890.756302521007</v>
      </c>
      <c r="L11" s="206" t="b">
        <f t="shared" si="3"/>
        <v>1</v>
      </c>
      <c r="M11" s="206" t="b">
        <f t="shared" si="2"/>
        <v>1</v>
      </c>
    </row>
    <row r="12" spans="2:13" x14ac:dyDescent="0.35">
      <c r="B12" s="876" t="s">
        <v>64</v>
      </c>
      <c r="C12" s="876" t="s">
        <v>65</v>
      </c>
      <c r="D12" s="876">
        <v>46700</v>
      </c>
      <c r="E12" s="876">
        <v>71700</v>
      </c>
      <c r="F12" s="876">
        <v>93900</v>
      </c>
      <c r="G12" s="876">
        <v>98200</v>
      </c>
      <c r="I12" s="316">
        <f t="shared" si="0"/>
        <v>78907.563025210082</v>
      </c>
      <c r="J12" s="316">
        <f t="shared" si="1"/>
        <v>82521.008403361353</v>
      </c>
      <c r="L12" s="206" t="b">
        <f t="shared" si="3"/>
        <v>1</v>
      </c>
      <c r="M12" s="206" t="b">
        <f t="shared" si="2"/>
        <v>1</v>
      </c>
    </row>
    <row r="13" spans="2:13" x14ac:dyDescent="0.35">
      <c r="B13" s="876"/>
      <c r="C13" s="876" t="s">
        <v>66</v>
      </c>
      <c r="D13" s="876">
        <v>21400</v>
      </c>
      <c r="E13" s="876">
        <v>32900</v>
      </c>
      <c r="F13" s="876">
        <v>41000</v>
      </c>
      <c r="G13" s="876">
        <v>42900</v>
      </c>
      <c r="I13" s="316">
        <f t="shared" si="0"/>
        <v>34453.781512605041</v>
      </c>
      <c r="J13" s="316">
        <f t="shared" si="1"/>
        <v>36050.420168067227</v>
      </c>
      <c r="L13" s="206" t="b">
        <f t="shared" si="3"/>
        <v>1</v>
      </c>
      <c r="M13" s="206" t="b">
        <f t="shared" si="2"/>
        <v>1</v>
      </c>
    </row>
    <row r="14" spans="2:13" x14ac:dyDescent="0.35">
      <c r="B14" s="876"/>
      <c r="C14" s="876" t="s">
        <v>67</v>
      </c>
      <c r="D14" s="876">
        <v>28200</v>
      </c>
      <c r="E14" s="876">
        <v>43300</v>
      </c>
      <c r="F14" s="876">
        <v>54000</v>
      </c>
      <c r="G14" s="876">
        <v>56500</v>
      </c>
      <c r="I14" s="316">
        <f t="shared" si="0"/>
        <v>45378.151260504201</v>
      </c>
      <c r="J14" s="316">
        <f t="shared" si="1"/>
        <v>47478.991596638654</v>
      </c>
      <c r="L14" s="206" t="b">
        <f t="shared" si="3"/>
        <v>1</v>
      </c>
      <c r="M14" s="206" t="b">
        <f t="shared" si="2"/>
        <v>1</v>
      </c>
    </row>
    <row r="15" spans="2:13" x14ac:dyDescent="0.35">
      <c r="B15" s="876"/>
      <c r="C15" s="876" t="s">
        <v>68</v>
      </c>
      <c r="D15" s="876"/>
      <c r="E15" s="876">
        <v>15800</v>
      </c>
      <c r="F15" s="876">
        <v>19700</v>
      </c>
      <c r="G15" s="876">
        <v>20500</v>
      </c>
      <c r="I15" s="316">
        <f t="shared" si="0"/>
        <v>16554.621848739498</v>
      </c>
      <c r="J15" s="316">
        <f t="shared" si="1"/>
        <v>17226.89075630252</v>
      </c>
      <c r="L15" s="206" t="b">
        <f t="shared" si="3"/>
        <v>1</v>
      </c>
      <c r="M15" s="206" t="b">
        <f t="shared" si="2"/>
        <v>1</v>
      </c>
    </row>
    <row r="16" spans="2:13" x14ac:dyDescent="0.35">
      <c r="B16" s="876"/>
      <c r="C16" s="876" t="s">
        <v>69</v>
      </c>
      <c r="D16" s="876"/>
      <c r="E16" s="876">
        <v>5700</v>
      </c>
      <c r="F16" s="876">
        <v>7100</v>
      </c>
      <c r="G16" s="876">
        <v>7400</v>
      </c>
      <c r="I16" s="316">
        <f t="shared" si="0"/>
        <v>5966.3865546218494</v>
      </c>
      <c r="J16" s="316">
        <f t="shared" si="1"/>
        <v>6218.4873949579833</v>
      </c>
      <c r="L16" s="206" t="b">
        <f t="shared" si="3"/>
        <v>1</v>
      </c>
      <c r="M16" s="206" t="b">
        <f t="shared" si="2"/>
        <v>1</v>
      </c>
    </row>
    <row r="17" spans="2:13" x14ac:dyDescent="0.35">
      <c r="B17" s="876"/>
      <c r="C17" s="876" t="s">
        <v>70</v>
      </c>
      <c r="D17" s="876"/>
      <c r="E17" s="876">
        <v>4100</v>
      </c>
      <c r="F17" s="876">
        <v>5200</v>
      </c>
      <c r="G17" s="876">
        <v>5400</v>
      </c>
      <c r="I17" s="316">
        <f t="shared" si="0"/>
        <v>4369.7478991596645</v>
      </c>
      <c r="J17" s="316">
        <f t="shared" si="1"/>
        <v>4537.8151260504201</v>
      </c>
      <c r="L17" s="206" t="b">
        <f t="shared" si="3"/>
        <v>1</v>
      </c>
      <c r="M17" s="206" t="b">
        <f t="shared" si="2"/>
        <v>1</v>
      </c>
    </row>
    <row r="18" spans="2:13" x14ac:dyDescent="0.35">
      <c r="B18" s="876"/>
      <c r="C18" s="876" t="s">
        <v>487</v>
      </c>
      <c r="D18" s="876">
        <v>88800</v>
      </c>
      <c r="E18" s="876">
        <v>136600</v>
      </c>
      <c r="F18" s="876">
        <v>178800</v>
      </c>
      <c r="G18" s="876">
        <v>187000</v>
      </c>
      <c r="I18" s="316">
        <f t="shared" si="0"/>
        <v>150252.10084033615</v>
      </c>
      <c r="J18" s="316">
        <f t="shared" si="1"/>
        <v>157142.85714285716</v>
      </c>
      <c r="L18" s="206" t="b">
        <f t="shared" si="3"/>
        <v>1</v>
      </c>
      <c r="M18" s="206" t="b">
        <f t="shared" si="2"/>
        <v>1</v>
      </c>
    </row>
    <row r="19" spans="2:13" x14ac:dyDescent="0.35">
      <c r="B19" s="876" t="s">
        <v>71</v>
      </c>
      <c r="C19" s="876" t="s">
        <v>72</v>
      </c>
      <c r="D19" s="876">
        <v>54700</v>
      </c>
      <c r="E19" s="876">
        <v>84100</v>
      </c>
      <c r="F19" s="876">
        <v>110100</v>
      </c>
      <c r="G19" s="876">
        <v>115100</v>
      </c>
      <c r="I19" s="316">
        <f t="shared" si="0"/>
        <v>92521.008403361353</v>
      </c>
      <c r="J19" s="316">
        <f t="shared" si="1"/>
        <v>96722.68907563026</v>
      </c>
      <c r="L19" s="206" t="b">
        <f t="shared" si="3"/>
        <v>1</v>
      </c>
      <c r="M19" s="206" t="b">
        <f t="shared" si="2"/>
        <v>1</v>
      </c>
    </row>
    <row r="20" spans="2:13" x14ac:dyDescent="0.35">
      <c r="B20" s="876"/>
      <c r="C20" s="876" t="s">
        <v>63</v>
      </c>
      <c r="D20" s="876"/>
      <c r="E20" s="876"/>
      <c r="F20" s="876"/>
      <c r="G20" s="876"/>
      <c r="I20" s="316"/>
      <c r="J20" s="316"/>
    </row>
    <row r="21" spans="2:13" x14ac:dyDescent="0.35">
      <c r="B21" s="876"/>
      <c r="C21" s="876" t="s">
        <v>72</v>
      </c>
      <c r="D21" s="876"/>
      <c r="E21" s="876">
        <v>25300</v>
      </c>
      <c r="F21" s="876">
        <v>33100</v>
      </c>
      <c r="G21" s="876">
        <v>34600</v>
      </c>
      <c r="I21" s="316">
        <f t="shared" si="0"/>
        <v>27815.126050420171</v>
      </c>
      <c r="J21" s="316">
        <f t="shared" si="1"/>
        <v>29075.63025210084</v>
      </c>
      <c r="L21" s="206" t="b">
        <f t="shared" si="3"/>
        <v>1</v>
      </c>
      <c r="M21" s="206" t="b">
        <f t="shared" si="2"/>
        <v>1</v>
      </c>
    </row>
    <row r="22" spans="2:13" x14ac:dyDescent="0.35">
      <c r="B22" s="876" t="s">
        <v>73</v>
      </c>
      <c r="C22" s="876" t="s">
        <v>74</v>
      </c>
      <c r="D22" s="876"/>
      <c r="E22" s="876">
        <v>5500</v>
      </c>
      <c r="F22" s="876">
        <v>6800</v>
      </c>
      <c r="G22" s="876">
        <v>7200</v>
      </c>
      <c r="I22" s="316">
        <f t="shared" si="0"/>
        <v>5714.2857142857147</v>
      </c>
      <c r="J22" s="316">
        <f t="shared" si="1"/>
        <v>6050.4201680672268</v>
      </c>
      <c r="L22" s="206" t="b">
        <f t="shared" si="3"/>
        <v>1</v>
      </c>
      <c r="M22" s="206" t="b">
        <f t="shared" si="2"/>
        <v>1</v>
      </c>
    </row>
    <row r="23" spans="2:13" x14ac:dyDescent="0.35">
      <c r="B23" s="876"/>
      <c r="C23" s="876" t="s">
        <v>70</v>
      </c>
      <c r="D23" s="876"/>
      <c r="E23" s="876">
        <v>3300</v>
      </c>
      <c r="F23" s="876">
        <v>4000</v>
      </c>
      <c r="G23" s="876">
        <v>4200</v>
      </c>
      <c r="I23" s="316">
        <f t="shared" si="0"/>
        <v>3361.3445378151264</v>
      </c>
      <c r="J23" s="316">
        <f t="shared" si="1"/>
        <v>3529.4117647058824</v>
      </c>
      <c r="L23" s="206" t="b">
        <f t="shared" si="3"/>
        <v>1</v>
      </c>
      <c r="M23" s="206" t="b">
        <f t="shared" si="2"/>
        <v>1</v>
      </c>
    </row>
    <row r="24" spans="2:13" x14ac:dyDescent="0.35">
      <c r="B24" s="876" t="s">
        <v>75</v>
      </c>
      <c r="C24" s="876" t="s">
        <v>76</v>
      </c>
      <c r="D24" s="876">
        <v>3000</v>
      </c>
      <c r="E24" s="876">
        <v>4600</v>
      </c>
      <c r="F24" s="876">
        <v>5700</v>
      </c>
      <c r="G24" s="876">
        <v>6000</v>
      </c>
      <c r="I24" s="316">
        <f t="shared" si="0"/>
        <v>4789.9159663865548</v>
      </c>
      <c r="J24" s="316">
        <f t="shared" si="1"/>
        <v>5042.0168067226896</v>
      </c>
      <c r="L24" s="206" t="b">
        <f t="shared" si="3"/>
        <v>1</v>
      </c>
      <c r="M24" s="206" t="b">
        <f t="shared" si="2"/>
        <v>1</v>
      </c>
    </row>
    <row r="25" spans="2:13" x14ac:dyDescent="0.35">
      <c r="B25" s="876"/>
      <c r="C25" s="876" t="s">
        <v>77</v>
      </c>
      <c r="D25" s="876">
        <v>4100</v>
      </c>
      <c r="E25" s="876">
        <v>6200</v>
      </c>
      <c r="F25" s="876">
        <v>7800</v>
      </c>
      <c r="G25" s="876">
        <v>8100</v>
      </c>
      <c r="I25" s="316">
        <f t="shared" si="0"/>
        <v>6554.6218487394963</v>
      </c>
      <c r="J25" s="316">
        <f t="shared" si="1"/>
        <v>6806.7226890756301</v>
      </c>
      <c r="L25" s="206" t="b">
        <f t="shared" si="3"/>
        <v>1</v>
      </c>
      <c r="M25" s="206" t="b">
        <f t="shared" si="2"/>
        <v>1</v>
      </c>
    </row>
    <row r="26" spans="2:13" x14ac:dyDescent="0.35">
      <c r="B26" s="876" t="s">
        <v>78</v>
      </c>
      <c r="C26" s="876" t="s">
        <v>72</v>
      </c>
      <c r="D26" s="876">
        <v>36300</v>
      </c>
      <c r="E26" s="876">
        <v>55700</v>
      </c>
      <c r="F26" s="876">
        <v>69400</v>
      </c>
      <c r="G26" s="876">
        <v>72600</v>
      </c>
      <c r="I26" s="316">
        <f t="shared" si="0"/>
        <v>58319.327731092439</v>
      </c>
      <c r="J26" s="316">
        <f t="shared" si="1"/>
        <v>61008.403361344543</v>
      </c>
      <c r="L26" s="206" t="b">
        <f t="shared" si="3"/>
        <v>1</v>
      </c>
      <c r="M26" s="206" t="b">
        <f t="shared" si="2"/>
        <v>1</v>
      </c>
    </row>
    <row r="27" spans="2:13" x14ac:dyDescent="0.35">
      <c r="B27" s="876"/>
      <c r="C27" s="876" t="s">
        <v>63</v>
      </c>
      <c r="D27" s="876"/>
      <c r="E27" s="876"/>
      <c r="F27" s="876"/>
      <c r="G27" s="876"/>
      <c r="I27" s="316"/>
      <c r="J27" s="316"/>
    </row>
    <row r="28" spans="2:13" x14ac:dyDescent="0.35">
      <c r="B28" s="876"/>
      <c r="C28" s="876" t="s">
        <v>72</v>
      </c>
      <c r="D28" s="876"/>
      <c r="E28" s="876">
        <v>16800</v>
      </c>
      <c r="F28" s="876">
        <v>20900</v>
      </c>
      <c r="G28" s="876">
        <v>21800</v>
      </c>
      <c r="I28" s="316">
        <f t="shared" si="0"/>
        <v>17563.025210084033</v>
      </c>
      <c r="J28" s="316">
        <f t="shared" si="1"/>
        <v>18319.327731092439</v>
      </c>
      <c r="L28" s="206" t="b">
        <f t="shared" si="3"/>
        <v>1</v>
      </c>
      <c r="M28" s="206" t="b">
        <f t="shared" si="2"/>
        <v>1</v>
      </c>
    </row>
    <row r="29" spans="2:13" x14ac:dyDescent="0.35">
      <c r="B29" s="876" t="s">
        <v>79</v>
      </c>
      <c r="C29" s="876" t="s">
        <v>74</v>
      </c>
      <c r="D29" s="876"/>
      <c r="E29" s="876">
        <v>6600</v>
      </c>
      <c r="F29" s="876">
        <v>8300</v>
      </c>
      <c r="G29" s="876">
        <v>8700</v>
      </c>
      <c r="I29" s="316">
        <f t="shared" si="0"/>
        <v>6974.7899159663866</v>
      </c>
      <c r="J29" s="316">
        <f t="shared" si="1"/>
        <v>7310.9243697478996</v>
      </c>
      <c r="L29" s="206" t="b">
        <f t="shared" si="3"/>
        <v>1</v>
      </c>
      <c r="M29" s="206" t="b">
        <f t="shared" si="2"/>
        <v>1</v>
      </c>
    </row>
    <row r="30" spans="2:13" x14ac:dyDescent="0.35">
      <c r="B30" s="876"/>
      <c r="C30" s="876" t="s">
        <v>70</v>
      </c>
      <c r="D30" s="876"/>
      <c r="E30" s="876">
        <v>3900</v>
      </c>
      <c r="F30" s="876">
        <v>4900</v>
      </c>
      <c r="G30" s="876">
        <v>5100</v>
      </c>
      <c r="I30" s="316">
        <f t="shared" si="0"/>
        <v>4117.6470588235297</v>
      </c>
      <c r="J30" s="316">
        <f t="shared" si="1"/>
        <v>4285.7142857142862</v>
      </c>
      <c r="L30" s="206" t="b">
        <f t="shared" si="3"/>
        <v>1</v>
      </c>
      <c r="M30" s="206" t="b">
        <f t="shared" si="2"/>
        <v>1</v>
      </c>
    </row>
    <row r="31" spans="2:13" x14ac:dyDescent="0.35">
      <c r="B31" s="876" t="s">
        <v>80</v>
      </c>
      <c r="C31" s="876" t="s">
        <v>81</v>
      </c>
      <c r="D31" s="876">
        <v>46000</v>
      </c>
      <c r="E31" s="876">
        <v>70700</v>
      </c>
      <c r="F31" s="876">
        <v>92500</v>
      </c>
      <c r="G31" s="876">
        <v>96800</v>
      </c>
      <c r="I31" s="316">
        <f t="shared" si="0"/>
        <v>77731.092436974795</v>
      </c>
      <c r="J31" s="316">
        <f t="shared" si="1"/>
        <v>81344.537815126052</v>
      </c>
      <c r="L31" s="206" t="b">
        <f t="shared" si="3"/>
        <v>1</v>
      </c>
      <c r="M31" s="206" t="b">
        <f t="shared" si="2"/>
        <v>1</v>
      </c>
    </row>
    <row r="32" spans="2:13" x14ac:dyDescent="0.35">
      <c r="B32" s="876"/>
      <c r="C32" s="876" t="s">
        <v>82</v>
      </c>
      <c r="D32" s="876">
        <v>1500</v>
      </c>
      <c r="E32" s="876">
        <v>2200</v>
      </c>
      <c r="F32" s="876">
        <v>2900</v>
      </c>
      <c r="G32" s="876">
        <v>3000</v>
      </c>
      <c r="I32" s="316">
        <f t="shared" si="0"/>
        <v>2436.9747899159665</v>
      </c>
      <c r="J32" s="316">
        <f t="shared" si="1"/>
        <v>2521.0084033613448</v>
      </c>
      <c r="L32" s="206" t="b">
        <f t="shared" si="3"/>
        <v>1</v>
      </c>
      <c r="M32" s="206" t="b">
        <f t="shared" si="2"/>
        <v>1</v>
      </c>
    </row>
    <row r="33" spans="2:13" x14ac:dyDescent="0.35">
      <c r="B33" s="876"/>
      <c r="C33" s="876" t="s">
        <v>83</v>
      </c>
      <c r="D33" s="876"/>
      <c r="E33" s="876">
        <v>157400</v>
      </c>
      <c r="F33" s="876">
        <v>206100</v>
      </c>
      <c r="G33" s="876">
        <v>215400</v>
      </c>
      <c r="I33" s="316">
        <f t="shared" si="0"/>
        <v>173193.27731092437</v>
      </c>
      <c r="J33" s="316">
        <f t="shared" si="1"/>
        <v>181008.40336134454</v>
      </c>
      <c r="L33" s="206" t="b">
        <f t="shared" si="3"/>
        <v>1</v>
      </c>
      <c r="M33" s="206" t="b">
        <f t="shared" si="2"/>
        <v>1</v>
      </c>
    </row>
    <row r="34" spans="2:13" x14ac:dyDescent="0.35">
      <c r="B34" s="876"/>
      <c r="C34" s="876" t="s">
        <v>84</v>
      </c>
      <c r="D34" s="876"/>
      <c r="E34" s="876">
        <v>2200</v>
      </c>
      <c r="F34" s="876">
        <v>2900</v>
      </c>
      <c r="G34" s="876">
        <v>3000</v>
      </c>
      <c r="I34" s="316">
        <f t="shared" si="0"/>
        <v>2436.9747899159665</v>
      </c>
      <c r="J34" s="316">
        <f t="shared" si="1"/>
        <v>2521.0084033613448</v>
      </c>
      <c r="L34" s="206" t="b">
        <f t="shared" si="3"/>
        <v>1</v>
      </c>
      <c r="M34" s="206" t="b">
        <f t="shared" si="2"/>
        <v>1</v>
      </c>
    </row>
    <row r="35" spans="2:13" x14ac:dyDescent="0.35">
      <c r="B35" s="876"/>
      <c r="C35" s="876" t="s">
        <v>85</v>
      </c>
      <c r="D35" s="876">
        <v>10500</v>
      </c>
      <c r="E35" s="876">
        <v>16100</v>
      </c>
      <c r="F35" s="876">
        <v>21200</v>
      </c>
      <c r="G35" s="876">
        <v>22100</v>
      </c>
      <c r="I35" s="316">
        <f t="shared" si="0"/>
        <v>17815.126050420167</v>
      </c>
      <c r="J35" s="316">
        <f t="shared" si="1"/>
        <v>18571.428571428572</v>
      </c>
      <c r="L35" s="206" t="b">
        <f t="shared" si="3"/>
        <v>1</v>
      </c>
      <c r="M35" s="206" t="b">
        <f t="shared" si="2"/>
        <v>1</v>
      </c>
    </row>
    <row r="36" spans="2:13" x14ac:dyDescent="0.35">
      <c r="B36" s="876"/>
      <c r="C36" s="876" t="s">
        <v>86</v>
      </c>
      <c r="D36" s="876">
        <v>1000</v>
      </c>
      <c r="E36" s="876">
        <v>1400</v>
      </c>
      <c r="F36" s="876">
        <v>1700</v>
      </c>
      <c r="G36" s="876">
        <v>1800</v>
      </c>
      <c r="I36" s="316">
        <f t="shared" si="0"/>
        <v>1428.5714285714287</v>
      </c>
      <c r="J36" s="316">
        <f t="shared" si="1"/>
        <v>1512.6050420168067</v>
      </c>
      <c r="L36" s="206" t="b">
        <f t="shared" si="3"/>
        <v>1</v>
      </c>
      <c r="M36" s="206" t="b">
        <f t="shared" si="2"/>
        <v>1</v>
      </c>
    </row>
    <row r="37" spans="2:13" x14ac:dyDescent="0.35">
      <c r="B37" s="876"/>
      <c r="C37" s="876" t="s">
        <v>87</v>
      </c>
      <c r="D37" s="876">
        <v>16200</v>
      </c>
      <c r="E37" s="876">
        <v>24800</v>
      </c>
      <c r="F37" s="876">
        <v>32500</v>
      </c>
      <c r="G37" s="876">
        <v>34000</v>
      </c>
      <c r="I37" s="316">
        <f t="shared" si="0"/>
        <v>27310.9243697479</v>
      </c>
      <c r="J37" s="316">
        <f t="shared" si="1"/>
        <v>28571.428571428572</v>
      </c>
      <c r="L37" s="206" t="b">
        <f t="shared" si="3"/>
        <v>1</v>
      </c>
      <c r="M37" s="206" t="b">
        <f t="shared" si="2"/>
        <v>1</v>
      </c>
    </row>
    <row r="38" spans="2:13" x14ac:dyDescent="0.35">
      <c r="B38" s="876"/>
      <c r="C38" s="876" t="s">
        <v>76</v>
      </c>
      <c r="D38" s="876">
        <v>2700</v>
      </c>
      <c r="E38" s="876">
        <v>4100</v>
      </c>
      <c r="F38" s="876">
        <v>5200</v>
      </c>
      <c r="G38" s="876">
        <v>5400</v>
      </c>
      <c r="I38" s="316">
        <f t="shared" si="0"/>
        <v>4369.7478991596645</v>
      </c>
      <c r="J38" s="316">
        <f t="shared" si="1"/>
        <v>4537.8151260504201</v>
      </c>
      <c r="L38" s="206" t="b">
        <f t="shared" si="3"/>
        <v>1</v>
      </c>
      <c r="M38" s="206" t="b">
        <f t="shared" si="2"/>
        <v>1</v>
      </c>
    </row>
    <row r="39" spans="2:13" x14ac:dyDescent="0.35">
      <c r="B39" s="876"/>
      <c r="C39" s="876" t="s">
        <v>77</v>
      </c>
      <c r="D39" s="876">
        <v>3800</v>
      </c>
      <c r="E39" s="876">
        <v>5700</v>
      </c>
      <c r="F39" s="876">
        <v>7100</v>
      </c>
      <c r="G39" s="876">
        <v>7400</v>
      </c>
      <c r="I39" s="316">
        <f t="shared" si="0"/>
        <v>5966.3865546218494</v>
      </c>
      <c r="J39" s="316">
        <f t="shared" si="1"/>
        <v>6218.4873949579833</v>
      </c>
      <c r="L39" s="206" t="b">
        <f t="shared" si="3"/>
        <v>1</v>
      </c>
      <c r="M39" s="206" t="b">
        <f t="shared" si="2"/>
        <v>1</v>
      </c>
    </row>
  </sheetData>
  <mergeCells count="1">
    <mergeCell ref="D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39"/>
  <sheetViews>
    <sheetView workbookViewId="0"/>
  </sheetViews>
  <sheetFormatPr baseColWidth="10" defaultColWidth="11.453125" defaultRowHeight="14.5" x14ac:dyDescent="0.35"/>
  <cols>
    <col min="1" max="1" width="11.453125" style="206"/>
    <col min="2" max="2" width="28.81640625" style="206" bestFit="1" customWidth="1"/>
    <col min="3" max="3" width="43.26953125" style="206" bestFit="1" customWidth="1"/>
    <col min="4" max="16384" width="11.453125" style="206"/>
  </cols>
  <sheetData>
    <row r="1" spans="2:16" ht="15" thickBot="1" x14ac:dyDescent="0.4">
      <c r="G1" s="206" t="s">
        <v>488</v>
      </c>
      <c r="I1" s="206">
        <v>1.05</v>
      </c>
      <c r="J1" s="206">
        <v>1.1000000000000001</v>
      </c>
    </row>
    <row r="2" spans="2:16" ht="15.5" x14ac:dyDescent="0.35">
      <c r="B2" s="1306" t="s">
        <v>3</v>
      </c>
      <c r="C2" s="1306" t="s">
        <v>26</v>
      </c>
      <c r="D2" s="1296" t="s">
        <v>342</v>
      </c>
      <c r="E2" s="1297"/>
      <c r="F2" s="1297"/>
      <c r="G2" s="1298"/>
      <c r="H2" s="729">
        <v>1.19</v>
      </c>
      <c r="I2" s="729">
        <v>1.1000000000000001</v>
      </c>
      <c r="J2" s="729">
        <v>1.1499999999999999</v>
      </c>
    </row>
    <row r="3" spans="2:16" ht="26.5" thickBot="1" x14ac:dyDescent="0.4">
      <c r="B3" s="1307"/>
      <c r="C3" s="1307"/>
      <c r="D3" s="571" t="s">
        <v>57</v>
      </c>
      <c r="E3" s="572" t="s">
        <v>31</v>
      </c>
      <c r="F3" s="572" t="s">
        <v>32</v>
      </c>
      <c r="G3" s="573" t="s">
        <v>33</v>
      </c>
      <c r="I3" s="572" t="s">
        <v>32</v>
      </c>
      <c r="J3" s="573" t="s">
        <v>33</v>
      </c>
    </row>
    <row r="4" spans="2:16" x14ac:dyDescent="0.35">
      <c r="B4" s="1299" t="s">
        <v>58</v>
      </c>
      <c r="C4" s="574" t="s">
        <v>59</v>
      </c>
      <c r="D4" s="52">
        <v>38800</v>
      </c>
      <c r="E4" s="53">
        <v>59600</v>
      </c>
      <c r="F4" s="53">
        <v>71000</v>
      </c>
      <c r="G4" s="54">
        <v>90900</v>
      </c>
      <c r="I4" s="53">
        <f>+CEILING((E4*$H$2*$I$2),100)</f>
        <v>78100</v>
      </c>
      <c r="J4" s="53">
        <f>+CEILING((E4*$H$2*$J$2),100)</f>
        <v>81600</v>
      </c>
      <c r="L4" s="724">
        <f>+(I4-F4)/F4</f>
        <v>0.1</v>
      </c>
      <c r="M4" s="724">
        <f>+(J4-G4)/G4</f>
        <v>-0.10231023102310231</v>
      </c>
      <c r="O4" s="450"/>
      <c r="P4" s="723"/>
    </row>
    <row r="5" spans="2:16" x14ac:dyDescent="0.35">
      <c r="B5" s="1300"/>
      <c r="C5" s="575" t="s">
        <v>60</v>
      </c>
      <c r="D5" s="576">
        <v>27800</v>
      </c>
      <c r="E5" s="577">
        <v>42700</v>
      </c>
      <c r="F5" s="577">
        <v>51200</v>
      </c>
      <c r="G5" s="717">
        <v>60600</v>
      </c>
      <c r="I5" s="577">
        <f t="shared" ref="I5:I39" si="0">+CEILING((E5*$H$2*$I$2),100)</f>
        <v>55900</v>
      </c>
      <c r="J5" s="577">
        <f t="shared" ref="J5:J39" si="1">+CEILING((E5*$H$2*$J$2),100)</f>
        <v>58500</v>
      </c>
      <c r="L5" s="725">
        <f t="shared" ref="L5:L39" si="2">+(I5-F5)/F5</f>
        <v>9.1796875E-2</v>
      </c>
      <c r="M5" s="725">
        <f t="shared" ref="M5:M39" si="3">+(J5-G5)/G5</f>
        <v>-3.4653465346534656E-2</v>
      </c>
      <c r="O5" s="450"/>
      <c r="P5" s="723"/>
    </row>
    <row r="6" spans="2:16" x14ac:dyDescent="0.35">
      <c r="B6" s="1300"/>
      <c r="C6" s="575" t="s">
        <v>61</v>
      </c>
      <c r="D6" s="576">
        <v>30300</v>
      </c>
      <c r="E6" s="577">
        <v>46600</v>
      </c>
      <c r="F6" s="577">
        <v>55500</v>
      </c>
      <c r="G6" s="717">
        <v>71300</v>
      </c>
      <c r="I6" s="577">
        <f t="shared" si="0"/>
        <v>61000</v>
      </c>
      <c r="J6" s="577">
        <f t="shared" si="1"/>
        <v>63800</v>
      </c>
      <c r="L6" s="725">
        <f t="shared" si="2"/>
        <v>9.90990990990991E-2</v>
      </c>
      <c r="M6" s="725">
        <f t="shared" si="3"/>
        <v>-0.10518934081346423</v>
      </c>
      <c r="O6" s="450"/>
      <c r="P6" s="723"/>
    </row>
    <row r="7" spans="2:16" x14ac:dyDescent="0.35">
      <c r="B7" s="1300"/>
      <c r="C7" s="575" t="s">
        <v>62</v>
      </c>
      <c r="D7" s="576">
        <v>30300</v>
      </c>
      <c r="E7" s="577">
        <v>46600</v>
      </c>
      <c r="F7" s="577">
        <v>55500</v>
      </c>
      <c r="G7" s="717">
        <v>72000</v>
      </c>
      <c r="I7" s="577">
        <f t="shared" si="0"/>
        <v>61000</v>
      </c>
      <c r="J7" s="577">
        <f t="shared" si="1"/>
        <v>63800</v>
      </c>
      <c r="L7" s="725">
        <f t="shared" si="2"/>
        <v>9.90990990990991E-2</v>
      </c>
      <c r="M7" s="725">
        <f t="shared" si="3"/>
        <v>-0.11388888888888889</v>
      </c>
      <c r="O7" s="450"/>
      <c r="P7" s="723"/>
    </row>
    <row r="8" spans="2:16" x14ac:dyDescent="0.35">
      <c r="B8" s="1300"/>
      <c r="C8" s="578" t="s">
        <v>63</v>
      </c>
      <c r="D8" s="576"/>
      <c r="E8" s="577"/>
      <c r="F8" s="577"/>
      <c r="G8" s="717"/>
      <c r="I8" s="577">
        <f t="shared" si="0"/>
        <v>0</v>
      </c>
      <c r="J8" s="577">
        <f t="shared" si="1"/>
        <v>0</v>
      </c>
      <c r="L8" s="725"/>
      <c r="M8" s="725"/>
      <c r="O8" s="450"/>
      <c r="P8" s="723"/>
    </row>
    <row r="9" spans="2:16" x14ac:dyDescent="0.35">
      <c r="B9" s="1300"/>
      <c r="C9" s="579" t="s">
        <v>59</v>
      </c>
      <c r="D9" s="576"/>
      <c r="E9" s="577">
        <v>17900</v>
      </c>
      <c r="F9" s="577">
        <v>21300</v>
      </c>
      <c r="G9" s="717">
        <v>27300</v>
      </c>
      <c r="I9" s="577">
        <f t="shared" si="0"/>
        <v>23500</v>
      </c>
      <c r="J9" s="577">
        <f t="shared" si="1"/>
        <v>24500</v>
      </c>
      <c r="L9" s="725">
        <f t="shared" si="2"/>
        <v>0.10328638497652583</v>
      </c>
      <c r="M9" s="725">
        <f t="shared" si="3"/>
        <v>-0.10256410256410256</v>
      </c>
      <c r="O9" s="450"/>
      <c r="P9" s="723"/>
    </row>
    <row r="10" spans="2:16" x14ac:dyDescent="0.35">
      <c r="B10" s="1300"/>
      <c r="C10" s="579" t="s">
        <v>60</v>
      </c>
      <c r="D10" s="576"/>
      <c r="E10" s="577">
        <v>12900</v>
      </c>
      <c r="F10" s="577">
        <v>15400</v>
      </c>
      <c r="G10" s="717">
        <v>18200</v>
      </c>
      <c r="I10" s="577">
        <f t="shared" si="0"/>
        <v>16900</v>
      </c>
      <c r="J10" s="577">
        <f t="shared" si="1"/>
        <v>17700</v>
      </c>
      <c r="L10" s="725">
        <f t="shared" si="2"/>
        <v>9.7402597402597407E-2</v>
      </c>
      <c r="M10" s="725">
        <f t="shared" si="3"/>
        <v>-2.7472527472527472E-2</v>
      </c>
      <c r="O10" s="450"/>
      <c r="P10" s="723"/>
    </row>
    <row r="11" spans="2:16" x14ac:dyDescent="0.35">
      <c r="B11" s="1300"/>
      <c r="C11" s="579" t="s">
        <v>61</v>
      </c>
      <c r="D11" s="576"/>
      <c r="E11" s="577">
        <v>14000</v>
      </c>
      <c r="F11" s="577">
        <v>16700</v>
      </c>
      <c r="G11" s="717">
        <v>21400</v>
      </c>
      <c r="I11" s="577">
        <f t="shared" si="0"/>
        <v>18400</v>
      </c>
      <c r="J11" s="577">
        <f t="shared" si="1"/>
        <v>19200</v>
      </c>
      <c r="L11" s="725">
        <f t="shared" si="2"/>
        <v>0.10179640718562874</v>
      </c>
      <c r="M11" s="725">
        <f t="shared" si="3"/>
        <v>-0.10280373831775701</v>
      </c>
      <c r="O11" s="450"/>
      <c r="P11" s="723"/>
    </row>
    <row r="12" spans="2:16" ht="15" thickBot="1" x14ac:dyDescent="0.4">
      <c r="B12" s="1301"/>
      <c r="C12" s="718" t="s">
        <v>62</v>
      </c>
      <c r="D12" s="58"/>
      <c r="E12" s="56">
        <v>14000</v>
      </c>
      <c r="F12" s="56">
        <v>16700</v>
      </c>
      <c r="G12" s="57">
        <v>21600</v>
      </c>
      <c r="I12" s="56">
        <f t="shared" si="0"/>
        <v>18400</v>
      </c>
      <c r="J12" s="56">
        <f t="shared" si="1"/>
        <v>19200</v>
      </c>
      <c r="L12" s="726">
        <f t="shared" si="2"/>
        <v>0.10179640718562874</v>
      </c>
      <c r="M12" s="726">
        <f t="shared" si="3"/>
        <v>-0.1111111111111111</v>
      </c>
      <c r="O12" s="450"/>
      <c r="P12" s="723"/>
    </row>
    <row r="13" spans="2:16" x14ac:dyDescent="0.35">
      <c r="B13" s="1302" t="s">
        <v>64</v>
      </c>
      <c r="C13" s="715" t="s">
        <v>65</v>
      </c>
      <c r="D13" s="722">
        <v>37200</v>
      </c>
      <c r="E13" s="716">
        <v>57100</v>
      </c>
      <c r="F13" s="716">
        <v>66000</v>
      </c>
      <c r="G13" s="720">
        <v>89400</v>
      </c>
      <c r="I13" s="716">
        <f t="shared" si="0"/>
        <v>74800</v>
      </c>
      <c r="J13" s="716">
        <f t="shared" si="1"/>
        <v>78200</v>
      </c>
      <c r="L13" s="727">
        <f t="shared" si="2"/>
        <v>0.13333333333333333</v>
      </c>
      <c r="M13" s="727">
        <f t="shared" si="3"/>
        <v>-0.12527964205816555</v>
      </c>
      <c r="O13" s="450"/>
      <c r="P13" s="723"/>
    </row>
    <row r="14" spans="2:16" x14ac:dyDescent="0.35">
      <c r="B14" s="1300"/>
      <c r="C14" s="575" t="s">
        <v>66</v>
      </c>
      <c r="D14" s="576">
        <v>19500</v>
      </c>
      <c r="E14" s="577">
        <v>29900</v>
      </c>
      <c r="F14" s="577">
        <v>34300</v>
      </c>
      <c r="G14" s="717">
        <v>44800</v>
      </c>
      <c r="I14" s="577">
        <f t="shared" si="0"/>
        <v>39200</v>
      </c>
      <c r="J14" s="577">
        <f t="shared" si="1"/>
        <v>41000</v>
      </c>
      <c r="L14" s="725">
        <f t="shared" si="2"/>
        <v>0.14285714285714285</v>
      </c>
      <c r="M14" s="725">
        <f t="shared" si="3"/>
        <v>-8.4821428571428575E-2</v>
      </c>
      <c r="O14" s="450"/>
      <c r="P14" s="723"/>
    </row>
    <row r="15" spans="2:16" x14ac:dyDescent="0.35">
      <c r="B15" s="1300"/>
      <c r="C15" s="575" t="s">
        <v>67</v>
      </c>
      <c r="D15" s="576">
        <v>25700</v>
      </c>
      <c r="E15" s="577">
        <v>39400</v>
      </c>
      <c r="F15" s="577">
        <v>45200</v>
      </c>
      <c r="G15" s="717">
        <v>67000</v>
      </c>
      <c r="I15" s="577">
        <f t="shared" si="0"/>
        <v>51600</v>
      </c>
      <c r="J15" s="577">
        <f t="shared" si="1"/>
        <v>54000</v>
      </c>
      <c r="L15" s="725">
        <f t="shared" si="2"/>
        <v>0.1415929203539823</v>
      </c>
      <c r="M15" s="725">
        <f t="shared" si="3"/>
        <v>-0.19402985074626866</v>
      </c>
      <c r="O15" s="450"/>
      <c r="P15" s="723"/>
    </row>
    <row r="16" spans="2:16" x14ac:dyDescent="0.35">
      <c r="B16" s="1300"/>
      <c r="C16" s="575" t="s">
        <v>68</v>
      </c>
      <c r="D16" s="576"/>
      <c r="E16" s="577">
        <v>14300</v>
      </c>
      <c r="F16" s="577">
        <v>14700</v>
      </c>
      <c r="G16" s="717">
        <v>21900</v>
      </c>
      <c r="I16" s="577">
        <f t="shared" si="0"/>
        <v>18800</v>
      </c>
      <c r="J16" s="577">
        <f t="shared" si="1"/>
        <v>19600</v>
      </c>
      <c r="L16" s="725">
        <f t="shared" si="2"/>
        <v>0.27891156462585032</v>
      </c>
      <c r="M16" s="725">
        <f t="shared" si="3"/>
        <v>-0.1050228310502283</v>
      </c>
      <c r="O16" s="450"/>
      <c r="P16" s="723"/>
    </row>
    <row r="17" spans="2:16" x14ac:dyDescent="0.35">
      <c r="B17" s="1300"/>
      <c r="C17" s="575" t="s">
        <v>69</v>
      </c>
      <c r="D17" s="576"/>
      <c r="E17" s="577">
        <v>5100</v>
      </c>
      <c r="F17" s="577">
        <v>7900</v>
      </c>
      <c r="G17" s="717">
        <v>10900</v>
      </c>
      <c r="I17" s="577">
        <f t="shared" si="0"/>
        <v>6700</v>
      </c>
      <c r="J17" s="577">
        <f t="shared" si="1"/>
        <v>7000</v>
      </c>
      <c r="L17" s="725">
        <f t="shared" si="2"/>
        <v>-0.15189873417721519</v>
      </c>
      <c r="M17" s="725">
        <f t="shared" si="3"/>
        <v>-0.3577981651376147</v>
      </c>
      <c r="O17" s="450"/>
      <c r="P17" s="723"/>
    </row>
    <row r="18" spans="2:16" ht="15" thickBot="1" x14ac:dyDescent="0.4">
      <c r="B18" s="1303"/>
      <c r="C18" s="719" t="s">
        <v>70</v>
      </c>
      <c r="D18" s="580"/>
      <c r="E18" s="55">
        <v>3700</v>
      </c>
      <c r="F18" s="55">
        <v>6400</v>
      </c>
      <c r="G18" s="721">
        <v>9300</v>
      </c>
      <c r="I18" s="55">
        <f t="shared" si="0"/>
        <v>4900</v>
      </c>
      <c r="J18" s="55">
        <f t="shared" si="1"/>
        <v>5100</v>
      </c>
      <c r="L18" s="728">
        <f t="shared" si="2"/>
        <v>-0.234375</v>
      </c>
      <c r="M18" s="728">
        <f t="shared" si="3"/>
        <v>-0.45161290322580644</v>
      </c>
      <c r="O18" s="450"/>
      <c r="P18" s="723"/>
    </row>
    <row r="19" spans="2:16" x14ac:dyDescent="0.35">
      <c r="B19" s="1299" t="s">
        <v>71</v>
      </c>
      <c r="C19" s="574" t="s">
        <v>72</v>
      </c>
      <c r="D19" s="52">
        <v>53100</v>
      </c>
      <c r="E19" s="53">
        <v>76500</v>
      </c>
      <c r="F19" s="53">
        <v>81600</v>
      </c>
      <c r="G19" s="54">
        <v>110000</v>
      </c>
      <c r="I19" s="53">
        <f>+CEILING((E19*$H$2*$I$1),100)</f>
        <v>95600</v>
      </c>
      <c r="J19" s="53">
        <f>+CEILING((E19*$H$2*$J$1),100)</f>
        <v>100200</v>
      </c>
      <c r="L19" s="724">
        <f>+(I19-F19)/F19</f>
        <v>0.17156862745098039</v>
      </c>
      <c r="M19" s="724">
        <f>+(J19-G19)/G19</f>
        <v>-8.9090909090909096E-2</v>
      </c>
      <c r="O19" s="450"/>
      <c r="P19" s="723"/>
    </row>
    <row r="20" spans="2:16" x14ac:dyDescent="0.35">
      <c r="B20" s="1300"/>
      <c r="C20" s="578" t="s">
        <v>63</v>
      </c>
      <c r="D20" s="576"/>
      <c r="E20" s="577"/>
      <c r="F20" s="577"/>
      <c r="G20" s="717"/>
      <c r="I20" s="577">
        <f t="shared" si="0"/>
        <v>0</v>
      </c>
      <c r="J20" s="577">
        <f t="shared" si="1"/>
        <v>0</v>
      </c>
      <c r="L20" s="725"/>
      <c r="M20" s="725"/>
      <c r="O20" s="450"/>
      <c r="P20" s="723"/>
    </row>
    <row r="21" spans="2:16" ht="15" thickBot="1" x14ac:dyDescent="0.4">
      <c r="B21" s="1301"/>
      <c r="C21" s="718" t="s">
        <v>72</v>
      </c>
      <c r="D21" s="58"/>
      <c r="E21" s="56">
        <v>24500</v>
      </c>
      <c r="F21" s="56">
        <v>23000</v>
      </c>
      <c r="G21" s="57">
        <v>33000</v>
      </c>
      <c r="I21" s="56">
        <f t="shared" si="0"/>
        <v>32100</v>
      </c>
      <c r="J21" s="56">
        <f t="shared" si="1"/>
        <v>33600</v>
      </c>
      <c r="L21" s="726">
        <f t="shared" si="2"/>
        <v>0.39565217391304347</v>
      </c>
      <c r="M21" s="726">
        <f t="shared" si="3"/>
        <v>1.8181818181818181E-2</v>
      </c>
      <c r="O21" s="450"/>
      <c r="P21" s="723"/>
    </row>
    <row r="22" spans="2:16" x14ac:dyDescent="0.35">
      <c r="B22" s="1304" t="s">
        <v>73</v>
      </c>
      <c r="C22" s="715" t="s">
        <v>74</v>
      </c>
      <c r="D22" s="722"/>
      <c r="E22" s="716">
        <v>4900</v>
      </c>
      <c r="F22" s="716">
        <v>6400</v>
      </c>
      <c r="G22" s="720">
        <v>7400</v>
      </c>
      <c r="I22" s="716">
        <f t="shared" si="0"/>
        <v>6500</v>
      </c>
      <c r="J22" s="716">
        <f t="shared" si="1"/>
        <v>6800</v>
      </c>
      <c r="L22" s="727">
        <f t="shared" si="2"/>
        <v>1.5625E-2</v>
      </c>
      <c r="M22" s="727">
        <f t="shared" si="3"/>
        <v>-8.1081081081081086E-2</v>
      </c>
      <c r="O22" s="450"/>
      <c r="P22" s="723"/>
    </row>
    <row r="23" spans="2:16" ht="15" thickBot="1" x14ac:dyDescent="0.4">
      <c r="B23" s="1305"/>
      <c r="C23" s="581" t="s">
        <v>70</v>
      </c>
      <c r="D23" s="576"/>
      <c r="E23" s="577">
        <v>2900</v>
      </c>
      <c r="F23" s="577">
        <v>3500</v>
      </c>
      <c r="G23" s="717">
        <v>4300</v>
      </c>
      <c r="I23" s="577">
        <f t="shared" si="0"/>
        <v>3800</v>
      </c>
      <c r="J23" s="577">
        <f t="shared" si="1"/>
        <v>4000</v>
      </c>
      <c r="L23" s="725">
        <f t="shared" si="2"/>
        <v>8.5714285714285715E-2</v>
      </c>
      <c r="M23" s="725">
        <f t="shared" si="3"/>
        <v>-6.9767441860465115E-2</v>
      </c>
      <c r="O23" s="450"/>
      <c r="P23" s="723"/>
    </row>
    <row r="24" spans="2:16" x14ac:dyDescent="0.35">
      <c r="B24" s="1308" t="s">
        <v>75</v>
      </c>
      <c r="C24" s="574" t="s">
        <v>76</v>
      </c>
      <c r="D24" s="576">
        <v>2700</v>
      </c>
      <c r="E24" s="577">
        <v>4100</v>
      </c>
      <c r="F24" s="577">
        <v>5300</v>
      </c>
      <c r="G24" s="717">
        <v>7400</v>
      </c>
      <c r="I24" s="577">
        <f t="shared" si="0"/>
        <v>5400</v>
      </c>
      <c r="J24" s="577">
        <f t="shared" si="1"/>
        <v>5700</v>
      </c>
      <c r="L24" s="725">
        <f t="shared" si="2"/>
        <v>1.8867924528301886E-2</v>
      </c>
      <c r="M24" s="725">
        <f t="shared" si="3"/>
        <v>-0.22972972972972974</v>
      </c>
      <c r="O24" s="450"/>
      <c r="P24" s="723"/>
    </row>
    <row r="25" spans="2:16" ht="15" thickBot="1" x14ac:dyDescent="0.4">
      <c r="B25" s="1304"/>
      <c r="C25" s="719" t="s">
        <v>77</v>
      </c>
      <c r="D25" s="580">
        <v>3700</v>
      </c>
      <c r="E25" s="55">
        <v>5600</v>
      </c>
      <c r="F25" s="55">
        <v>6500</v>
      </c>
      <c r="G25" s="721">
        <v>9000</v>
      </c>
      <c r="I25" s="55">
        <f t="shared" si="0"/>
        <v>7400</v>
      </c>
      <c r="J25" s="55">
        <f t="shared" si="1"/>
        <v>7700</v>
      </c>
      <c r="L25" s="728">
        <f t="shared" si="2"/>
        <v>0.13846153846153847</v>
      </c>
      <c r="M25" s="728">
        <f t="shared" si="3"/>
        <v>-0.14444444444444443</v>
      </c>
      <c r="O25" s="450"/>
      <c r="P25" s="723"/>
    </row>
    <row r="26" spans="2:16" x14ac:dyDescent="0.35">
      <c r="B26" s="1299" t="s">
        <v>78</v>
      </c>
      <c r="C26" s="574" t="s">
        <v>72</v>
      </c>
      <c r="D26" s="52">
        <v>33000</v>
      </c>
      <c r="E26" s="53">
        <v>50700</v>
      </c>
      <c r="F26" s="53">
        <v>62100</v>
      </c>
      <c r="G26" s="54">
        <v>78800</v>
      </c>
      <c r="I26" s="53">
        <f t="shared" si="0"/>
        <v>66400</v>
      </c>
      <c r="J26" s="53">
        <f t="shared" si="1"/>
        <v>69400</v>
      </c>
      <c r="L26" s="724">
        <f t="shared" si="2"/>
        <v>6.9243156199677941E-2</v>
      </c>
      <c r="M26" s="724">
        <f t="shared" si="3"/>
        <v>-0.11928934010152284</v>
      </c>
      <c r="O26" s="450"/>
      <c r="P26" s="723"/>
    </row>
    <row r="27" spans="2:16" x14ac:dyDescent="0.35">
      <c r="B27" s="1300"/>
      <c r="C27" s="578" t="s">
        <v>63</v>
      </c>
      <c r="D27" s="576"/>
      <c r="E27" s="577"/>
      <c r="F27" s="577"/>
      <c r="G27" s="717"/>
      <c r="I27" s="577">
        <f t="shared" si="0"/>
        <v>0</v>
      </c>
      <c r="J27" s="577">
        <f t="shared" si="1"/>
        <v>0</v>
      </c>
      <c r="L27" s="725"/>
      <c r="M27" s="725"/>
      <c r="O27" s="450"/>
      <c r="P27" s="723"/>
    </row>
    <row r="28" spans="2:16" ht="15" thickBot="1" x14ac:dyDescent="0.4">
      <c r="B28" s="1301"/>
      <c r="C28" s="718" t="s">
        <v>72</v>
      </c>
      <c r="D28" s="58"/>
      <c r="E28" s="56">
        <v>15300</v>
      </c>
      <c r="F28" s="56">
        <v>18700</v>
      </c>
      <c r="G28" s="57">
        <v>23700</v>
      </c>
      <c r="I28" s="56">
        <f t="shared" si="0"/>
        <v>20100</v>
      </c>
      <c r="J28" s="56">
        <f t="shared" si="1"/>
        <v>21000</v>
      </c>
      <c r="L28" s="726">
        <f t="shared" si="2"/>
        <v>7.4866310160427801E-2</v>
      </c>
      <c r="M28" s="726">
        <f t="shared" si="3"/>
        <v>-0.11392405063291139</v>
      </c>
      <c r="O28" s="450"/>
      <c r="P28" s="723"/>
    </row>
    <row r="29" spans="2:16" x14ac:dyDescent="0.35">
      <c r="B29" s="1302" t="s">
        <v>79</v>
      </c>
      <c r="C29" s="715" t="s">
        <v>74</v>
      </c>
      <c r="D29" s="722"/>
      <c r="E29" s="716">
        <v>6000</v>
      </c>
      <c r="F29" s="716">
        <v>7700</v>
      </c>
      <c r="G29" s="720">
        <v>8800</v>
      </c>
      <c r="I29" s="716">
        <f t="shared" si="0"/>
        <v>7900</v>
      </c>
      <c r="J29" s="716">
        <f t="shared" si="1"/>
        <v>8300</v>
      </c>
      <c r="L29" s="727">
        <f t="shared" si="2"/>
        <v>2.5974025974025976E-2</v>
      </c>
      <c r="M29" s="727">
        <f t="shared" si="3"/>
        <v>-5.6818181818181816E-2</v>
      </c>
      <c r="O29" s="450"/>
      <c r="P29" s="723"/>
    </row>
    <row r="30" spans="2:16" ht="15" thickBot="1" x14ac:dyDescent="0.4">
      <c r="B30" s="1301"/>
      <c r="C30" s="581" t="s">
        <v>70</v>
      </c>
      <c r="D30" s="576"/>
      <c r="E30" s="577">
        <v>3500</v>
      </c>
      <c r="F30" s="577">
        <v>4300</v>
      </c>
      <c r="G30" s="717">
        <v>5100</v>
      </c>
      <c r="I30" s="577">
        <f t="shared" si="0"/>
        <v>4600</v>
      </c>
      <c r="J30" s="577">
        <f t="shared" si="1"/>
        <v>4800</v>
      </c>
      <c r="L30" s="725">
        <f t="shared" si="2"/>
        <v>6.9767441860465115E-2</v>
      </c>
      <c r="M30" s="725">
        <f t="shared" si="3"/>
        <v>-5.8823529411764705E-2</v>
      </c>
      <c r="O30" s="450"/>
      <c r="P30" s="723"/>
    </row>
    <row r="31" spans="2:16" x14ac:dyDescent="0.35">
      <c r="B31" s="1299" t="s">
        <v>80</v>
      </c>
      <c r="C31" s="574" t="s">
        <v>81</v>
      </c>
      <c r="D31" s="52">
        <v>36600</v>
      </c>
      <c r="E31" s="53">
        <v>56300</v>
      </c>
      <c r="F31" s="53">
        <v>61000</v>
      </c>
      <c r="G31" s="54">
        <v>89700</v>
      </c>
      <c r="I31" s="53">
        <f t="shared" si="0"/>
        <v>73700</v>
      </c>
      <c r="J31" s="53">
        <f t="shared" si="1"/>
        <v>77100</v>
      </c>
      <c r="L31" s="724">
        <f t="shared" si="2"/>
        <v>0.2081967213114754</v>
      </c>
      <c r="M31" s="724">
        <f t="shared" si="3"/>
        <v>-0.14046822742474915</v>
      </c>
      <c r="O31" s="450"/>
      <c r="P31" s="723"/>
    </row>
    <row r="32" spans="2:16" x14ac:dyDescent="0.35">
      <c r="B32" s="1300"/>
      <c r="C32" s="575" t="s">
        <v>82</v>
      </c>
      <c r="D32" s="576">
        <v>1300</v>
      </c>
      <c r="E32" s="577">
        <v>2000</v>
      </c>
      <c r="F32" s="577">
        <v>1800</v>
      </c>
      <c r="G32" s="717">
        <v>2400</v>
      </c>
      <c r="I32" s="577">
        <f t="shared" si="0"/>
        <v>2700</v>
      </c>
      <c r="J32" s="577">
        <f t="shared" si="1"/>
        <v>2800</v>
      </c>
      <c r="L32" s="725">
        <f t="shared" si="2"/>
        <v>0.5</v>
      </c>
      <c r="M32" s="725">
        <f t="shared" si="3"/>
        <v>0.16666666666666666</v>
      </c>
      <c r="O32" s="450"/>
      <c r="P32" s="723"/>
    </row>
    <row r="33" spans="2:16" x14ac:dyDescent="0.35">
      <c r="B33" s="1300"/>
      <c r="C33" s="575" t="s">
        <v>83</v>
      </c>
      <c r="D33" s="576"/>
      <c r="E33" s="577">
        <v>132100</v>
      </c>
      <c r="F33" s="577">
        <v>142600</v>
      </c>
      <c r="G33" s="717">
        <v>167400</v>
      </c>
      <c r="I33" s="577">
        <f t="shared" si="0"/>
        <v>173000</v>
      </c>
      <c r="J33" s="577">
        <f t="shared" si="1"/>
        <v>180800</v>
      </c>
      <c r="L33" s="725">
        <f t="shared" si="2"/>
        <v>0.21318373071528751</v>
      </c>
      <c r="M33" s="725">
        <f t="shared" si="3"/>
        <v>8.0047789725209081E-2</v>
      </c>
      <c r="O33" s="450"/>
      <c r="P33" s="723"/>
    </row>
    <row r="34" spans="2:16" x14ac:dyDescent="0.35">
      <c r="B34" s="1300"/>
      <c r="C34" s="575" t="s">
        <v>84</v>
      </c>
      <c r="D34" s="576"/>
      <c r="E34" s="577">
        <v>2000</v>
      </c>
      <c r="F34" s="577">
        <v>1700</v>
      </c>
      <c r="G34" s="717">
        <v>2400</v>
      </c>
      <c r="I34" s="577">
        <f t="shared" si="0"/>
        <v>2700</v>
      </c>
      <c r="J34" s="577">
        <f t="shared" si="1"/>
        <v>2800</v>
      </c>
      <c r="L34" s="725">
        <f t="shared" si="2"/>
        <v>0.58823529411764708</v>
      </c>
      <c r="M34" s="725">
        <f t="shared" si="3"/>
        <v>0.16666666666666666</v>
      </c>
      <c r="O34" s="450"/>
      <c r="P34" s="723"/>
    </row>
    <row r="35" spans="2:16" x14ac:dyDescent="0.35">
      <c r="B35" s="1300"/>
      <c r="C35" s="575" t="s">
        <v>85</v>
      </c>
      <c r="D35" s="576">
        <v>5100</v>
      </c>
      <c r="E35" s="577">
        <v>7700</v>
      </c>
      <c r="F35" s="577">
        <v>10900</v>
      </c>
      <c r="G35" s="717">
        <v>16900</v>
      </c>
      <c r="I35" s="577">
        <f t="shared" si="0"/>
        <v>10100</v>
      </c>
      <c r="J35" s="577">
        <f t="shared" si="1"/>
        <v>10600</v>
      </c>
      <c r="L35" s="725">
        <f t="shared" si="2"/>
        <v>-7.3394495412844041E-2</v>
      </c>
      <c r="M35" s="725">
        <f t="shared" si="3"/>
        <v>-0.37278106508875741</v>
      </c>
      <c r="O35" s="450"/>
      <c r="P35" s="723"/>
    </row>
    <row r="36" spans="2:16" x14ac:dyDescent="0.35">
      <c r="B36" s="1300"/>
      <c r="C36" s="575" t="s">
        <v>86</v>
      </c>
      <c r="D36" s="576">
        <v>800</v>
      </c>
      <c r="E36" s="577">
        <v>1200</v>
      </c>
      <c r="F36" s="577">
        <v>1200</v>
      </c>
      <c r="G36" s="717">
        <v>1900</v>
      </c>
      <c r="I36" s="577">
        <f t="shared" si="0"/>
        <v>1600</v>
      </c>
      <c r="J36" s="577">
        <f t="shared" si="1"/>
        <v>1700</v>
      </c>
      <c r="L36" s="725">
        <f t="shared" si="2"/>
        <v>0.33333333333333331</v>
      </c>
      <c r="M36" s="725">
        <f t="shared" si="3"/>
        <v>-0.10526315789473684</v>
      </c>
      <c r="O36" s="450"/>
      <c r="P36" s="723"/>
    </row>
    <row r="37" spans="2:16" x14ac:dyDescent="0.35">
      <c r="B37" s="1300"/>
      <c r="C37" s="575" t="s">
        <v>87</v>
      </c>
      <c r="D37" s="576">
        <v>10300</v>
      </c>
      <c r="E37" s="577">
        <v>15800</v>
      </c>
      <c r="F37" s="577">
        <v>18800</v>
      </c>
      <c r="G37" s="717">
        <v>29900</v>
      </c>
      <c r="I37" s="577">
        <f t="shared" si="0"/>
        <v>20700</v>
      </c>
      <c r="J37" s="577">
        <f t="shared" si="1"/>
        <v>21700</v>
      </c>
      <c r="L37" s="725">
        <f t="shared" si="2"/>
        <v>0.10106382978723404</v>
      </c>
      <c r="M37" s="725">
        <f t="shared" si="3"/>
        <v>-0.27424749163879597</v>
      </c>
      <c r="O37" s="450"/>
      <c r="P37" s="723"/>
    </row>
    <row r="38" spans="2:16" x14ac:dyDescent="0.35">
      <c r="B38" s="1300"/>
      <c r="C38" s="575" t="s">
        <v>76</v>
      </c>
      <c r="D38" s="576">
        <v>2500</v>
      </c>
      <c r="E38" s="577">
        <v>3700</v>
      </c>
      <c r="F38" s="577">
        <v>4100</v>
      </c>
      <c r="G38" s="717">
        <v>4700</v>
      </c>
      <c r="I38" s="577">
        <f t="shared" si="0"/>
        <v>4900</v>
      </c>
      <c r="J38" s="577">
        <f t="shared" si="1"/>
        <v>5100</v>
      </c>
      <c r="L38" s="725">
        <f t="shared" si="2"/>
        <v>0.1951219512195122</v>
      </c>
      <c r="M38" s="725">
        <f t="shared" si="3"/>
        <v>8.5106382978723402E-2</v>
      </c>
      <c r="O38" s="450"/>
      <c r="P38" s="723"/>
    </row>
    <row r="39" spans="2:16" ht="15" thickBot="1" x14ac:dyDescent="0.4">
      <c r="B39" s="1301"/>
      <c r="C39" s="581" t="s">
        <v>77</v>
      </c>
      <c r="D39" s="58">
        <v>3400</v>
      </c>
      <c r="E39" s="56">
        <v>5100</v>
      </c>
      <c r="F39" s="56">
        <v>5700</v>
      </c>
      <c r="G39" s="57">
        <v>6400</v>
      </c>
      <c r="I39" s="56">
        <f t="shared" si="0"/>
        <v>6700</v>
      </c>
      <c r="J39" s="56">
        <f t="shared" si="1"/>
        <v>7000</v>
      </c>
      <c r="L39" s="726">
        <f t="shared" si="2"/>
        <v>0.17543859649122806</v>
      </c>
      <c r="M39" s="726">
        <f t="shared" si="3"/>
        <v>9.375E-2</v>
      </c>
      <c r="O39" s="450"/>
      <c r="P39" s="723"/>
    </row>
  </sheetData>
  <mergeCells count="11">
    <mergeCell ref="B24:B25"/>
    <mergeCell ref="B26:B28"/>
    <mergeCell ref="B29:B30"/>
    <mergeCell ref="B31:B39"/>
    <mergeCell ref="B2:B3"/>
    <mergeCell ref="D2:G2"/>
    <mergeCell ref="B4:B12"/>
    <mergeCell ref="B13:B18"/>
    <mergeCell ref="B19:B21"/>
    <mergeCell ref="B22:B23"/>
    <mergeCell ref="C2: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I872"/>
  <sheetViews>
    <sheetView topLeftCell="A855" zoomScale="93" zoomScaleNormal="93" workbookViewId="0">
      <selection activeCell="E785" sqref="E785"/>
    </sheetView>
  </sheetViews>
  <sheetFormatPr baseColWidth="10" defaultRowHeight="14.5" x14ac:dyDescent="0.35"/>
  <cols>
    <col min="1" max="1" width="30.81640625" style="5" customWidth="1"/>
    <col min="2" max="2" width="21.1796875" style="5" customWidth="1"/>
    <col min="3" max="3" width="57.453125" style="5" bestFit="1" customWidth="1"/>
    <col min="4" max="4" width="20.1796875" style="5" customWidth="1"/>
    <col min="5" max="5" width="14.26953125" style="5" customWidth="1"/>
    <col min="6" max="6" width="14.453125" style="59" customWidth="1"/>
    <col min="7" max="7" width="18" style="2" bestFit="1" customWidth="1"/>
    <col min="8" max="8" width="41.81640625" style="2" bestFit="1" customWidth="1"/>
    <col min="9" max="9" width="95.26953125" style="420" bestFit="1" customWidth="1"/>
  </cols>
  <sheetData>
    <row r="1" spans="1:9" x14ac:dyDescent="0.35">
      <c r="C1" s="3"/>
      <c r="D1" s="3"/>
      <c r="F1" s="3"/>
      <c r="G1" s="3"/>
      <c r="H1" s="3"/>
    </row>
    <row r="2" spans="1:9" x14ac:dyDescent="0.35">
      <c r="C2" s="3"/>
      <c r="D2" s="3" t="s">
        <v>88</v>
      </c>
      <c r="F2" s="3"/>
      <c r="G2" s="3"/>
      <c r="H2" s="3"/>
    </row>
    <row r="3" spans="1:9" x14ac:dyDescent="0.35">
      <c r="C3" s="3"/>
      <c r="F3" s="3"/>
      <c r="G3" s="3"/>
      <c r="H3" s="3"/>
    </row>
    <row r="4" spans="1:9" ht="15.5" x14ac:dyDescent="0.35">
      <c r="C4" s="8" t="s">
        <v>1</v>
      </c>
      <c r="D4" s="1323" t="str">
        <f>+'[1]B) Reajuste Tarifas y Ocupación'!F5</f>
        <v>BIENTALC</v>
      </c>
      <c r="E4" s="1324"/>
      <c r="F4" s="3"/>
      <c r="G4" s="3"/>
      <c r="H4" s="3"/>
    </row>
    <row r="5" spans="1:9" x14ac:dyDescent="0.35">
      <c r="B5" s="3"/>
      <c r="C5" s="3"/>
      <c r="D5" s="3"/>
      <c r="E5" s="3"/>
      <c r="F5" s="3"/>
      <c r="G5" s="3"/>
      <c r="H5" s="3"/>
    </row>
    <row r="6" spans="1:9" x14ac:dyDescent="0.35">
      <c r="B6" s="3"/>
      <c r="C6" s="3"/>
      <c r="D6" s="3"/>
      <c r="E6" s="3"/>
      <c r="F6" s="3"/>
      <c r="G6" s="3"/>
      <c r="H6" s="3"/>
    </row>
    <row r="7" spans="1:9" x14ac:dyDescent="0.35">
      <c r="A7" s="1325" t="s">
        <v>89</v>
      </c>
      <c r="B7" s="1325"/>
      <c r="C7" s="1325"/>
      <c r="D7" s="3"/>
      <c r="G7" s="5"/>
    </row>
    <row r="9" spans="1:9" x14ac:dyDescent="0.35">
      <c r="A9" s="1310" t="s">
        <v>25</v>
      </c>
      <c r="B9" s="1312" t="s">
        <v>90</v>
      </c>
      <c r="C9" s="1314" t="s">
        <v>91</v>
      </c>
      <c r="D9" s="1316" t="s">
        <v>92</v>
      </c>
      <c r="E9" s="1318" t="s">
        <v>93</v>
      </c>
      <c r="F9" s="1319"/>
      <c r="G9" s="1320"/>
      <c r="H9" s="1321" t="s">
        <v>494</v>
      </c>
      <c r="I9" s="1309" t="s">
        <v>94</v>
      </c>
    </row>
    <row r="10" spans="1:9" ht="26" x14ac:dyDescent="0.35">
      <c r="A10" s="1311"/>
      <c r="B10" s="1313"/>
      <c r="C10" s="1315"/>
      <c r="D10" s="1317"/>
      <c r="E10" s="60" t="s">
        <v>95</v>
      </c>
      <c r="F10" s="61" t="s">
        <v>96</v>
      </c>
      <c r="G10" s="62" t="s">
        <v>97</v>
      </c>
      <c r="H10" s="1322"/>
      <c r="I10" s="1309"/>
    </row>
    <row r="11" spans="1:9" x14ac:dyDescent="0.35">
      <c r="A11" s="1326" t="str">
        <f>+'B) Reajuste Tarifas y Ocupación'!A12</f>
        <v>C. H. Carlos Condell</v>
      </c>
      <c r="B11" s="63"/>
      <c r="C11" s="64" t="s">
        <v>98</v>
      </c>
      <c r="D11" s="65">
        <f>SUM(D12,D17,D19)</f>
        <v>65177526.045000002</v>
      </c>
      <c r="E11" s="66"/>
      <c r="F11" s="66"/>
      <c r="G11" s="65">
        <f>SUM(G12,G17,G19)</f>
        <v>1870660.2000000002</v>
      </c>
      <c r="H11" s="67">
        <f>SUM(H12,H17,H19)</f>
        <v>67048186.245000005</v>
      </c>
      <c r="I11" s="490"/>
    </row>
    <row r="12" spans="1:9" x14ac:dyDescent="0.35">
      <c r="A12" s="1327"/>
      <c r="B12" s="68"/>
      <c r="C12" s="69" t="s">
        <v>99</v>
      </c>
      <c r="D12" s="70">
        <f>SUM(D13:D16)</f>
        <v>48905426.270000003</v>
      </c>
      <c r="E12" s="71"/>
      <c r="F12" s="71"/>
      <c r="G12" s="70">
        <f>SUM(G13:G16)</f>
        <v>0</v>
      </c>
      <c r="H12" s="72">
        <f>SUM(H13:H16)</f>
        <v>48905426.270000003</v>
      </c>
      <c r="I12" s="490"/>
    </row>
    <row r="13" spans="1:9" x14ac:dyDescent="0.35">
      <c r="A13" s="1327"/>
      <c r="B13" s="73">
        <v>53103040100000</v>
      </c>
      <c r="C13" s="74" t="s">
        <v>100</v>
      </c>
      <c r="D13" s="75">
        <f>+'F) Remuneraciones'!M11</f>
        <v>48905426.270000003</v>
      </c>
      <c r="E13" s="76"/>
      <c r="F13" s="76"/>
      <c r="G13" s="76"/>
      <c r="H13" s="77">
        <f>D13+G13</f>
        <v>48905426.270000003</v>
      </c>
      <c r="I13" s="490"/>
    </row>
    <row r="14" spans="1:9" x14ac:dyDescent="0.35">
      <c r="A14" s="1327"/>
      <c r="B14" s="73">
        <v>53103050000000</v>
      </c>
      <c r="C14" s="74" t="s">
        <v>101</v>
      </c>
      <c r="D14" s="78">
        <v>0</v>
      </c>
      <c r="E14" s="79"/>
      <c r="F14" s="80"/>
      <c r="G14" s="81">
        <f>E14*F14</f>
        <v>0</v>
      </c>
      <c r="H14" s="82">
        <f>D14+G14</f>
        <v>0</v>
      </c>
      <c r="I14" s="490"/>
    </row>
    <row r="15" spans="1:9" x14ac:dyDescent="0.35">
      <c r="A15" s="1327"/>
      <c r="B15" s="73">
        <v>53103060000000</v>
      </c>
      <c r="C15" s="74" t="s">
        <v>102</v>
      </c>
      <c r="D15" s="83">
        <v>0</v>
      </c>
      <c r="E15" s="84"/>
      <c r="F15" s="85"/>
      <c r="G15" s="86">
        <f>E15*F15</f>
        <v>0</v>
      </c>
      <c r="H15" s="87">
        <f>D15+G15</f>
        <v>0</v>
      </c>
      <c r="I15" s="490"/>
    </row>
    <row r="16" spans="1:9" x14ac:dyDescent="0.35">
      <c r="A16" s="1327"/>
      <c r="B16" s="73">
        <v>53103080010000</v>
      </c>
      <c r="C16" s="74" t="s">
        <v>103</v>
      </c>
      <c r="D16" s="83">
        <v>0</v>
      </c>
      <c r="E16" s="84"/>
      <c r="F16" s="85"/>
      <c r="G16" s="86">
        <f>E16*F16</f>
        <v>0</v>
      </c>
      <c r="H16" s="87">
        <f>D16+G16</f>
        <v>0</v>
      </c>
      <c r="I16" s="490"/>
    </row>
    <row r="17" spans="1:9" x14ac:dyDescent="0.35">
      <c r="A17" s="1327"/>
      <c r="B17" s="68"/>
      <c r="C17" s="69" t="s">
        <v>104</v>
      </c>
      <c r="D17" s="70">
        <f>SUM(D18)</f>
        <v>0</v>
      </c>
      <c r="E17" s="88"/>
      <c r="F17" s="88"/>
      <c r="G17" s="89">
        <f>SUM(G18:G18)</f>
        <v>0</v>
      </c>
      <c r="H17" s="90">
        <f>SUM(H18:H18)</f>
        <v>0</v>
      </c>
      <c r="I17" s="490"/>
    </row>
    <row r="18" spans="1:9" x14ac:dyDescent="0.35">
      <c r="A18" s="1327"/>
      <c r="B18" s="73">
        <v>55201010100001</v>
      </c>
      <c r="C18" s="74" t="s">
        <v>105</v>
      </c>
      <c r="D18" s="83"/>
      <c r="E18" s="84"/>
      <c r="F18" s="85"/>
      <c r="G18" s="86">
        <f>E18*F18</f>
        <v>0</v>
      </c>
      <c r="H18" s="87">
        <f>D18+G18</f>
        <v>0</v>
      </c>
      <c r="I18" s="490"/>
    </row>
    <row r="19" spans="1:9" x14ac:dyDescent="0.35">
      <c r="A19" s="1327"/>
      <c r="B19" s="68"/>
      <c r="C19" s="69" t="s">
        <v>106</v>
      </c>
      <c r="D19" s="70">
        <f>SUM(D20:D38)</f>
        <v>16272099.775</v>
      </c>
      <c r="E19" s="88"/>
      <c r="F19" s="88"/>
      <c r="G19" s="91">
        <f>SUM(G20:G38)</f>
        <v>1870660.2000000002</v>
      </c>
      <c r="H19" s="90">
        <f>SUM(H20:H38)</f>
        <v>18142759.975000001</v>
      </c>
      <c r="I19" s="490"/>
    </row>
    <row r="20" spans="1:9" x14ac:dyDescent="0.35">
      <c r="A20" s="1327"/>
      <c r="B20" s="73">
        <v>53201010100000</v>
      </c>
      <c r="C20" s="74" t="s">
        <v>107</v>
      </c>
      <c r="D20" s="83">
        <v>2241026</v>
      </c>
      <c r="E20" s="84"/>
      <c r="F20" s="85"/>
      <c r="G20" s="86">
        <f t="shared" ref="G20:G38" si="0">E20*F20</f>
        <v>0</v>
      </c>
      <c r="H20" s="87">
        <f t="shared" ref="H20:H38" si="1">D20+G20</f>
        <v>2241026</v>
      </c>
      <c r="I20" s="490"/>
    </row>
    <row r="21" spans="1:9" x14ac:dyDescent="0.35">
      <c r="A21" s="1327"/>
      <c r="B21" s="73">
        <v>53202010100000</v>
      </c>
      <c r="C21" s="74" t="s">
        <v>108</v>
      </c>
      <c r="D21" s="83"/>
      <c r="E21" s="84"/>
      <c r="F21" s="85"/>
      <c r="G21" s="86">
        <f t="shared" si="0"/>
        <v>0</v>
      </c>
      <c r="H21" s="87">
        <f t="shared" si="1"/>
        <v>0</v>
      </c>
      <c r="I21" s="490"/>
    </row>
    <row r="22" spans="1:9" x14ac:dyDescent="0.35">
      <c r="A22" s="1327"/>
      <c r="B22" s="73">
        <v>53203010100000</v>
      </c>
      <c r="C22" s="74" t="s">
        <v>109</v>
      </c>
      <c r="D22" s="92">
        <v>267956</v>
      </c>
      <c r="E22" s="93"/>
      <c r="F22" s="94"/>
      <c r="G22" s="86">
        <f t="shared" si="0"/>
        <v>0</v>
      </c>
      <c r="H22" s="87">
        <f t="shared" si="1"/>
        <v>267956</v>
      </c>
      <c r="I22" s="490"/>
    </row>
    <row r="23" spans="1:9" x14ac:dyDescent="0.35">
      <c r="A23" s="1327"/>
      <c r="B23" s="73">
        <v>53203030000000</v>
      </c>
      <c r="C23" s="74" t="s">
        <v>110</v>
      </c>
      <c r="D23" s="92">
        <v>262181</v>
      </c>
      <c r="E23" s="93"/>
      <c r="F23" s="94"/>
      <c r="G23" s="86">
        <f t="shared" si="0"/>
        <v>0</v>
      </c>
      <c r="H23" s="87">
        <f t="shared" si="1"/>
        <v>262181</v>
      </c>
      <c r="I23" s="490"/>
    </row>
    <row r="24" spans="1:9" x14ac:dyDescent="0.35">
      <c r="A24" s="1327"/>
      <c r="B24" s="73">
        <v>53204030000000</v>
      </c>
      <c r="C24" s="74" t="s">
        <v>111</v>
      </c>
      <c r="D24" s="92">
        <v>0</v>
      </c>
      <c r="E24" s="93"/>
      <c r="F24" s="94"/>
      <c r="G24" s="86">
        <f t="shared" si="0"/>
        <v>0</v>
      </c>
      <c r="H24" s="87">
        <f t="shared" si="1"/>
        <v>0</v>
      </c>
      <c r="I24" s="490"/>
    </row>
    <row r="25" spans="1:9" x14ac:dyDescent="0.35">
      <c r="A25" s="1327"/>
      <c r="B25" s="73">
        <v>53204100100001</v>
      </c>
      <c r="C25" s="74" t="s">
        <v>112</v>
      </c>
      <c r="D25" s="92">
        <v>603958</v>
      </c>
      <c r="E25" s="93"/>
      <c r="F25" s="94"/>
      <c r="G25" s="86">
        <f t="shared" si="0"/>
        <v>0</v>
      </c>
      <c r="H25" s="87">
        <f t="shared" si="1"/>
        <v>603958</v>
      </c>
      <c r="I25" s="490"/>
    </row>
    <row r="26" spans="1:9" x14ac:dyDescent="0.35">
      <c r="A26" s="1327"/>
      <c r="B26" s="73">
        <v>53204130100000</v>
      </c>
      <c r="C26" s="74" t="s">
        <v>113</v>
      </c>
      <c r="D26" s="92">
        <v>0</v>
      </c>
      <c r="E26" s="93"/>
      <c r="F26" s="94"/>
      <c r="G26" s="86">
        <f t="shared" si="0"/>
        <v>0</v>
      </c>
      <c r="H26" s="87">
        <f t="shared" si="1"/>
        <v>0</v>
      </c>
      <c r="I26" s="490"/>
    </row>
    <row r="27" spans="1:9" x14ac:dyDescent="0.35">
      <c r="A27" s="1327"/>
      <c r="B27" s="73">
        <v>53205010100000</v>
      </c>
      <c r="C27" s="95" t="s">
        <v>114</v>
      </c>
      <c r="D27" s="92">
        <v>0</v>
      </c>
      <c r="E27" s="93"/>
      <c r="F27" s="94"/>
      <c r="G27" s="86">
        <f t="shared" si="0"/>
        <v>0</v>
      </c>
      <c r="H27" s="87">
        <f t="shared" si="1"/>
        <v>0</v>
      </c>
      <c r="I27" s="490"/>
    </row>
    <row r="28" spans="1:9" x14ac:dyDescent="0.35">
      <c r="A28" s="1327"/>
      <c r="B28" s="73">
        <v>53205020100000</v>
      </c>
      <c r="C28" s="95" t="s">
        <v>115</v>
      </c>
      <c r="D28" s="92">
        <v>0</v>
      </c>
      <c r="E28" s="93"/>
      <c r="F28" s="94"/>
      <c r="G28" s="86">
        <f t="shared" si="0"/>
        <v>0</v>
      </c>
      <c r="H28" s="87">
        <f t="shared" si="1"/>
        <v>0</v>
      </c>
      <c r="I28" s="490"/>
    </row>
    <row r="29" spans="1:9" x14ac:dyDescent="0.35">
      <c r="A29" s="1327"/>
      <c r="B29" s="73">
        <v>53205030100000</v>
      </c>
      <c r="C29" s="95" t="s">
        <v>116</v>
      </c>
      <c r="D29" s="92">
        <v>3883777</v>
      </c>
      <c r="E29" s="93"/>
      <c r="F29" s="94"/>
      <c r="G29" s="86">
        <f t="shared" si="0"/>
        <v>0</v>
      </c>
      <c r="H29" s="87">
        <f t="shared" si="1"/>
        <v>3883777</v>
      </c>
      <c r="I29" s="490"/>
    </row>
    <row r="30" spans="1:9" x14ac:dyDescent="0.35">
      <c r="A30" s="1327"/>
      <c r="B30" s="73">
        <v>53205050100000</v>
      </c>
      <c r="C30" s="74" t="s">
        <v>117</v>
      </c>
      <c r="D30" s="92">
        <v>0</v>
      </c>
      <c r="E30" s="93"/>
      <c r="F30" s="94"/>
      <c r="G30" s="86">
        <f t="shared" si="0"/>
        <v>0</v>
      </c>
      <c r="H30" s="87">
        <f t="shared" si="1"/>
        <v>0</v>
      </c>
      <c r="I30" s="490"/>
    </row>
    <row r="31" spans="1:9" x14ac:dyDescent="0.35">
      <c r="A31" s="1327"/>
      <c r="B31" s="73">
        <v>53205060100000</v>
      </c>
      <c r="C31" s="74" t="s">
        <v>118</v>
      </c>
      <c r="D31" s="92">
        <v>0</v>
      </c>
      <c r="E31" s="93"/>
      <c r="F31" s="94"/>
      <c r="G31" s="86">
        <f t="shared" si="0"/>
        <v>0</v>
      </c>
      <c r="H31" s="87">
        <f t="shared" si="1"/>
        <v>0</v>
      </c>
      <c r="I31" s="490"/>
    </row>
    <row r="32" spans="1:9" x14ac:dyDescent="0.35">
      <c r="A32" s="1327"/>
      <c r="B32" s="73">
        <v>53205070100000</v>
      </c>
      <c r="C32" s="74" t="s">
        <v>119</v>
      </c>
      <c r="D32" s="92">
        <v>0</v>
      </c>
      <c r="E32" s="93">
        <f>68647*1.05</f>
        <v>72079.350000000006</v>
      </c>
      <c r="F32" s="94">
        <v>12</v>
      </c>
      <c r="G32" s="86">
        <f t="shared" si="0"/>
        <v>864952.20000000007</v>
      </c>
      <c r="H32" s="87">
        <f t="shared" si="1"/>
        <v>864952.20000000007</v>
      </c>
      <c r="I32" s="490"/>
    </row>
    <row r="33" spans="1:9" x14ac:dyDescent="0.35">
      <c r="A33" s="1327"/>
      <c r="B33" s="73">
        <v>53208010100000</v>
      </c>
      <c r="C33" s="95" t="s">
        <v>120</v>
      </c>
      <c r="D33" s="92">
        <v>4683155.7750000004</v>
      </c>
      <c r="E33" s="93">
        <f>80200*1.045</f>
        <v>83809</v>
      </c>
      <c r="F33" s="94">
        <v>12</v>
      </c>
      <c r="G33" s="86">
        <f t="shared" si="0"/>
        <v>1005708</v>
      </c>
      <c r="H33" s="87">
        <f t="shared" si="1"/>
        <v>5688863.7750000004</v>
      </c>
      <c r="I33" s="491"/>
    </row>
    <row r="34" spans="1:9" x14ac:dyDescent="0.35">
      <c r="A34" s="1327"/>
      <c r="B34" s="73">
        <v>53208070100001</v>
      </c>
      <c r="C34" s="74" t="s">
        <v>121</v>
      </c>
      <c r="D34" s="92">
        <v>0</v>
      </c>
      <c r="E34" s="93"/>
      <c r="F34" s="94"/>
      <c r="G34" s="86">
        <f t="shared" si="0"/>
        <v>0</v>
      </c>
      <c r="H34" s="87">
        <f t="shared" si="1"/>
        <v>0</v>
      </c>
      <c r="I34" s="490"/>
    </row>
    <row r="35" spans="1:9" x14ac:dyDescent="0.35">
      <c r="A35" s="1327"/>
      <c r="B35" s="73">
        <v>53208100100001</v>
      </c>
      <c r="C35" s="74" t="s">
        <v>122</v>
      </c>
      <c r="D35" s="92">
        <v>0</v>
      </c>
      <c r="E35" s="93"/>
      <c r="F35" s="94"/>
      <c r="G35" s="86">
        <f t="shared" si="0"/>
        <v>0</v>
      </c>
      <c r="H35" s="87">
        <f t="shared" si="1"/>
        <v>0</v>
      </c>
      <c r="I35" s="490"/>
    </row>
    <row r="36" spans="1:9" x14ac:dyDescent="0.35">
      <c r="A36" s="1327"/>
      <c r="B36" s="73">
        <v>53211030000000</v>
      </c>
      <c r="C36" s="74" t="s">
        <v>123</v>
      </c>
      <c r="D36" s="92">
        <v>0</v>
      </c>
      <c r="E36" s="93"/>
      <c r="F36" s="94"/>
      <c r="G36" s="86">
        <f t="shared" si="0"/>
        <v>0</v>
      </c>
      <c r="H36" s="87">
        <f t="shared" si="1"/>
        <v>0</v>
      </c>
      <c r="I36" s="490"/>
    </row>
    <row r="37" spans="1:9" x14ac:dyDescent="0.35">
      <c r="A37" s="1327"/>
      <c r="B37" s="73">
        <v>53212020100000</v>
      </c>
      <c r="C37" s="74" t="s">
        <v>124</v>
      </c>
      <c r="D37" s="92">
        <v>4002275</v>
      </c>
      <c r="E37" s="93"/>
      <c r="F37" s="94"/>
      <c r="G37" s="86">
        <f t="shared" si="0"/>
        <v>0</v>
      </c>
      <c r="H37" s="87">
        <f t="shared" si="1"/>
        <v>4002275</v>
      </c>
      <c r="I37" s="490"/>
    </row>
    <row r="38" spans="1:9" x14ac:dyDescent="0.35">
      <c r="A38" s="1327"/>
      <c r="B38" s="73">
        <v>53214020000000</v>
      </c>
      <c r="C38" s="74" t="s">
        <v>125</v>
      </c>
      <c r="D38" s="83">
        <v>327771</v>
      </c>
      <c r="E38" s="84"/>
      <c r="F38" s="85"/>
      <c r="G38" s="86">
        <f t="shared" si="0"/>
        <v>0</v>
      </c>
      <c r="H38" s="87">
        <f t="shared" si="1"/>
        <v>327771</v>
      </c>
      <c r="I38" s="490"/>
    </row>
    <row r="39" spans="1:9" x14ac:dyDescent="0.35">
      <c r="A39" s="1327"/>
      <c r="B39" s="63"/>
      <c r="C39" s="64" t="s">
        <v>126</v>
      </c>
      <c r="D39" s="96">
        <f>SUM(D40,D45,D48,D59,D69,D77)</f>
        <v>6667945</v>
      </c>
      <c r="E39" s="66"/>
      <c r="F39" s="66"/>
      <c r="G39" s="97">
        <f>SUM(G40,G45,G48,G59,G69,G77)</f>
        <v>7838028.3000000007</v>
      </c>
      <c r="H39" s="98">
        <f>SUM(H40,H45,H48,H59,H69,H77)</f>
        <v>15321268.300000001</v>
      </c>
      <c r="I39" s="490"/>
    </row>
    <row r="40" spans="1:9" x14ac:dyDescent="0.35">
      <c r="A40" s="1327"/>
      <c r="B40" s="68"/>
      <c r="C40" s="69" t="s">
        <v>127</v>
      </c>
      <c r="D40" s="70">
        <f>SUM(D41:D44)</f>
        <v>0</v>
      </c>
      <c r="E40" s="88"/>
      <c r="F40" s="88"/>
      <c r="G40" s="89">
        <f>SUM(G41:G44)</f>
        <v>480000</v>
      </c>
      <c r="H40" s="99">
        <f>SUM(H41:H44)</f>
        <v>480000</v>
      </c>
      <c r="I40" s="490"/>
    </row>
    <row r="41" spans="1:9" x14ac:dyDescent="0.35">
      <c r="A41" s="1327"/>
      <c r="B41" s="73">
        <v>53202020100000</v>
      </c>
      <c r="C41" s="74" t="s">
        <v>128</v>
      </c>
      <c r="D41" s="92">
        <v>0</v>
      </c>
      <c r="E41" s="93">
        <v>50000</v>
      </c>
      <c r="F41" s="94">
        <v>6</v>
      </c>
      <c r="G41" s="86">
        <f>E41*F41</f>
        <v>300000</v>
      </c>
      <c r="H41" s="87">
        <f t="shared" ref="H41:H79" si="2">D41+G41</f>
        <v>300000</v>
      </c>
      <c r="I41" s="490"/>
    </row>
    <row r="42" spans="1:9" x14ac:dyDescent="0.35">
      <c r="A42" s="1327"/>
      <c r="B42" s="73">
        <v>53202030000000</v>
      </c>
      <c r="C42" s="74" t="s">
        <v>129</v>
      </c>
      <c r="D42" s="83">
        <v>0</v>
      </c>
      <c r="E42" s="84">
        <v>30000</v>
      </c>
      <c r="F42" s="85">
        <v>6</v>
      </c>
      <c r="G42" s="86">
        <f t="shared" ref="G42:G79" si="3">E42*F42</f>
        <v>180000</v>
      </c>
      <c r="H42" s="87">
        <f t="shared" si="2"/>
        <v>180000</v>
      </c>
      <c r="I42" s="490"/>
    </row>
    <row r="43" spans="1:9" x14ac:dyDescent="0.35">
      <c r="A43" s="1327"/>
      <c r="B43" s="73">
        <v>53211020000000</v>
      </c>
      <c r="C43" s="74" t="s">
        <v>130</v>
      </c>
      <c r="D43" s="92">
        <v>0</v>
      </c>
      <c r="E43" s="93"/>
      <c r="F43" s="94"/>
      <c r="G43" s="86">
        <f t="shared" si="3"/>
        <v>0</v>
      </c>
      <c r="H43" s="87">
        <f t="shared" si="2"/>
        <v>0</v>
      </c>
      <c r="I43" s="490"/>
    </row>
    <row r="44" spans="1:9" x14ac:dyDescent="0.35">
      <c r="A44" s="1327"/>
      <c r="B44" s="73">
        <v>53101004030000</v>
      </c>
      <c r="C44" s="74" t="s">
        <v>131</v>
      </c>
      <c r="D44" s="83">
        <v>0</v>
      </c>
      <c r="E44" s="84"/>
      <c r="F44" s="85"/>
      <c r="G44" s="86">
        <f t="shared" si="3"/>
        <v>0</v>
      </c>
      <c r="H44" s="87">
        <f t="shared" si="2"/>
        <v>0</v>
      </c>
      <c r="I44" s="490"/>
    </row>
    <row r="45" spans="1:9" x14ac:dyDescent="0.35">
      <c r="A45" s="1327"/>
      <c r="B45" s="68"/>
      <c r="C45" s="69" t="s">
        <v>132</v>
      </c>
      <c r="D45" s="70">
        <f>SUM(D46:D47)</f>
        <v>0</v>
      </c>
      <c r="E45" s="88"/>
      <c r="F45" s="88"/>
      <c r="G45" s="89">
        <f>SUM(G46:G47)</f>
        <v>0</v>
      </c>
      <c r="H45" s="99">
        <f>SUM(H46:H47)</f>
        <v>0</v>
      </c>
      <c r="I45" s="490"/>
    </row>
    <row r="46" spans="1:9" x14ac:dyDescent="0.35">
      <c r="A46" s="1327"/>
      <c r="B46" s="73">
        <v>53205080000000</v>
      </c>
      <c r="C46" s="100" t="s">
        <v>133</v>
      </c>
      <c r="D46" s="83">
        <v>0</v>
      </c>
      <c r="E46" s="84"/>
      <c r="F46" s="85"/>
      <c r="G46" s="86">
        <f t="shared" si="3"/>
        <v>0</v>
      </c>
      <c r="H46" s="87">
        <f t="shared" si="2"/>
        <v>0</v>
      </c>
      <c r="I46" s="490"/>
    </row>
    <row r="47" spans="1:9" x14ac:dyDescent="0.35">
      <c r="A47" s="1327"/>
      <c r="B47" s="73">
        <v>53205990000000</v>
      </c>
      <c r="C47" s="74" t="s">
        <v>134</v>
      </c>
      <c r="D47" s="92">
        <v>0</v>
      </c>
      <c r="E47" s="93"/>
      <c r="F47" s="94"/>
      <c r="G47" s="86">
        <f t="shared" si="3"/>
        <v>0</v>
      </c>
      <c r="H47" s="87">
        <f t="shared" si="2"/>
        <v>0</v>
      </c>
      <c r="I47" s="490"/>
    </row>
    <row r="48" spans="1:9" x14ac:dyDescent="0.35">
      <c r="A48" s="1327"/>
      <c r="B48" s="68"/>
      <c r="C48" s="69" t="s">
        <v>135</v>
      </c>
      <c r="D48" s="70">
        <f>SUM(D49:D58)</f>
        <v>3544332</v>
      </c>
      <c r="E48" s="88"/>
      <c r="F48" s="88"/>
      <c r="G48" s="91">
        <f>SUM(G49:G58)</f>
        <v>7358028.3000000007</v>
      </c>
      <c r="H48" s="90">
        <f>SUM(H49:H58)</f>
        <v>10902360.300000001</v>
      </c>
      <c r="I48" s="490"/>
    </row>
    <row r="49" spans="1:9" x14ac:dyDescent="0.35">
      <c r="A49" s="1327"/>
      <c r="B49" s="73">
        <v>53203010200000</v>
      </c>
      <c r="C49" s="74" t="s">
        <v>136</v>
      </c>
      <c r="D49" s="83"/>
      <c r="E49" s="83"/>
      <c r="F49" s="85"/>
      <c r="G49" s="86">
        <f t="shared" si="3"/>
        <v>0</v>
      </c>
      <c r="H49" s="87">
        <f t="shared" si="2"/>
        <v>0</v>
      </c>
      <c r="I49" s="490"/>
    </row>
    <row r="50" spans="1:9" x14ac:dyDescent="0.35">
      <c r="A50" s="1327"/>
      <c r="B50" s="73">
        <v>53204010000000</v>
      </c>
      <c r="C50" s="74" t="s">
        <v>137</v>
      </c>
      <c r="D50" s="92">
        <v>225880</v>
      </c>
      <c r="E50" s="92"/>
      <c r="F50" s="94"/>
      <c r="G50" s="86">
        <f t="shared" si="3"/>
        <v>0</v>
      </c>
      <c r="H50" s="87">
        <f t="shared" si="2"/>
        <v>225880</v>
      </c>
      <c r="I50" s="490"/>
    </row>
    <row r="51" spans="1:9" x14ac:dyDescent="0.35">
      <c r="A51" s="1327"/>
      <c r="B51" s="73">
        <v>53204040200000</v>
      </c>
      <c r="C51" s="100" t="s">
        <v>138</v>
      </c>
      <c r="D51" s="92">
        <v>0</v>
      </c>
      <c r="E51" s="92"/>
      <c r="F51" s="94"/>
      <c r="G51" s="86">
        <f t="shared" si="3"/>
        <v>0</v>
      </c>
      <c r="H51" s="87">
        <f t="shared" si="2"/>
        <v>0</v>
      </c>
      <c r="I51" s="492"/>
    </row>
    <row r="52" spans="1:9" x14ac:dyDescent="0.35">
      <c r="A52" s="1327"/>
      <c r="B52" s="73">
        <v>53204060000000</v>
      </c>
      <c r="C52" s="100" t="s">
        <v>139</v>
      </c>
      <c r="D52" s="92">
        <v>0</v>
      </c>
      <c r="E52" s="92"/>
      <c r="F52" s="94"/>
      <c r="G52" s="86">
        <f t="shared" si="3"/>
        <v>0</v>
      </c>
      <c r="H52" s="87">
        <f t="shared" si="2"/>
        <v>0</v>
      </c>
      <c r="I52" s="492"/>
    </row>
    <row r="53" spans="1:9" x14ac:dyDescent="0.35">
      <c r="A53" s="1327"/>
      <c r="B53" s="73">
        <v>53204070000000</v>
      </c>
      <c r="C53" s="95" t="s">
        <v>140</v>
      </c>
      <c r="D53" s="92">
        <v>1836571</v>
      </c>
      <c r="E53" s="92"/>
      <c r="F53" s="94"/>
      <c r="G53" s="86">
        <f t="shared" si="3"/>
        <v>0</v>
      </c>
      <c r="H53" s="87">
        <f t="shared" si="2"/>
        <v>1836571</v>
      </c>
      <c r="I53" s="490"/>
    </row>
    <row r="54" spans="1:9" x14ac:dyDescent="0.35">
      <c r="A54" s="1327"/>
      <c r="B54" s="73">
        <v>53204080000000</v>
      </c>
      <c r="C54" s="100" t="s">
        <v>141</v>
      </c>
      <c r="D54" s="92">
        <v>113785</v>
      </c>
      <c r="E54" s="92"/>
      <c r="F54" s="94"/>
      <c r="G54" s="86">
        <f t="shared" si="3"/>
        <v>0</v>
      </c>
      <c r="H54" s="87">
        <f t="shared" si="2"/>
        <v>113785</v>
      </c>
      <c r="I54" s="490"/>
    </row>
    <row r="55" spans="1:9" x14ac:dyDescent="0.35">
      <c r="A55" s="1327"/>
      <c r="B55" s="73">
        <v>53214010000000</v>
      </c>
      <c r="C55" s="100" t="s">
        <v>142</v>
      </c>
      <c r="D55" s="83">
        <v>1144268</v>
      </c>
      <c r="E55" s="83"/>
      <c r="F55" s="85"/>
      <c r="G55" s="86">
        <f t="shared" si="3"/>
        <v>0</v>
      </c>
      <c r="H55" s="87">
        <f t="shared" si="2"/>
        <v>1144268</v>
      </c>
      <c r="I55" s="490"/>
    </row>
    <row r="56" spans="1:9" x14ac:dyDescent="0.35">
      <c r="A56" s="1327"/>
      <c r="B56" s="73">
        <v>53214040000000</v>
      </c>
      <c r="C56" s="74" t="s">
        <v>143</v>
      </c>
      <c r="D56" s="83">
        <v>223828</v>
      </c>
      <c r="E56" s="83"/>
      <c r="F56" s="85"/>
      <c r="G56" s="86">
        <f t="shared" si="3"/>
        <v>0</v>
      </c>
      <c r="H56" s="87">
        <f t="shared" si="2"/>
        <v>223828</v>
      </c>
      <c r="I56" s="490"/>
    </row>
    <row r="57" spans="1:9" x14ac:dyDescent="0.35">
      <c r="A57" s="1327"/>
      <c r="B57" s="73">
        <v>55201010100004</v>
      </c>
      <c r="C57" s="74" t="s">
        <v>144</v>
      </c>
      <c r="D57" s="83">
        <v>0</v>
      </c>
      <c r="E57" s="101">
        <f>'I) Costo Desayuno'!E31</f>
        <v>4333.3500000000004</v>
      </c>
      <c r="F57" s="85">
        <v>1698</v>
      </c>
      <c r="G57" s="86">
        <f>E57*F57</f>
        <v>7358028.3000000007</v>
      </c>
      <c r="H57" s="87">
        <f t="shared" si="2"/>
        <v>7358028.3000000007</v>
      </c>
      <c r="I57" s="490"/>
    </row>
    <row r="58" spans="1:9" x14ac:dyDescent="0.35">
      <c r="A58" s="1327"/>
      <c r="B58" s="73">
        <v>55201010100005</v>
      </c>
      <c r="C58" s="74" t="s">
        <v>145</v>
      </c>
      <c r="D58" s="83">
        <v>0</v>
      </c>
      <c r="E58" s="83"/>
      <c r="F58" s="85"/>
      <c r="G58" s="86">
        <f t="shared" si="3"/>
        <v>0</v>
      </c>
      <c r="H58" s="87">
        <f t="shared" si="2"/>
        <v>0</v>
      </c>
      <c r="I58" s="493"/>
    </row>
    <row r="59" spans="1:9" x14ac:dyDescent="0.35">
      <c r="A59" s="1327"/>
      <c r="B59" s="68"/>
      <c r="C59" s="69" t="s">
        <v>146</v>
      </c>
      <c r="D59" s="70"/>
      <c r="E59" s="88"/>
      <c r="F59" s="88"/>
      <c r="G59" s="91">
        <f>SUM(G60:G68)</f>
        <v>0</v>
      </c>
      <c r="H59" s="90">
        <f>SUM(H60:H68)</f>
        <v>815295</v>
      </c>
      <c r="I59" s="490"/>
    </row>
    <row r="60" spans="1:9" x14ac:dyDescent="0.35">
      <c r="A60" s="1327"/>
      <c r="B60" s="73">
        <v>53207010000000</v>
      </c>
      <c r="C60" s="74" t="s">
        <v>147</v>
      </c>
      <c r="D60" s="92"/>
      <c r="E60" s="92"/>
      <c r="F60" s="94"/>
      <c r="G60" s="86">
        <f t="shared" si="3"/>
        <v>0</v>
      </c>
      <c r="H60" s="87">
        <f t="shared" si="2"/>
        <v>0</v>
      </c>
      <c r="I60" s="490"/>
    </row>
    <row r="61" spans="1:9" x14ac:dyDescent="0.35">
      <c r="A61" s="1327"/>
      <c r="B61" s="73">
        <v>53207020000000</v>
      </c>
      <c r="C61" s="74" t="s">
        <v>148</v>
      </c>
      <c r="D61" s="92">
        <v>0</v>
      </c>
      <c r="E61" s="92"/>
      <c r="F61" s="94"/>
      <c r="G61" s="86">
        <f t="shared" si="3"/>
        <v>0</v>
      </c>
      <c r="H61" s="87">
        <f t="shared" si="2"/>
        <v>0</v>
      </c>
      <c r="I61" s="490"/>
    </row>
    <row r="62" spans="1:9" x14ac:dyDescent="0.35">
      <c r="A62" s="1327"/>
      <c r="B62" s="73">
        <v>53208020000000</v>
      </c>
      <c r="C62" s="74" t="s">
        <v>149</v>
      </c>
      <c r="D62" s="92">
        <v>0</v>
      </c>
      <c r="E62" s="92"/>
      <c r="F62" s="94"/>
      <c r="G62" s="86">
        <f t="shared" si="3"/>
        <v>0</v>
      </c>
      <c r="H62" s="87">
        <f t="shared" si="2"/>
        <v>0</v>
      </c>
      <c r="I62" s="490"/>
    </row>
    <row r="63" spans="1:9" x14ac:dyDescent="0.35">
      <c r="A63" s="1327"/>
      <c r="B63" s="73">
        <v>53208990000000</v>
      </c>
      <c r="C63" s="74" t="s">
        <v>150</v>
      </c>
      <c r="D63" s="92">
        <v>815295</v>
      </c>
      <c r="E63" s="92"/>
      <c r="F63" s="94"/>
      <c r="G63" s="86">
        <f t="shared" si="3"/>
        <v>0</v>
      </c>
      <c r="H63" s="87">
        <f t="shared" si="2"/>
        <v>815295</v>
      </c>
      <c r="I63" s="494"/>
    </row>
    <row r="64" spans="1:9" x14ac:dyDescent="0.35">
      <c r="A64" s="1327"/>
      <c r="B64" s="73">
        <v>53209010000000</v>
      </c>
      <c r="C64" s="74" t="s">
        <v>151</v>
      </c>
      <c r="D64" s="92">
        <v>0</v>
      </c>
      <c r="E64" s="92"/>
      <c r="F64" s="94"/>
      <c r="G64" s="86">
        <f t="shared" si="3"/>
        <v>0</v>
      </c>
      <c r="H64" s="87">
        <f t="shared" si="2"/>
        <v>0</v>
      </c>
      <c r="I64" s="490"/>
    </row>
    <row r="65" spans="1:9" x14ac:dyDescent="0.35">
      <c r="A65" s="1327"/>
      <c r="B65" s="73">
        <v>53209040000000</v>
      </c>
      <c r="C65" s="74" t="s">
        <v>152</v>
      </c>
      <c r="D65" s="92">
        <v>0</v>
      </c>
      <c r="E65" s="92"/>
      <c r="F65" s="94"/>
      <c r="G65" s="86">
        <f t="shared" si="3"/>
        <v>0</v>
      </c>
      <c r="H65" s="87">
        <f t="shared" si="2"/>
        <v>0</v>
      </c>
      <c r="I65" s="490"/>
    </row>
    <row r="66" spans="1:9" x14ac:dyDescent="0.35">
      <c r="A66" s="1327"/>
      <c r="B66" s="73">
        <v>53209050000000</v>
      </c>
      <c r="C66" s="74" t="s">
        <v>153</v>
      </c>
      <c r="D66" s="92">
        <v>0</v>
      </c>
      <c r="E66" s="92"/>
      <c r="F66" s="94"/>
      <c r="G66" s="86">
        <f t="shared" si="3"/>
        <v>0</v>
      </c>
      <c r="H66" s="87">
        <f t="shared" si="2"/>
        <v>0</v>
      </c>
      <c r="I66" s="490"/>
    </row>
    <row r="67" spans="1:9" x14ac:dyDescent="0.35">
      <c r="A67" s="1327"/>
      <c r="B67" s="73">
        <v>53209990000000</v>
      </c>
      <c r="C67" s="74" t="s">
        <v>154</v>
      </c>
      <c r="D67" s="92">
        <v>0</v>
      </c>
      <c r="E67" s="92"/>
      <c r="F67" s="94"/>
      <c r="G67" s="86">
        <f t="shared" si="3"/>
        <v>0</v>
      </c>
      <c r="H67" s="87">
        <f t="shared" si="2"/>
        <v>0</v>
      </c>
      <c r="I67" s="490"/>
    </row>
    <row r="68" spans="1:9" x14ac:dyDescent="0.35">
      <c r="A68" s="1327"/>
      <c r="B68" s="73">
        <v>53210020100000</v>
      </c>
      <c r="C68" s="74" t="s">
        <v>155</v>
      </c>
      <c r="D68" s="92">
        <v>0</v>
      </c>
      <c r="E68" s="92"/>
      <c r="F68" s="94"/>
      <c r="G68" s="86">
        <f t="shared" si="3"/>
        <v>0</v>
      </c>
      <c r="H68" s="87">
        <f t="shared" si="2"/>
        <v>0</v>
      </c>
      <c r="I68" s="491"/>
    </row>
    <row r="69" spans="1:9" x14ac:dyDescent="0.35">
      <c r="A69" s="1327"/>
      <c r="B69" s="68"/>
      <c r="C69" s="69" t="s">
        <v>156</v>
      </c>
      <c r="D69" s="70">
        <f>SUM(D70:D76)</f>
        <v>246620</v>
      </c>
      <c r="E69" s="88"/>
      <c r="F69" s="88"/>
      <c r="G69" s="91">
        <f>SUM(G70:G76)</f>
        <v>0</v>
      </c>
      <c r="H69" s="90">
        <f>SUM(H70:H76)</f>
        <v>246620</v>
      </c>
      <c r="I69" s="490"/>
    </row>
    <row r="70" spans="1:9" x14ac:dyDescent="0.35">
      <c r="A70" s="1327"/>
      <c r="B70" s="73">
        <v>53206030000000</v>
      </c>
      <c r="C70" s="74" t="s">
        <v>157</v>
      </c>
      <c r="D70" s="92">
        <v>202033</v>
      </c>
      <c r="E70" s="92"/>
      <c r="F70" s="94"/>
      <c r="G70" s="86">
        <f t="shared" si="3"/>
        <v>0</v>
      </c>
      <c r="H70" s="87">
        <f t="shared" si="2"/>
        <v>202033</v>
      </c>
      <c r="I70" s="490"/>
    </row>
    <row r="71" spans="1:9" x14ac:dyDescent="0.35">
      <c r="A71" s="1327"/>
      <c r="B71" s="73">
        <v>53206040000000</v>
      </c>
      <c r="C71" s="74" t="s">
        <v>158</v>
      </c>
      <c r="D71" s="92">
        <v>0</v>
      </c>
      <c r="E71" s="92"/>
      <c r="F71" s="94"/>
      <c r="G71" s="86">
        <f t="shared" si="3"/>
        <v>0</v>
      </c>
      <c r="H71" s="87">
        <f t="shared" si="2"/>
        <v>0</v>
      </c>
      <c r="I71" s="490"/>
    </row>
    <row r="72" spans="1:9" x14ac:dyDescent="0.35">
      <c r="A72" s="1327"/>
      <c r="B72" s="73">
        <v>53206060000000</v>
      </c>
      <c r="C72" s="74" t="s">
        <v>159</v>
      </c>
      <c r="D72" s="92">
        <v>0</v>
      </c>
      <c r="E72" s="92"/>
      <c r="F72" s="94"/>
      <c r="G72" s="86">
        <f t="shared" si="3"/>
        <v>0</v>
      </c>
      <c r="H72" s="87">
        <f t="shared" si="2"/>
        <v>0</v>
      </c>
      <c r="I72" s="490"/>
    </row>
    <row r="73" spans="1:9" x14ac:dyDescent="0.35">
      <c r="A73" s="1327"/>
      <c r="B73" s="73">
        <v>53206070000000</v>
      </c>
      <c r="C73" s="74" t="s">
        <v>160</v>
      </c>
      <c r="D73" s="92">
        <v>44587</v>
      </c>
      <c r="E73" s="92"/>
      <c r="F73" s="94"/>
      <c r="G73" s="86">
        <f t="shared" si="3"/>
        <v>0</v>
      </c>
      <c r="H73" s="87">
        <f t="shared" si="2"/>
        <v>44587</v>
      </c>
      <c r="I73" s="490"/>
    </row>
    <row r="74" spans="1:9" x14ac:dyDescent="0.35">
      <c r="A74" s="1327"/>
      <c r="B74" s="73">
        <v>53206990000000</v>
      </c>
      <c r="C74" s="74" t="s">
        <v>161</v>
      </c>
      <c r="D74" s="92"/>
      <c r="E74" s="92"/>
      <c r="F74" s="94"/>
      <c r="G74" s="86">
        <f t="shared" si="3"/>
        <v>0</v>
      </c>
      <c r="H74" s="87">
        <f t="shared" si="2"/>
        <v>0</v>
      </c>
      <c r="I74" s="490"/>
    </row>
    <row r="75" spans="1:9" x14ac:dyDescent="0.35">
      <c r="A75" s="1327"/>
      <c r="B75" s="73">
        <v>53208030000000</v>
      </c>
      <c r="C75" s="74" t="s">
        <v>162</v>
      </c>
      <c r="D75" s="92">
        <v>0</v>
      </c>
      <c r="E75" s="92"/>
      <c r="F75" s="94"/>
      <c r="G75" s="86">
        <f t="shared" si="3"/>
        <v>0</v>
      </c>
      <c r="H75" s="87">
        <f t="shared" si="2"/>
        <v>0</v>
      </c>
      <c r="I75" s="490"/>
    </row>
    <row r="76" spans="1:9" x14ac:dyDescent="0.35">
      <c r="A76" s="1327"/>
      <c r="B76" s="73">
        <v>53212060000000</v>
      </c>
      <c r="C76" s="74" t="s">
        <v>163</v>
      </c>
      <c r="D76" s="83"/>
      <c r="E76" s="83"/>
      <c r="F76" s="85"/>
      <c r="G76" s="86">
        <f t="shared" si="3"/>
        <v>0</v>
      </c>
      <c r="H76" s="87">
        <f t="shared" si="2"/>
        <v>0</v>
      </c>
      <c r="I76" s="490" t="s">
        <v>605</v>
      </c>
    </row>
    <row r="77" spans="1:9" x14ac:dyDescent="0.35">
      <c r="A77" s="1327"/>
      <c r="B77" s="68"/>
      <c r="C77" s="69" t="s">
        <v>164</v>
      </c>
      <c r="D77" s="70">
        <f>SUM(D78:D79)</f>
        <v>2876993</v>
      </c>
      <c r="E77" s="88"/>
      <c r="F77" s="88"/>
      <c r="G77" s="91">
        <f>SUM(G78:G79)</f>
        <v>0</v>
      </c>
      <c r="H77" s="90">
        <f>SUM(H78:H79)</f>
        <v>2876993</v>
      </c>
      <c r="I77" s="490"/>
    </row>
    <row r="78" spans="1:9" x14ac:dyDescent="0.35">
      <c r="A78" s="1327"/>
      <c r="B78" s="73">
        <v>53210020500000</v>
      </c>
      <c r="C78" s="74" t="s">
        <v>165</v>
      </c>
      <c r="D78" s="83">
        <v>423715</v>
      </c>
      <c r="E78" s="83"/>
      <c r="F78" s="85"/>
      <c r="G78" s="86">
        <f t="shared" si="3"/>
        <v>0</v>
      </c>
      <c r="H78" s="102">
        <f t="shared" si="2"/>
        <v>423715</v>
      </c>
      <c r="I78" s="490"/>
    </row>
    <row r="79" spans="1:9" x14ac:dyDescent="0.35">
      <c r="A79" s="1327"/>
      <c r="B79" s="103">
        <v>53204999000000</v>
      </c>
      <c r="C79" s="104" t="s">
        <v>166</v>
      </c>
      <c r="D79" s="92">
        <v>2453278</v>
      </c>
      <c r="E79" s="92"/>
      <c r="F79" s="94"/>
      <c r="G79" s="105">
        <f t="shared" si="3"/>
        <v>0</v>
      </c>
      <c r="H79" s="102">
        <f t="shared" si="2"/>
        <v>2453278</v>
      </c>
      <c r="I79" s="491" t="s">
        <v>606</v>
      </c>
    </row>
    <row r="80" spans="1:9" x14ac:dyDescent="0.35">
      <c r="A80" s="1328"/>
      <c r="B80" s="106"/>
      <c r="C80" s="107" t="s">
        <v>12</v>
      </c>
      <c r="D80" s="108">
        <f>SUM(D11,D39)</f>
        <v>71845471.045000002</v>
      </c>
      <c r="E80" s="109"/>
      <c r="F80" s="109"/>
      <c r="G80" s="108">
        <f>SUM(G11,G39)</f>
        <v>9708688.5</v>
      </c>
      <c r="H80" s="110">
        <f>SUM(H11,H39)</f>
        <v>82369454.545000002</v>
      </c>
      <c r="I80" s="490"/>
    </row>
    <row r="81" spans="1:9" x14ac:dyDescent="0.35">
      <c r="A81" s="1310" t="s">
        <v>25</v>
      </c>
      <c r="B81" s="1312" t="s">
        <v>90</v>
      </c>
      <c r="C81" s="1314" t="s">
        <v>91</v>
      </c>
      <c r="D81" s="1316" t="s">
        <v>92</v>
      </c>
      <c r="E81" s="1318" t="s">
        <v>93</v>
      </c>
      <c r="F81" s="1319"/>
      <c r="G81" s="1320"/>
      <c r="H81" s="1321" t="str">
        <f>+H9</f>
        <v>COSTO DIRECTO ESTIMADO 2026</v>
      </c>
      <c r="I81" s="1309" t="s">
        <v>94</v>
      </c>
    </row>
    <row r="82" spans="1:9" ht="26" x14ac:dyDescent="0.35">
      <c r="A82" s="1311"/>
      <c r="B82" s="1313"/>
      <c r="C82" s="1315"/>
      <c r="D82" s="1317"/>
      <c r="E82" s="60" t="s">
        <v>95</v>
      </c>
      <c r="F82" s="61" t="s">
        <v>96</v>
      </c>
      <c r="G82" s="62" t="s">
        <v>97</v>
      </c>
      <c r="H82" s="1322"/>
      <c r="I82" s="1309"/>
    </row>
    <row r="83" spans="1:9" x14ac:dyDescent="0.35">
      <c r="A83" s="1326" t="str">
        <f>+'B) Reajuste Tarifas y Ocupación'!A21</f>
        <v>Centro Termal Liquiñe</v>
      </c>
      <c r="B83" s="63"/>
      <c r="C83" s="64" t="s">
        <v>98</v>
      </c>
      <c r="D83" s="65">
        <f>SUM(D84,D89,D91)</f>
        <v>358928997.98312497</v>
      </c>
      <c r="E83" s="66"/>
      <c r="F83" s="66"/>
      <c r="G83" s="65">
        <f>SUM(G84,G89,G91)</f>
        <v>33802503</v>
      </c>
      <c r="H83" s="67">
        <f>SUM(H84,H89,H91)</f>
        <v>392731500.98312497</v>
      </c>
      <c r="I83" s="418"/>
    </row>
    <row r="84" spans="1:9" x14ac:dyDescent="0.35">
      <c r="A84" s="1327"/>
      <c r="B84" s="68"/>
      <c r="C84" s="69" t="s">
        <v>99</v>
      </c>
      <c r="D84" s="70">
        <f>SUM(D85:D88)</f>
        <v>235730999.733125</v>
      </c>
      <c r="E84" s="71"/>
      <c r="F84" s="71"/>
      <c r="G84" s="70">
        <f>SUM(G85:G88)</f>
        <v>0</v>
      </c>
      <c r="H84" s="72">
        <f>SUM(H85:H88)</f>
        <v>235730999.733125</v>
      </c>
      <c r="I84" s="418"/>
    </row>
    <row r="85" spans="1:9" x14ac:dyDescent="0.35">
      <c r="A85" s="1327"/>
      <c r="B85" s="73">
        <v>53103040100000</v>
      </c>
      <c r="C85" s="74" t="s">
        <v>100</v>
      </c>
      <c r="D85" s="75">
        <f>+'F) Remuneraciones'!M33</f>
        <v>235730999.733125</v>
      </c>
      <c r="E85" s="76"/>
      <c r="F85" s="76"/>
      <c r="G85" s="76"/>
      <c r="H85" s="77">
        <f>D85+G85</f>
        <v>235730999.733125</v>
      </c>
      <c r="I85" s="418"/>
    </row>
    <row r="86" spans="1:9" x14ac:dyDescent="0.35">
      <c r="A86" s="1327"/>
      <c r="B86" s="73">
        <v>53103050000000</v>
      </c>
      <c r="C86" s="74" t="s">
        <v>101</v>
      </c>
      <c r="D86" s="78"/>
      <c r="E86" s="79"/>
      <c r="F86" s="80"/>
      <c r="G86" s="81">
        <f>E86*F86</f>
        <v>0</v>
      </c>
      <c r="H86" s="82">
        <f>D86+G86</f>
        <v>0</v>
      </c>
      <c r="I86" s="418"/>
    </row>
    <row r="87" spans="1:9" x14ac:dyDescent="0.35">
      <c r="A87" s="1327"/>
      <c r="B87" s="73">
        <v>53103060000000</v>
      </c>
      <c r="C87" s="74" t="s">
        <v>102</v>
      </c>
      <c r="D87" s="83"/>
      <c r="E87" s="84"/>
      <c r="F87" s="85"/>
      <c r="G87" s="86">
        <f>E87*F87</f>
        <v>0</v>
      </c>
      <c r="H87" s="87">
        <f>D87+G87</f>
        <v>0</v>
      </c>
      <c r="I87" s="418"/>
    </row>
    <row r="88" spans="1:9" ht="18" x14ac:dyDescent="0.35">
      <c r="A88" s="1327"/>
      <c r="B88" s="73">
        <v>53103080010000</v>
      </c>
      <c r="C88" s="74" t="s">
        <v>103</v>
      </c>
      <c r="D88" s="83"/>
      <c r="E88" s="84"/>
      <c r="F88" s="85"/>
      <c r="G88" s="86">
        <f>E88*F88</f>
        <v>0</v>
      </c>
      <c r="H88" s="87">
        <f>D88+G88</f>
        <v>0</v>
      </c>
      <c r="I88" s="495"/>
    </row>
    <row r="89" spans="1:9" x14ac:dyDescent="0.35">
      <c r="A89" s="1327"/>
      <c r="B89" s="68"/>
      <c r="C89" s="69" t="s">
        <v>104</v>
      </c>
      <c r="D89" s="70">
        <f>SUM(D90)</f>
        <v>93037323.75</v>
      </c>
      <c r="E89" s="88"/>
      <c r="F89" s="88"/>
      <c r="G89" s="89">
        <f>SUM(G90:G90)</f>
        <v>0</v>
      </c>
      <c r="H89" s="90">
        <f>SUM(H90:H90)</f>
        <v>93037323.75</v>
      </c>
      <c r="I89" s="418"/>
    </row>
    <row r="90" spans="1:9" x14ac:dyDescent="0.35">
      <c r="A90" s="1327"/>
      <c r="B90" s="73">
        <v>55201010100001</v>
      </c>
      <c r="C90" s="74" t="s">
        <v>105</v>
      </c>
      <c r="D90" s="83">
        <v>93037323.75</v>
      </c>
      <c r="E90" s="84"/>
      <c r="F90" s="85"/>
      <c r="G90" s="86">
        <f>E90*F90</f>
        <v>0</v>
      </c>
      <c r="H90" s="87">
        <f>D90+G90</f>
        <v>93037323.75</v>
      </c>
      <c r="I90" s="418"/>
    </row>
    <row r="91" spans="1:9" x14ac:dyDescent="0.35">
      <c r="A91" s="1327"/>
      <c r="B91" s="68"/>
      <c r="C91" s="69" t="s">
        <v>106</v>
      </c>
      <c r="D91" s="70">
        <f>SUM(D92:D110)</f>
        <v>30160674.5</v>
      </c>
      <c r="E91" s="88"/>
      <c r="F91" s="88"/>
      <c r="G91" s="91">
        <f>SUM(G92:G110)</f>
        <v>33802503</v>
      </c>
      <c r="H91" s="90">
        <f>SUM(H92:H110)</f>
        <v>63963177.5</v>
      </c>
      <c r="I91" s="418"/>
    </row>
    <row r="92" spans="1:9" x14ac:dyDescent="0.35">
      <c r="A92" s="1327"/>
      <c r="B92" s="73">
        <v>53201010100000</v>
      </c>
      <c r="C92" s="74" t="s">
        <v>107</v>
      </c>
      <c r="D92" s="83"/>
      <c r="E92" s="84">
        <v>2538</v>
      </c>
      <c r="F92" s="85">
        <v>5520</v>
      </c>
      <c r="G92" s="86">
        <f t="shared" ref="G92:G110" si="4">E92*F92</f>
        <v>14009760</v>
      </c>
      <c r="H92" s="87">
        <f t="shared" ref="H92:H110" si="5">D92+G92</f>
        <v>14009760</v>
      </c>
      <c r="I92" s="418"/>
    </row>
    <row r="93" spans="1:9" x14ac:dyDescent="0.35">
      <c r="A93" s="1327"/>
      <c r="B93" s="73">
        <v>53202010100000</v>
      </c>
      <c r="C93" s="74" t="s">
        <v>108</v>
      </c>
      <c r="D93" s="83">
        <v>4000000</v>
      </c>
      <c r="E93" s="84"/>
      <c r="F93" s="85"/>
      <c r="G93" s="86">
        <f t="shared" si="4"/>
        <v>0</v>
      </c>
      <c r="H93" s="87">
        <f t="shared" si="5"/>
        <v>4000000</v>
      </c>
      <c r="I93" s="418"/>
    </row>
    <row r="94" spans="1:9" x14ac:dyDescent="0.35">
      <c r="A94" s="1327"/>
      <c r="B94" s="73">
        <v>53203010100000</v>
      </c>
      <c r="C94" s="74" t="s">
        <v>109</v>
      </c>
      <c r="D94" s="92">
        <v>400000</v>
      </c>
      <c r="E94" s="93"/>
      <c r="F94" s="94"/>
      <c r="G94" s="86">
        <f t="shared" si="4"/>
        <v>0</v>
      </c>
      <c r="H94" s="87">
        <f t="shared" si="5"/>
        <v>400000</v>
      </c>
      <c r="I94" s="418"/>
    </row>
    <row r="95" spans="1:9" x14ac:dyDescent="0.35">
      <c r="A95" s="1327"/>
      <c r="B95" s="73">
        <v>53203030000000</v>
      </c>
      <c r="C95" s="74" t="s">
        <v>110</v>
      </c>
      <c r="D95" s="92">
        <v>0</v>
      </c>
      <c r="E95" s="93"/>
      <c r="F95" s="94"/>
      <c r="G95" s="86">
        <f t="shared" si="4"/>
        <v>0</v>
      </c>
      <c r="H95" s="87">
        <f t="shared" si="5"/>
        <v>0</v>
      </c>
      <c r="I95" s="418"/>
    </row>
    <row r="96" spans="1:9" x14ac:dyDescent="0.35">
      <c r="A96" s="1327"/>
      <c r="B96" s="73">
        <v>53204030000000</v>
      </c>
      <c r="C96" s="74" t="s">
        <v>111</v>
      </c>
      <c r="D96" s="92">
        <v>0</v>
      </c>
      <c r="E96" s="93"/>
      <c r="F96" s="94"/>
      <c r="G96" s="86">
        <f t="shared" si="4"/>
        <v>0</v>
      </c>
      <c r="H96" s="87">
        <f t="shared" si="5"/>
        <v>0</v>
      </c>
      <c r="I96" s="418"/>
    </row>
    <row r="97" spans="1:9" x14ac:dyDescent="0.35">
      <c r="A97" s="1327"/>
      <c r="B97" s="73">
        <v>53204100100001</v>
      </c>
      <c r="C97" s="74" t="s">
        <v>112</v>
      </c>
      <c r="D97" s="92">
        <v>8986551.5250000004</v>
      </c>
      <c r="E97" s="93"/>
      <c r="F97" s="94"/>
      <c r="G97" s="86">
        <f t="shared" si="4"/>
        <v>0</v>
      </c>
      <c r="H97" s="87">
        <f t="shared" si="5"/>
        <v>8986551.5250000004</v>
      </c>
      <c r="I97" s="418"/>
    </row>
    <row r="98" spans="1:9" x14ac:dyDescent="0.35">
      <c r="A98" s="1327"/>
      <c r="B98" s="73">
        <v>53204130100000</v>
      </c>
      <c r="C98" s="74" t="s">
        <v>113</v>
      </c>
      <c r="D98" s="92">
        <v>0</v>
      </c>
      <c r="E98" s="93"/>
      <c r="F98" s="94"/>
      <c r="G98" s="86">
        <f t="shared" si="4"/>
        <v>0</v>
      </c>
      <c r="H98" s="87">
        <f t="shared" si="5"/>
        <v>0</v>
      </c>
      <c r="I98" s="418"/>
    </row>
    <row r="99" spans="1:9" x14ac:dyDescent="0.35">
      <c r="A99" s="1327"/>
      <c r="B99" s="73">
        <v>53205010100000</v>
      </c>
      <c r="C99" s="95" t="s">
        <v>114</v>
      </c>
      <c r="D99" s="92">
        <v>0</v>
      </c>
      <c r="E99" s="93">
        <v>380</v>
      </c>
      <c r="F99" s="94">
        <v>41613</v>
      </c>
      <c r="G99" s="86">
        <f t="shared" si="4"/>
        <v>15812940</v>
      </c>
      <c r="H99" s="87">
        <f t="shared" si="5"/>
        <v>15812940</v>
      </c>
      <c r="I99" s="418"/>
    </row>
    <row r="100" spans="1:9" x14ac:dyDescent="0.35">
      <c r="A100" s="1327"/>
      <c r="B100" s="73">
        <v>53205020100000</v>
      </c>
      <c r="C100" s="74" t="s">
        <v>115</v>
      </c>
      <c r="D100" s="92">
        <v>6000000</v>
      </c>
      <c r="E100" s="93"/>
      <c r="F100" s="94"/>
      <c r="G100" s="86">
        <f t="shared" si="4"/>
        <v>0</v>
      </c>
      <c r="H100" s="87">
        <f t="shared" si="5"/>
        <v>6000000</v>
      </c>
      <c r="I100" s="418"/>
    </row>
    <row r="101" spans="1:9" x14ac:dyDescent="0.35">
      <c r="A101" s="1327"/>
      <c r="B101" s="73">
        <v>53205030100000</v>
      </c>
      <c r="C101" s="95" t="s">
        <v>116</v>
      </c>
      <c r="D101" s="92">
        <v>0</v>
      </c>
      <c r="E101" s="93">
        <f>860*1.05</f>
        <v>903</v>
      </c>
      <c r="F101" s="94">
        <v>1781</v>
      </c>
      <c r="G101" s="86">
        <f t="shared" si="4"/>
        <v>1608243</v>
      </c>
      <c r="H101" s="87">
        <f t="shared" si="5"/>
        <v>1608243</v>
      </c>
      <c r="I101" s="418"/>
    </row>
    <row r="102" spans="1:9" x14ac:dyDescent="0.35">
      <c r="A102" s="1327"/>
      <c r="B102" s="73">
        <v>53205050100000</v>
      </c>
      <c r="C102" s="95" t="s">
        <v>117</v>
      </c>
      <c r="D102" s="92">
        <v>0</v>
      </c>
      <c r="E102" s="93"/>
      <c r="F102" s="94"/>
      <c r="G102" s="86">
        <f t="shared" si="4"/>
        <v>0</v>
      </c>
      <c r="H102" s="87">
        <f t="shared" si="5"/>
        <v>0</v>
      </c>
      <c r="I102" s="418"/>
    </row>
    <row r="103" spans="1:9" x14ac:dyDescent="0.35">
      <c r="A103" s="1327"/>
      <c r="B103" s="73">
        <v>53205060100000</v>
      </c>
      <c r="C103" s="74" t="s">
        <v>118</v>
      </c>
      <c r="D103" s="92"/>
      <c r="E103" s="93"/>
      <c r="F103" s="94"/>
      <c r="G103" s="86">
        <f t="shared" si="4"/>
        <v>0</v>
      </c>
      <c r="H103" s="87">
        <f t="shared" si="5"/>
        <v>0</v>
      </c>
      <c r="I103" s="418"/>
    </row>
    <row r="104" spans="1:9" x14ac:dyDescent="0.35">
      <c r="A104" s="1327"/>
      <c r="B104" s="73">
        <v>53205070100000</v>
      </c>
      <c r="C104" s="95" t="s">
        <v>119</v>
      </c>
      <c r="D104" s="92">
        <v>0</v>
      </c>
      <c r="E104" s="93">
        <v>49790</v>
      </c>
      <c r="F104" s="94">
        <v>12</v>
      </c>
      <c r="G104" s="86">
        <f t="shared" si="4"/>
        <v>597480</v>
      </c>
      <c r="H104" s="87">
        <f t="shared" si="5"/>
        <v>597480</v>
      </c>
      <c r="I104" s="418"/>
    </row>
    <row r="105" spans="1:9" x14ac:dyDescent="0.35">
      <c r="A105" s="1327"/>
      <c r="B105" s="73">
        <v>53208010100000</v>
      </c>
      <c r="C105" s="74" t="s">
        <v>120</v>
      </c>
      <c r="D105" s="92">
        <v>787515.75</v>
      </c>
      <c r="E105" s="93">
        <f>140800*1.05</f>
        <v>147840</v>
      </c>
      <c r="F105" s="94">
        <v>12</v>
      </c>
      <c r="G105" s="86">
        <f t="shared" si="4"/>
        <v>1774080</v>
      </c>
      <c r="H105" s="87">
        <f t="shared" si="5"/>
        <v>2561595.75</v>
      </c>
      <c r="I105" s="418"/>
    </row>
    <row r="106" spans="1:9" x14ac:dyDescent="0.35">
      <c r="A106" s="1327"/>
      <c r="B106" s="73">
        <v>53208070100001</v>
      </c>
      <c r="C106" s="74" t="s">
        <v>121</v>
      </c>
      <c r="D106" s="92">
        <v>0</v>
      </c>
      <c r="E106" s="93"/>
      <c r="F106" s="94"/>
      <c r="G106" s="86">
        <f t="shared" si="4"/>
        <v>0</v>
      </c>
      <c r="H106" s="87">
        <f t="shared" si="5"/>
        <v>0</v>
      </c>
      <c r="I106" s="418"/>
    </row>
    <row r="107" spans="1:9" x14ac:dyDescent="0.35">
      <c r="A107" s="1327"/>
      <c r="B107" s="73">
        <v>53208100100001</v>
      </c>
      <c r="C107" s="74" t="s">
        <v>122</v>
      </c>
      <c r="D107" s="92">
        <v>0</v>
      </c>
      <c r="E107" s="93"/>
      <c r="F107" s="94"/>
      <c r="G107" s="86">
        <f t="shared" si="4"/>
        <v>0</v>
      </c>
      <c r="H107" s="87">
        <f t="shared" si="5"/>
        <v>0</v>
      </c>
      <c r="I107" s="418"/>
    </row>
    <row r="108" spans="1:9" x14ac:dyDescent="0.35">
      <c r="A108" s="1327"/>
      <c r="B108" s="73">
        <v>53211030000000</v>
      </c>
      <c r="C108" s="74" t="s">
        <v>123</v>
      </c>
      <c r="D108" s="92">
        <v>0</v>
      </c>
      <c r="E108" s="93"/>
      <c r="F108" s="94"/>
      <c r="G108" s="86">
        <f t="shared" si="4"/>
        <v>0</v>
      </c>
      <c r="H108" s="87">
        <f t="shared" si="5"/>
        <v>0</v>
      </c>
      <c r="I108" s="418"/>
    </row>
    <row r="109" spans="1:9" x14ac:dyDescent="0.35">
      <c r="A109" s="1327"/>
      <c r="B109" s="73">
        <v>53212020100000</v>
      </c>
      <c r="C109" s="74" t="s">
        <v>124</v>
      </c>
      <c r="D109" s="92">
        <v>9986607.2249999996</v>
      </c>
      <c r="E109" s="93"/>
      <c r="F109" s="94"/>
      <c r="G109" s="86">
        <f t="shared" si="4"/>
        <v>0</v>
      </c>
      <c r="H109" s="87">
        <f t="shared" si="5"/>
        <v>9986607.2249999996</v>
      </c>
      <c r="I109" s="418"/>
    </row>
    <row r="110" spans="1:9" x14ac:dyDescent="0.35">
      <c r="A110" s="1327"/>
      <c r="B110" s="73">
        <v>53214020000000</v>
      </c>
      <c r="C110" s="74" t="s">
        <v>125</v>
      </c>
      <c r="D110" s="83"/>
      <c r="E110" s="84"/>
      <c r="F110" s="85"/>
      <c r="G110" s="86">
        <f t="shared" si="4"/>
        <v>0</v>
      </c>
      <c r="H110" s="87">
        <f t="shared" si="5"/>
        <v>0</v>
      </c>
      <c r="I110" s="418"/>
    </row>
    <row r="111" spans="1:9" x14ac:dyDescent="0.35">
      <c r="A111" s="1327"/>
      <c r="B111" s="63"/>
      <c r="C111" s="64" t="s">
        <v>126</v>
      </c>
      <c r="D111" s="96">
        <f>SUM(D112,D117,D120,D131,D141,D149)</f>
        <v>74746209.924999997</v>
      </c>
      <c r="E111" s="66"/>
      <c r="F111" s="66"/>
      <c r="G111" s="97">
        <f>SUM(G112,G117,G120,G131,G141,G149)</f>
        <v>3661312</v>
      </c>
      <c r="H111" s="98">
        <f>SUM(H112,H117,H120,H131,H141,H149)</f>
        <v>78407521.924999997</v>
      </c>
      <c r="I111" s="418"/>
    </row>
    <row r="112" spans="1:9" x14ac:dyDescent="0.35">
      <c r="A112" s="1327"/>
      <c r="B112" s="68"/>
      <c r="C112" s="69" t="s">
        <v>127</v>
      </c>
      <c r="D112" s="70">
        <f>SUM(D113:D116)</f>
        <v>1000000</v>
      </c>
      <c r="E112" s="88"/>
      <c r="F112" s="88"/>
      <c r="G112" s="89">
        <f>SUM(G113:G116)</f>
        <v>2110000</v>
      </c>
      <c r="H112" s="99">
        <f>SUM(H113:H116)</f>
        <v>3110000</v>
      </c>
      <c r="I112" s="418"/>
    </row>
    <row r="113" spans="1:9" x14ac:dyDescent="0.35">
      <c r="A113" s="1327"/>
      <c r="B113" s="73">
        <v>53202020100000</v>
      </c>
      <c r="C113" s="74" t="s">
        <v>128</v>
      </c>
      <c r="D113" s="92"/>
      <c r="E113" s="93">
        <v>60000</v>
      </c>
      <c r="F113" s="94">
        <v>27</v>
      </c>
      <c r="G113" s="86">
        <f>E113*F113</f>
        <v>1620000</v>
      </c>
      <c r="H113" s="87">
        <f>D113+G113</f>
        <v>1620000</v>
      </c>
      <c r="I113" s="418"/>
    </row>
    <row r="114" spans="1:9" x14ac:dyDescent="0.35">
      <c r="A114" s="1327"/>
      <c r="B114" s="73">
        <v>53202030000000</v>
      </c>
      <c r="C114" s="74" t="s">
        <v>129</v>
      </c>
      <c r="D114" s="83"/>
      <c r="E114" s="84">
        <v>35000</v>
      </c>
      <c r="F114" s="85">
        <v>14</v>
      </c>
      <c r="G114" s="86">
        <f>E114*F114</f>
        <v>490000</v>
      </c>
      <c r="H114" s="87">
        <f>D114+G114</f>
        <v>490000</v>
      </c>
      <c r="I114" s="418"/>
    </row>
    <row r="115" spans="1:9" x14ac:dyDescent="0.35">
      <c r="A115" s="1327"/>
      <c r="B115" s="73">
        <v>53211020000000</v>
      </c>
      <c r="C115" s="74" t="s">
        <v>130</v>
      </c>
      <c r="D115" s="92"/>
      <c r="E115" s="93"/>
      <c r="F115" s="94"/>
      <c r="G115" s="86">
        <f>E115*F115</f>
        <v>0</v>
      </c>
      <c r="H115" s="87">
        <f>D115+G115</f>
        <v>0</v>
      </c>
      <c r="I115" s="418"/>
    </row>
    <row r="116" spans="1:9" x14ac:dyDescent="0.35">
      <c r="A116" s="1327"/>
      <c r="B116" s="73">
        <v>53101004030000</v>
      </c>
      <c r="C116" s="74" t="s">
        <v>131</v>
      </c>
      <c r="D116" s="971">
        <v>1000000</v>
      </c>
      <c r="E116" s="84"/>
      <c r="F116" s="85"/>
      <c r="G116" s="86">
        <f>E116*F116</f>
        <v>0</v>
      </c>
      <c r="H116" s="87">
        <f>D116+G116</f>
        <v>1000000</v>
      </c>
      <c r="I116" s="418"/>
    </row>
    <row r="117" spans="1:9" x14ac:dyDescent="0.35">
      <c r="A117" s="1327"/>
      <c r="B117" s="68"/>
      <c r="C117" s="69" t="s">
        <v>132</v>
      </c>
      <c r="D117" s="70">
        <f>SUM(D118:D119)</f>
        <v>0</v>
      </c>
      <c r="E117" s="88"/>
      <c r="F117" s="88"/>
      <c r="G117" s="89">
        <f>SUM(G118:G119)</f>
        <v>0</v>
      </c>
      <c r="H117" s="99">
        <f>SUM(H118:H119)</f>
        <v>0</v>
      </c>
      <c r="I117" s="418"/>
    </row>
    <row r="118" spans="1:9" x14ac:dyDescent="0.35">
      <c r="A118" s="1327"/>
      <c r="B118" s="73">
        <v>53205080000000</v>
      </c>
      <c r="C118" s="100" t="s">
        <v>133</v>
      </c>
      <c r="D118" s="83"/>
      <c r="E118" s="84"/>
      <c r="F118" s="85"/>
      <c r="G118" s="86">
        <f>E118*F118</f>
        <v>0</v>
      </c>
      <c r="H118" s="87">
        <f>D118+G118</f>
        <v>0</v>
      </c>
      <c r="I118" s="418"/>
    </row>
    <row r="119" spans="1:9" x14ac:dyDescent="0.35">
      <c r="A119" s="1327"/>
      <c r="B119" s="73">
        <v>53205990000000</v>
      </c>
      <c r="C119" s="95" t="s">
        <v>134</v>
      </c>
      <c r="D119" s="92"/>
      <c r="E119" s="93"/>
      <c r="F119" s="94"/>
      <c r="G119" s="86">
        <f>E119*F119</f>
        <v>0</v>
      </c>
      <c r="H119" s="87">
        <f>D119+G119</f>
        <v>0</v>
      </c>
      <c r="I119" s="418"/>
    </row>
    <row r="120" spans="1:9" x14ac:dyDescent="0.35">
      <c r="A120" s="1327"/>
      <c r="B120" s="68"/>
      <c r="C120" s="69" t="s">
        <v>135</v>
      </c>
      <c r="D120" s="70">
        <f>SUM(D121:D130)</f>
        <v>22452439</v>
      </c>
      <c r="E120" s="88"/>
      <c r="F120" s="88"/>
      <c r="G120" s="91">
        <f>SUM(G121:G130)</f>
        <v>0</v>
      </c>
      <c r="H120" s="90">
        <f>SUM(H121:H130)</f>
        <v>22452439</v>
      </c>
      <c r="I120" s="418"/>
    </row>
    <row r="121" spans="1:9" x14ac:dyDescent="0.35">
      <c r="A121" s="1327"/>
      <c r="B121" s="73">
        <v>53203010200000</v>
      </c>
      <c r="C121" s="74" t="s">
        <v>136</v>
      </c>
      <c r="D121" s="83"/>
      <c r="E121" s="83"/>
      <c r="F121" s="85"/>
      <c r="G121" s="86">
        <f t="shared" ref="G121:G130" si="6">E121*F121</f>
        <v>0</v>
      </c>
      <c r="H121" s="87">
        <f t="shared" ref="H121:H130" si="7">D121+G121</f>
        <v>0</v>
      </c>
      <c r="I121" s="418"/>
    </row>
    <row r="122" spans="1:9" x14ac:dyDescent="0.35">
      <c r="A122" s="1327"/>
      <c r="B122" s="73">
        <v>53204010000000</v>
      </c>
      <c r="C122" s="74" t="s">
        <v>137</v>
      </c>
      <c r="D122" s="92">
        <v>50391</v>
      </c>
      <c r="E122" s="92"/>
      <c r="F122" s="94"/>
      <c r="G122" s="86">
        <f t="shared" si="6"/>
        <v>0</v>
      </c>
      <c r="H122" s="87">
        <f t="shared" si="7"/>
        <v>50391</v>
      </c>
      <c r="I122" s="418"/>
    </row>
    <row r="123" spans="1:9" x14ac:dyDescent="0.35">
      <c r="A123" s="1327"/>
      <c r="B123" s="73">
        <v>53204040200000</v>
      </c>
      <c r="C123" s="100" t="s">
        <v>138</v>
      </c>
      <c r="D123" s="970">
        <v>1043640</v>
      </c>
      <c r="E123" s="92"/>
      <c r="F123" s="94"/>
      <c r="G123" s="86">
        <f t="shared" si="6"/>
        <v>0</v>
      </c>
      <c r="H123" s="87">
        <f t="shared" si="7"/>
        <v>1043640</v>
      </c>
      <c r="I123" s="418"/>
    </row>
    <row r="124" spans="1:9" x14ac:dyDescent="0.35">
      <c r="A124" s="1327"/>
      <c r="B124" s="73">
        <v>53204060000000</v>
      </c>
      <c r="C124" s="100" t="s">
        <v>139</v>
      </c>
      <c r="D124" s="92"/>
      <c r="E124" s="92"/>
      <c r="F124" s="94"/>
      <c r="G124" s="86">
        <f t="shared" si="6"/>
        <v>0</v>
      </c>
      <c r="H124" s="87">
        <f t="shared" si="7"/>
        <v>0</v>
      </c>
      <c r="I124" s="418"/>
    </row>
    <row r="125" spans="1:9" x14ac:dyDescent="0.35">
      <c r="A125" s="1327"/>
      <c r="B125" s="73">
        <v>53204070000000</v>
      </c>
      <c r="C125" s="95" t="s">
        <v>140</v>
      </c>
      <c r="D125" s="92">
        <v>11858408</v>
      </c>
      <c r="E125" s="92"/>
      <c r="F125" s="94"/>
      <c r="G125" s="86">
        <f t="shared" si="6"/>
        <v>0</v>
      </c>
      <c r="H125" s="87">
        <f>D125+G125</f>
        <v>11858408</v>
      </c>
      <c r="I125" s="418"/>
    </row>
    <row r="126" spans="1:9" x14ac:dyDescent="0.35">
      <c r="A126" s="1327"/>
      <c r="B126" s="73">
        <v>53204080000000</v>
      </c>
      <c r="C126" s="100" t="s">
        <v>141</v>
      </c>
      <c r="D126" s="970">
        <v>4000000</v>
      </c>
      <c r="E126" s="92"/>
      <c r="F126" s="94"/>
      <c r="G126" s="86">
        <f t="shared" si="6"/>
        <v>0</v>
      </c>
      <c r="H126" s="87">
        <f t="shared" si="7"/>
        <v>4000000</v>
      </c>
      <c r="I126" s="418"/>
    </row>
    <row r="127" spans="1:9" x14ac:dyDescent="0.35">
      <c r="A127" s="1327"/>
      <c r="B127" s="73">
        <v>53214010000000</v>
      </c>
      <c r="C127" s="100" t="s">
        <v>142</v>
      </c>
      <c r="D127" s="971">
        <v>5500000</v>
      </c>
      <c r="E127" s="83"/>
      <c r="F127" s="85"/>
      <c r="G127" s="86">
        <f t="shared" si="6"/>
        <v>0</v>
      </c>
      <c r="H127" s="87">
        <f t="shared" si="7"/>
        <v>5500000</v>
      </c>
      <c r="I127" s="418"/>
    </row>
    <row r="128" spans="1:9" x14ac:dyDescent="0.35">
      <c r="A128" s="1327"/>
      <c r="B128" s="73">
        <v>53214040000000</v>
      </c>
      <c r="C128" s="74" t="s">
        <v>143</v>
      </c>
      <c r="D128" s="971">
        <v>0</v>
      </c>
      <c r="E128" s="83"/>
      <c r="F128" s="85"/>
      <c r="G128" s="86">
        <f t="shared" si="6"/>
        <v>0</v>
      </c>
      <c r="H128" s="87">
        <f t="shared" si="7"/>
        <v>0</v>
      </c>
      <c r="I128" s="418"/>
    </row>
    <row r="129" spans="1:9" x14ac:dyDescent="0.35">
      <c r="A129" s="1327"/>
      <c r="B129" s="73">
        <v>55201010100004</v>
      </c>
      <c r="C129" s="74" t="s">
        <v>144</v>
      </c>
      <c r="D129" s="83">
        <v>0</v>
      </c>
      <c r="E129" s="83"/>
      <c r="F129" s="85"/>
      <c r="G129" s="86">
        <f>E129*F129</f>
        <v>0</v>
      </c>
      <c r="H129" s="87">
        <f t="shared" si="7"/>
        <v>0</v>
      </c>
      <c r="I129" s="418"/>
    </row>
    <row r="130" spans="1:9" x14ac:dyDescent="0.35">
      <c r="A130" s="1327"/>
      <c r="B130" s="73">
        <v>55201010100005</v>
      </c>
      <c r="C130" s="74" t="s">
        <v>145</v>
      </c>
      <c r="D130" s="83">
        <v>0</v>
      </c>
      <c r="E130" s="83"/>
      <c r="F130" s="85"/>
      <c r="G130" s="86">
        <f t="shared" si="6"/>
        <v>0</v>
      </c>
      <c r="H130" s="87">
        <f t="shared" si="7"/>
        <v>0</v>
      </c>
      <c r="I130" s="418"/>
    </row>
    <row r="131" spans="1:9" x14ac:dyDescent="0.35">
      <c r="A131" s="1327"/>
      <c r="B131" s="68"/>
      <c r="C131" s="69" t="s">
        <v>146</v>
      </c>
      <c r="D131" s="70">
        <f>SUM(D132:D140)</f>
        <v>3962031.9249999998</v>
      </c>
      <c r="E131" s="88"/>
      <c r="F131" s="88"/>
      <c r="G131" s="91">
        <f>SUM(G132:G140)</f>
        <v>1551312</v>
      </c>
      <c r="H131" s="90">
        <f>SUM(H132:H140)</f>
        <v>5513343.9249999998</v>
      </c>
      <c r="I131" s="418"/>
    </row>
    <row r="132" spans="1:9" x14ac:dyDescent="0.35">
      <c r="A132" s="1327"/>
      <c r="B132" s="73">
        <v>53207010000000</v>
      </c>
      <c r="C132" s="74" t="s">
        <v>147</v>
      </c>
      <c r="D132" s="92">
        <v>250000</v>
      </c>
      <c r="E132" s="92"/>
      <c r="F132" s="94"/>
      <c r="G132" s="86">
        <f t="shared" ref="G132:G140" si="8">E132*F132</f>
        <v>0</v>
      </c>
      <c r="H132" s="87">
        <f t="shared" ref="H132:H140" si="9">D132+G132</f>
        <v>250000</v>
      </c>
      <c r="I132" s="418"/>
    </row>
    <row r="133" spans="1:9" x14ac:dyDescent="0.35">
      <c r="A133" s="1327"/>
      <c r="B133" s="73">
        <v>53207020000000</v>
      </c>
      <c r="C133" s="74" t="s">
        <v>148</v>
      </c>
      <c r="D133" s="92">
        <v>283500</v>
      </c>
      <c r="E133" s="92"/>
      <c r="F133" s="94"/>
      <c r="G133" s="86">
        <f t="shared" si="8"/>
        <v>0</v>
      </c>
      <c r="H133" s="87">
        <f t="shared" si="9"/>
        <v>283500</v>
      </c>
      <c r="I133" s="418"/>
    </row>
    <row r="134" spans="1:9" x14ac:dyDescent="0.35">
      <c r="A134" s="1327"/>
      <c r="B134" s="73">
        <v>53208020000000</v>
      </c>
      <c r="C134" s="74" t="s">
        <v>149</v>
      </c>
      <c r="D134" s="92">
        <v>0</v>
      </c>
      <c r="E134" s="92"/>
      <c r="F134" s="94"/>
      <c r="G134" s="86">
        <f t="shared" si="8"/>
        <v>0</v>
      </c>
      <c r="H134" s="87">
        <f t="shared" si="9"/>
        <v>0</v>
      </c>
      <c r="I134" s="418"/>
    </row>
    <row r="135" spans="1:9" x14ac:dyDescent="0.35">
      <c r="A135" s="1327"/>
      <c r="B135" s="73">
        <v>53208990000000</v>
      </c>
      <c r="C135" s="74" t="s">
        <v>150</v>
      </c>
      <c r="D135" s="92">
        <v>3428531.9249999998</v>
      </c>
      <c r="E135" s="92">
        <f>123120*1.05</f>
        <v>129276</v>
      </c>
      <c r="F135" s="94">
        <v>12</v>
      </c>
      <c r="G135" s="86">
        <f t="shared" si="8"/>
        <v>1551312</v>
      </c>
      <c r="H135" s="87">
        <f t="shared" si="9"/>
        <v>4979843.9249999998</v>
      </c>
      <c r="I135" s="418"/>
    </row>
    <row r="136" spans="1:9" x14ac:dyDescent="0.35">
      <c r="A136" s="1327"/>
      <c r="B136" s="73">
        <v>53209010000000</v>
      </c>
      <c r="C136" s="74" t="s">
        <v>151</v>
      </c>
      <c r="D136" s="92">
        <v>0</v>
      </c>
      <c r="E136" s="92"/>
      <c r="F136" s="94"/>
      <c r="G136" s="86">
        <f t="shared" si="8"/>
        <v>0</v>
      </c>
      <c r="H136" s="87">
        <f t="shared" si="9"/>
        <v>0</v>
      </c>
      <c r="I136" s="418"/>
    </row>
    <row r="137" spans="1:9" x14ac:dyDescent="0.35">
      <c r="A137" s="1327"/>
      <c r="B137" s="73">
        <v>53209040000000</v>
      </c>
      <c r="C137" s="74" t="s">
        <v>152</v>
      </c>
      <c r="D137" s="92">
        <v>0</v>
      </c>
      <c r="E137" s="92"/>
      <c r="F137" s="94"/>
      <c r="G137" s="86">
        <f t="shared" si="8"/>
        <v>0</v>
      </c>
      <c r="H137" s="87">
        <f t="shared" si="9"/>
        <v>0</v>
      </c>
      <c r="I137" s="418"/>
    </row>
    <row r="138" spans="1:9" x14ac:dyDescent="0.35">
      <c r="A138" s="1327"/>
      <c r="B138" s="73">
        <v>53209050000000</v>
      </c>
      <c r="C138" s="74" t="s">
        <v>153</v>
      </c>
      <c r="D138" s="92">
        <v>0</v>
      </c>
      <c r="E138" s="92"/>
      <c r="F138" s="94"/>
      <c r="G138" s="86">
        <f t="shared" si="8"/>
        <v>0</v>
      </c>
      <c r="H138" s="87">
        <f t="shared" si="9"/>
        <v>0</v>
      </c>
      <c r="I138" s="418"/>
    </row>
    <row r="139" spans="1:9" x14ac:dyDescent="0.35">
      <c r="A139" s="1327"/>
      <c r="B139" s="73">
        <v>53209990000000</v>
      </c>
      <c r="C139" s="74" t="s">
        <v>154</v>
      </c>
      <c r="D139" s="92">
        <v>0</v>
      </c>
      <c r="E139" s="92"/>
      <c r="F139" s="94"/>
      <c r="G139" s="86">
        <f t="shared" si="8"/>
        <v>0</v>
      </c>
      <c r="H139" s="87">
        <f t="shared" si="9"/>
        <v>0</v>
      </c>
      <c r="I139" s="418"/>
    </row>
    <row r="140" spans="1:9" x14ac:dyDescent="0.35">
      <c r="A140" s="1327"/>
      <c r="B140" s="73">
        <v>53210020100000</v>
      </c>
      <c r="C140" s="74" t="s">
        <v>155</v>
      </c>
      <c r="D140" s="92">
        <v>0</v>
      </c>
      <c r="E140" s="92"/>
      <c r="F140" s="94"/>
      <c r="G140" s="86">
        <f t="shared" si="8"/>
        <v>0</v>
      </c>
      <c r="H140" s="87">
        <f t="shared" si="9"/>
        <v>0</v>
      </c>
      <c r="I140" s="418"/>
    </row>
    <row r="141" spans="1:9" x14ac:dyDescent="0.35">
      <c r="A141" s="1327"/>
      <c r="B141" s="68"/>
      <c r="C141" s="69" t="s">
        <v>156</v>
      </c>
      <c r="D141" s="70">
        <f>SUM(D142:D148)</f>
        <v>37920360.625</v>
      </c>
      <c r="E141" s="88"/>
      <c r="F141" s="88"/>
      <c r="G141" s="91">
        <f>SUM(G142:G148)</f>
        <v>0</v>
      </c>
      <c r="H141" s="90">
        <f>SUM(H142:H148)</f>
        <v>37920360.625</v>
      </c>
      <c r="I141" s="418"/>
    </row>
    <row r="142" spans="1:9" x14ac:dyDescent="0.35">
      <c r="A142" s="1327"/>
      <c r="B142" s="73">
        <v>53206030000000</v>
      </c>
      <c r="C142" s="74" t="s">
        <v>157</v>
      </c>
      <c r="D142" s="92">
        <v>0</v>
      </c>
      <c r="E142" s="92"/>
      <c r="F142" s="94"/>
      <c r="G142" s="86">
        <f t="shared" ref="G142:G148" si="10">E142*F142</f>
        <v>0</v>
      </c>
      <c r="H142" s="87">
        <f t="shared" ref="H142:H148" si="11">D142+G142</f>
        <v>0</v>
      </c>
      <c r="I142" s="418"/>
    </row>
    <row r="143" spans="1:9" x14ac:dyDescent="0.35">
      <c r="A143" s="1327"/>
      <c r="B143" s="73">
        <v>53206040000000</v>
      </c>
      <c r="C143" s="74" t="s">
        <v>158</v>
      </c>
      <c r="D143" s="92">
        <v>0</v>
      </c>
      <c r="E143" s="92"/>
      <c r="F143" s="94"/>
      <c r="G143" s="86">
        <f t="shared" si="10"/>
        <v>0</v>
      </c>
      <c r="H143" s="87">
        <f t="shared" si="11"/>
        <v>0</v>
      </c>
      <c r="I143" s="418"/>
    </row>
    <row r="144" spans="1:9" x14ac:dyDescent="0.35">
      <c r="A144" s="1327"/>
      <c r="B144" s="73">
        <v>53206060000000</v>
      </c>
      <c r="C144" s="74" t="s">
        <v>159</v>
      </c>
      <c r="D144" s="92">
        <v>0</v>
      </c>
      <c r="E144" s="92"/>
      <c r="F144" s="94"/>
      <c r="G144" s="86">
        <f t="shared" si="10"/>
        <v>0</v>
      </c>
      <c r="H144" s="87">
        <f t="shared" si="11"/>
        <v>0</v>
      </c>
      <c r="I144" s="418"/>
    </row>
    <row r="145" spans="1:9" x14ac:dyDescent="0.35">
      <c r="A145" s="1327"/>
      <c r="B145" s="73">
        <v>53206070000000</v>
      </c>
      <c r="C145" s="74" t="s">
        <v>160</v>
      </c>
      <c r="D145" s="92">
        <v>0</v>
      </c>
      <c r="E145" s="92"/>
      <c r="F145" s="94"/>
      <c r="G145" s="86">
        <f t="shared" si="10"/>
        <v>0</v>
      </c>
      <c r="H145" s="87">
        <f t="shared" si="11"/>
        <v>0</v>
      </c>
      <c r="I145" s="418"/>
    </row>
    <row r="146" spans="1:9" x14ac:dyDescent="0.35">
      <c r="A146" s="1327"/>
      <c r="B146" s="73">
        <v>53206990000000</v>
      </c>
      <c r="C146" s="74" t="s">
        <v>161</v>
      </c>
      <c r="D146" s="92">
        <v>7000000</v>
      </c>
      <c r="E146" s="92"/>
      <c r="F146" s="94"/>
      <c r="G146" s="86">
        <f t="shared" si="10"/>
        <v>0</v>
      </c>
      <c r="H146" s="87">
        <f t="shared" si="11"/>
        <v>7000000</v>
      </c>
      <c r="I146" s="418"/>
    </row>
    <row r="147" spans="1:9" x14ac:dyDescent="0.35">
      <c r="A147" s="1327"/>
      <c r="B147" s="73">
        <v>53208030000000</v>
      </c>
      <c r="C147" s="74" t="s">
        <v>162</v>
      </c>
      <c r="D147" s="92">
        <v>0</v>
      </c>
      <c r="E147" s="92"/>
      <c r="F147" s="94"/>
      <c r="G147" s="86">
        <f t="shared" si="10"/>
        <v>0</v>
      </c>
      <c r="H147" s="87">
        <f t="shared" si="11"/>
        <v>0</v>
      </c>
      <c r="I147" s="418"/>
    </row>
    <row r="148" spans="1:9" x14ac:dyDescent="0.35">
      <c r="A148" s="1327"/>
      <c r="B148" s="73">
        <v>53212060000000</v>
      </c>
      <c r="C148" s="74" t="s">
        <v>163</v>
      </c>
      <c r="D148" s="83">
        <v>30920360.625</v>
      </c>
      <c r="E148" s="83"/>
      <c r="F148" s="85"/>
      <c r="G148" s="86">
        <f t="shared" si="10"/>
        <v>0</v>
      </c>
      <c r="H148" s="87">
        <f t="shared" si="11"/>
        <v>30920360.625</v>
      </c>
      <c r="I148" s="490" t="s">
        <v>605</v>
      </c>
    </row>
    <row r="149" spans="1:9" x14ac:dyDescent="0.35">
      <c r="A149" s="1327"/>
      <c r="B149" s="68"/>
      <c r="C149" s="69" t="s">
        <v>164</v>
      </c>
      <c r="D149" s="70">
        <f>SUM(D150:D151)</f>
        <v>9411378.375</v>
      </c>
      <c r="E149" s="88"/>
      <c r="F149" s="88"/>
      <c r="G149" s="91">
        <f>SUM(G150:G151)</f>
        <v>0</v>
      </c>
      <c r="H149" s="90">
        <f>SUM(H150:H151)</f>
        <v>9411378.375</v>
      </c>
      <c r="I149" s="418"/>
    </row>
    <row r="150" spans="1:9" x14ac:dyDescent="0.35">
      <c r="A150" s="1327"/>
      <c r="B150" s="73">
        <v>53210020500000</v>
      </c>
      <c r="C150" s="74" t="s">
        <v>165</v>
      </c>
      <c r="D150" s="83">
        <v>2048135.25</v>
      </c>
      <c r="E150" s="83"/>
      <c r="F150" s="85"/>
      <c r="G150" s="86">
        <f>E150*F150</f>
        <v>0</v>
      </c>
      <c r="H150" s="102">
        <f>D150+G150</f>
        <v>2048135.25</v>
      </c>
      <c r="I150" s="418"/>
    </row>
    <row r="151" spans="1:9" x14ac:dyDescent="0.35">
      <c r="A151" s="1327"/>
      <c r="B151" s="103">
        <v>53204999000000</v>
      </c>
      <c r="C151" s="104" t="s">
        <v>166</v>
      </c>
      <c r="D151" s="92">
        <v>7363243.125</v>
      </c>
      <c r="E151" s="92"/>
      <c r="F151" s="94"/>
      <c r="G151" s="105">
        <f>E151*F151</f>
        <v>0</v>
      </c>
      <c r="H151" s="102">
        <f>D151+G151</f>
        <v>7363243.125</v>
      </c>
      <c r="I151" s="418" t="s">
        <v>607</v>
      </c>
    </row>
    <row r="152" spans="1:9" x14ac:dyDescent="0.35">
      <c r="A152" s="1328"/>
      <c r="B152" s="106"/>
      <c r="C152" s="107" t="s">
        <v>12</v>
      </c>
      <c r="D152" s="108">
        <f>SUM(D83,D111)</f>
        <v>433675207.90812498</v>
      </c>
      <c r="E152" s="109"/>
      <c r="F152" s="109"/>
      <c r="G152" s="108">
        <f>SUM(G83,G111)</f>
        <v>37463815</v>
      </c>
      <c r="H152" s="110">
        <f>SUM(H83,H111)</f>
        <v>471139022.90812498</v>
      </c>
      <c r="I152" s="418"/>
    </row>
    <row r="153" spans="1:9" x14ac:dyDescent="0.35">
      <c r="A153" s="1310" t="s">
        <v>25</v>
      </c>
      <c r="B153" s="1312" t="s">
        <v>90</v>
      </c>
      <c r="C153" s="1314" t="s">
        <v>91</v>
      </c>
      <c r="D153" s="1316" t="s">
        <v>92</v>
      </c>
      <c r="E153" s="1318" t="s">
        <v>93</v>
      </c>
      <c r="F153" s="1319"/>
      <c r="G153" s="1320"/>
      <c r="H153" s="1321" t="str">
        <f>+H81</f>
        <v>COSTO DIRECTO ESTIMADO 2026</v>
      </c>
      <c r="I153" s="1309" t="s">
        <v>94</v>
      </c>
    </row>
    <row r="154" spans="1:9" ht="26" x14ac:dyDescent="0.35">
      <c r="A154" s="1311"/>
      <c r="B154" s="1313"/>
      <c r="C154" s="1315"/>
      <c r="D154" s="1317"/>
      <c r="E154" s="60" t="s">
        <v>95</v>
      </c>
      <c r="F154" s="61" t="s">
        <v>96</v>
      </c>
      <c r="G154" s="62" t="s">
        <v>97</v>
      </c>
      <c r="H154" s="1322"/>
      <c r="I154" s="1309"/>
    </row>
    <row r="155" spans="1:9" x14ac:dyDescent="0.35">
      <c r="A155" s="1326" t="str">
        <f>+'B) Reajuste Tarifas y Ocupación'!A28</f>
        <v>Cabañas C.N.C. Tumbes</v>
      </c>
      <c r="B155" s="63"/>
      <c r="C155" s="64" t="s">
        <v>98</v>
      </c>
      <c r="D155" s="65">
        <f>SUM(D156,D161,D163)</f>
        <v>18597926.571249999</v>
      </c>
      <c r="E155" s="66"/>
      <c r="F155" s="66"/>
      <c r="G155" s="65">
        <f>SUM(G156,G161,G163)</f>
        <v>9172075.2560894601</v>
      </c>
      <c r="H155" s="67">
        <f>SUM(H156,H161,H163)</f>
        <v>27770001.827339463</v>
      </c>
      <c r="I155" s="418"/>
    </row>
    <row r="156" spans="1:9" x14ac:dyDescent="0.35">
      <c r="A156" s="1327"/>
      <c r="B156" s="68"/>
      <c r="C156" s="69" t="s">
        <v>99</v>
      </c>
      <c r="D156" s="70">
        <f>SUM(D157:D160)</f>
        <v>9161285.7212499995</v>
      </c>
      <c r="E156" s="71"/>
      <c r="F156" s="71"/>
      <c r="G156" s="70">
        <f>SUM(G157:G160)</f>
        <v>0</v>
      </c>
      <c r="H156" s="72">
        <f>SUM(H157:H160)</f>
        <v>9161285.7212499995</v>
      </c>
      <c r="I156" s="418"/>
    </row>
    <row r="157" spans="1:9" x14ac:dyDescent="0.35">
      <c r="A157" s="1327"/>
      <c r="B157" s="73">
        <v>53103040100000</v>
      </c>
      <c r="C157" s="74" t="s">
        <v>100</v>
      </c>
      <c r="D157" s="75">
        <f>+'F) Remuneraciones'!M70</f>
        <v>9161285.7212499995</v>
      </c>
      <c r="E157" s="76"/>
      <c r="F157" s="76"/>
      <c r="G157" s="76"/>
      <c r="H157" s="77">
        <f>D157+G157</f>
        <v>9161285.7212499995</v>
      </c>
      <c r="I157" s="418"/>
    </row>
    <row r="158" spans="1:9" x14ac:dyDescent="0.35">
      <c r="A158" s="1327"/>
      <c r="B158" s="73">
        <v>53103050000000</v>
      </c>
      <c r="C158" s="74" t="s">
        <v>101</v>
      </c>
      <c r="D158" s="78">
        <v>0</v>
      </c>
      <c r="E158" s="79"/>
      <c r="F158" s="80"/>
      <c r="G158" s="81">
        <f>E158*F158</f>
        <v>0</v>
      </c>
      <c r="H158" s="82">
        <f>D158+G158</f>
        <v>0</v>
      </c>
      <c r="I158" s="418"/>
    </row>
    <row r="159" spans="1:9" x14ac:dyDescent="0.35">
      <c r="A159" s="1327"/>
      <c r="B159" s="73">
        <v>53103060000000</v>
      </c>
      <c r="C159" s="74" t="s">
        <v>102</v>
      </c>
      <c r="D159" s="83">
        <v>0</v>
      </c>
      <c r="E159" s="84"/>
      <c r="F159" s="85"/>
      <c r="G159" s="86">
        <f>E159*F159</f>
        <v>0</v>
      </c>
      <c r="H159" s="87">
        <f>D159+G159</f>
        <v>0</v>
      </c>
      <c r="I159" s="418"/>
    </row>
    <row r="160" spans="1:9" x14ac:dyDescent="0.35">
      <c r="A160" s="1327"/>
      <c r="B160" s="73">
        <v>53103080010000</v>
      </c>
      <c r="C160" s="74" t="s">
        <v>103</v>
      </c>
      <c r="D160" s="83">
        <v>0</v>
      </c>
      <c r="E160" s="84"/>
      <c r="F160" s="85"/>
      <c r="G160" s="86">
        <f>E160*F160</f>
        <v>0</v>
      </c>
      <c r="H160" s="87">
        <f>D160+G160</f>
        <v>0</v>
      </c>
      <c r="I160" s="418"/>
    </row>
    <row r="161" spans="1:9" x14ac:dyDescent="0.35">
      <c r="A161" s="1327"/>
      <c r="B161" s="68"/>
      <c r="C161" s="69" t="s">
        <v>104</v>
      </c>
      <c r="D161" s="70">
        <f>SUM(D162)</f>
        <v>0</v>
      </c>
      <c r="E161" s="88"/>
      <c r="F161" s="88"/>
      <c r="G161" s="89">
        <f>SUM(G162:G162)</f>
        <v>0</v>
      </c>
      <c r="H161" s="90">
        <f>SUM(H162:H162)</f>
        <v>0</v>
      </c>
      <c r="I161" s="418"/>
    </row>
    <row r="162" spans="1:9" x14ac:dyDescent="0.35">
      <c r="A162" s="1327"/>
      <c r="B162" s="73">
        <v>55201010100001</v>
      </c>
      <c r="C162" s="74" t="s">
        <v>105</v>
      </c>
      <c r="D162" s="83">
        <v>0</v>
      </c>
      <c r="E162" s="84"/>
      <c r="F162" s="85"/>
      <c r="G162" s="86">
        <f>E162*F162</f>
        <v>0</v>
      </c>
      <c r="H162" s="87">
        <f>D162+G162</f>
        <v>0</v>
      </c>
      <c r="I162" s="418"/>
    </row>
    <row r="163" spans="1:9" x14ac:dyDescent="0.35">
      <c r="A163" s="1327"/>
      <c r="B163" s="68"/>
      <c r="C163" s="69" t="s">
        <v>106</v>
      </c>
      <c r="D163" s="70">
        <f>SUM(D164:D182)</f>
        <v>9436640.8499999996</v>
      </c>
      <c r="E163" s="88"/>
      <c r="F163" s="88"/>
      <c r="G163" s="91">
        <f>SUM(G164:G182)</f>
        <v>9172075.2560894601</v>
      </c>
      <c r="H163" s="90">
        <f>SUM(H164:H182)</f>
        <v>18608716.106089462</v>
      </c>
      <c r="I163" s="418"/>
    </row>
    <row r="164" spans="1:9" x14ac:dyDescent="0.35">
      <c r="A164" s="1327"/>
      <c r="B164" s="73">
        <v>53201010100000</v>
      </c>
      <c r="C164" s="74" t="s">
        <v>107</v>
      </c>
      <c r="D164" s="83">
        <v>0</v>
      </c>
      <c r="E164" s="84">
        <v>2538</v>
      </c>
      <c r="F164" s="85">
        <v>240</v>
      </c>
      <c r="G164" s="86">
        <f t="shared" ref="G164:G182" si="12">E164*F164</f>
        <v>609120</v>
      </c>
      <c r="H164" s="87">
        <f>D164+G164</f>
        <v>609120</v>
      </c>
      <c r="I164" s="418"/>
    </row>
    <row r="165" spans="1:9" x14ac:dyDescent="0.35">
      <c r="A165" s="1327"/>
      <c r="B165" s="73">
        <v>53202010100000</v>
      </c>
      <c r="C165" s="74" t="s">
        <v>108</v>
      </c>
      <c r="D165" s="971">
        <v>1800000</v>
      </c>
      <c r="E165" s="84"/>
      <c r="F165" s="85"/>
      <c r="G165" s="86">
        <f t="shared" si="12"/>
        <v>0</v>
      </c>
      <c r="H165" s="87">
        <f t="shared" ref="H165:H182" si="13">D165+G165</f>
        <v>1800000</v>
      </c>
      <c r="I165" s="418"/>
    </row>
    <row r="166" spans="1:9" x14ac:dyDescent="0.35">
      <c r="A166" s="1327"/>
      <c r="B166" s="73">
        <v>53203010100000</v>
      </c>
      <c r="C166" s="74" t="s">
        <v>109</v>
      </c>
      <c r="D166" s="92">
        <v>0</v>
      </c>
      <c r="E166" s="93"/>
      <c r="F166" s="94"/>
      <c r="G166" s="86">
        <f t="shared" si="12"/>
        <v>0</v>
      </c>
      <c r="H166" s="87">
        <f t="shared" si="13"/>
        <v>0</v>
      </c>
      <c r="I166" s="418"/>
    </row>
    <row r="167" spans="1:9" x14ac:dyDescent="0.35">
      <c r="A167" s="1327"/>
      <c r="B167" s="73">
        <v>53203030000000</v>
      </c>
      <c r="C167" s="74" t="s">
        <v>110</v>
      </c>
      <c r="D167" s="92">
        <v>0</v>
      </c>
      <c r="E167" s="93"/>
      <c r="F167" s="94"/>
      <c r="G167" s="86">
        <f t="shared" si="12"/>
        <v>0</v>
      </c>
      <c r="H167" s="87">
        <f t="shared" si="13"/>
        <v>0</v>
      </c>
      <c r="I167" s="418"/>
    </row>
    <row r="168" spans="1:9" x14ac:dyDescent="0.35">
      <c r="A168" s="1327"/>
      <c r="B168" s="73">
        <v>53204030000000</v>
      </c>
      <c r="C168" s="74" t="s">
        <v>111</v>
      </c>
      <c r="D168" s="92">
        <v>0</v>
      </c>
      <c r="E168" s="93"/>
      <c r="F168" s="94"/>
      <c r="G168" s="86">
        <f t="shared" si="12"/>
        <v>0</v>
      </c>
      <c r="H168" s="87">
        <f t="shared" si="13"/>
        <v>0</v>
      </c>
      <c r="I168" s="418"/>
    </row>
    <row r="169" spans="1:9" x14ac:dyDescent="0.35">
      <c r="A169" s="1327"/>
      <c r="B169" s="73">
        <v>53204100100001</v>
      </c>
      <c r="C169" s="74" t="s">
        <v>112</v>
      </c>
      <c r="D169" s="92">
        <v>818154</v>
      </c>
      <c r="E169" s="93"/>
      <c r="F169" s="94"/>
      <c r="G169" s="86">
        <f t="shared" si="12"/>
        <v>0</v>
      </c>
      <c r="H169" s="87">
        <f t="shared" si="13"/>
        <v>818154</v>
      </c>
      <c r="I169" s="418"/>
    </row>
    <row r="170" spans="1:9" x14ac:dyDescent="0.35">
      <c r="A170" s="1327"/>
      <c r="B170" s="73">
        <v>53204130100000</v>
      </c>
      <c r="C170" s="74" t="s">
        <v>113</v>
      </c>
      <c r="D170" s="92">
        <v>0</v>
      </c>
      <c r="E170" s="93"/>
      <c r="F170" s="94"/>
      <c r="G170" s="86">
        <f t="shared" si="12"/>
        <v>0</v>
      </c>
      <c r="H170" s="87">
        <f t="shared" si="13"/>
        <v>0</v>
      </c>
      <c r="I170" s="418"/>
    </row>
    <row r="171" spans="1:9" x14ac:dyDescent="0.35">
      <c r="A171" s="1327"/>
      <c r="B171" s="73">
        <v>53205010100000</v>
      </c>
      <c r="C171" s="95" t="s">
        <v>114</v>
      </c>
      <c r="D171" s="92">
        <v>0</v>
      </c>
      <c r="E171" s="93">
        <v>332.31</v>
      </c>
      <c r="F171" s="94">
        <v>9610.5591346153851</v>
      </c>
      <c r="G171" s="86">
        <f t="shared" si="12"/>
        <v>3193684.9060240388</v>
      </c>
      <c r="H171" s="87">
        <f t="shared" si="13"/>
        <v>3193684.9060240388</v>
      </c>
      <c r="I171" s="418"/>
    </row>
    <row r="172" spans="1:9" x14ac:dyDescent="0.35">
      <c r="A172" s="1327"/>
      <c r="B172" s="73">
        <v>53205020100000</v>
      </c>
      <c r="C172" s="95" t="s">
        <v>115</v>
      </c>
      <c r="D172" s="92">
        <v>0</v>
      </c>
      <c r="E172" s="93">
        <v>702.24</v>
      </c>
      <c r="F172" s="94">
        <v>948.95957943925237</v>
      </c>
      <c r="G172" s="86">
        <f t="shared" si="12"/>
        <v>666397.37506542064</v>
      </c>
      <c r="H172" s="87">
        <f t="shared" si="13"/>
        <v>666397.37506542064</v>
      </c>
      <c r="I172" s="418"/>
    </row>
    <row r="173" spans="1:9" x14ac:dyDescent="0.35">
      <c r="A173" s="1327"/>
      <c r="B173" s="73">
        <v>53205030100000</v>
      </c>
      <c r="C173" s="95" t="s">
        <v>116</v>
      </c>
      <c r="D173" s="92">
        <v>0</v>
      </c>
      <c r="E173" s="93">
        <v>903</v>
      </c>
      <c r="F173" s="94">
        <v>3819.6156976744187</v>
      </c>
      <c r="G173" s="86">
        <f t="shared" si="12"/>
        <v>3449112.9750000001</v>
      </c>
      <c r="H173" s="87">
        <f t="shared" si="13"/>
        <v>3449112.9750000001</v>
      </c>
      <c r="I173" s="418"/>
    </row>
    <row r="174" spans="1:9" x14ac:dyDescent="0.35">
      <c r="A174" s="1327"/>
      <c r="B174" s="73">
        <v>53205050100000</v>
      </c>
      <c r="C174" s="74" t="s">
        <v>117</v>
      </c>
      <c r="D174" s="92">
        <v>0</v>
      </c>
      <c r="E174" s="93"/>
      <c r="F174" s="94"/>
      <c r="G174" s="86">
        <f t="shared" si="12"/>
        <v>0</v>
      </c>
      <c r="H174" s="87">
        <f t="shared" si="13"/>
        <v>0</v>
      </c>
      <c r="I174" s="418"/>
    </row>
    <row r="175" spans="1:9" x14ac:dyDescent="0.35">
      <c r="A175" s="1327"/>
      <c r="B175" s="73">
        <v>53205060100000</v>
      </c>
      <c r="C175" s="74" t="s">
        <v>118</v>
      </c>
      <c r="D175" s="92">
        <v>0</v>
      </c>
      <c r="E175" s="93"/>
      <c r="F175" s="94"/>
      <c r="G175" s="86">
        <f t="shared" si="12"/>
        <v>0</v>
      </c>
      <c r="H175" s="87">
        <f t="shared" si="13"/>
        <v>0</v>
      </c>
      <c r="I175" s="418"/>
    </row>
    <row r="176" spans="1:9" x14ac:dyDescent="0.35">
      <c r="A176" s="1327"/>
      <c r="B176" s="73">
        <v>53205070100000</v>
      </c>
      <c r="C176" s="95" t="s">
        <v>119</v>
      </c>
      <c r="D176" s="92">
        <v>0</v>
      </c>
      <c r="E176" s="93">
        <v>59330</v>
      </c>
      <c r="F176" s="94">
        <v>12</v>
      </c>
      <c r="G176" s="86">
        <f t="shared" si="12"/>
        <v>711960</v>
      </c>
      <c r="H176" s="87">
        <f t="shared" si="13"/>
        <v>711960</v>
      </c>
      <c r="I176" s="418"/>
    </row>
    <row r="177" spans="1:9" x14ac:dyDescent="0.35">
      <c r="A177" s="1327"/>
      <c r="B177" s="73">
        <v>53208010100000</v>
      </c>
      <c r="C177" s="95" t="s">
        <v>120</v>
      </c>
      <c r="D177" s="92">
        <v>5136705</v>
      </c>
      <c r="E177" s="93">
        <f>43000*1.05</f>
        <v>45150</v>
      </c>
      <c r="F177" s="94">
        <v>12</v>
      </c>
      <c r="G177" s="86">
        <f t="shared" si="12"/>
        <v>541800</v>
      </c>
      <c r="H177" s="87">
        <f t="shared" si="13"/>
        <v>5678505</v>
      </c>
      <c r="I177" s="491"/>
    </row>
    <row r="178" spans="1:9" x14ac:dyDescent="0.35">
      <c r="A178" s="1327"/>
      <c r="B178" s="73">
        <v>53208070100001</v>
      </c>
      <c r="C178" s="74" t="s">
        <v>121</v>
      </c>
      <c r="D178" s="92">
        <v>0</v>
      </c>
      <c r="E178" s="93"/>
      <c r="F178" s="94"/>
      <c r="G178" s="86">
        <f t="shared" si="12"/>
        <v>0</v>
      </c>
      <c r="H178" s="87">
        <f t="shared" si="13"/>
        <v>0</v>
      </c>
      <c r="I178" s="418"/>
    </row>
    <row r="179" spans="1:9" x14ac:dyDescent="0.35">
      <c r="A179" s="1327"/>
      <c r="B179" s="73">
        <v>53208100100001</v>
      </c>
      <c r="C179" s="74" t="s">
        <v>122</v>
      </c>
      <c r="D179" s="92">
        <v>0</v>
      </c>
      <c r="E179" s="93"/>
      <c r="F179" s="94"/>
      <c r="G179" s="86">
        <f t="shared" si="12"/>
        <v>0</v>
      </c>
      <c r="H179" s="87">
        <f t="shared" si="13"/>
        <v>0</v>
      </c>
      <c r="I179" s="418"/>
    </row>
    <row r="180" spans="1:9" x14ac:dyDescent="0.35">
      <c r="A180" s="1327"/>
      <c r="B180" s="73">
        <v>53211030000000</v>
      </c>
      <c r="C180" s="74" t="s">
        <v>123</v>
      </c>
      <c r="D180" s="92">
        <v>0</v>
      </c>
      <c r="E180" s="93"/>
      <c r="F180" s="94"/>
      <c r="G180" s="86">
        <f t="shared" si="12"/>
        <v>0</v>
      </c>
      <c r="H180" s="87">
        <f t="shared" si="13"/>
        <v>0</v>
      </c>
      <c r="I180" s="418"/>
    </row>
    <row r="181" spans="1:9" x14ac:dyDescent="0.35">
      <c r="A181" s="1327"/>
      <c r="B181" s="73">
        <v>53212020100000</v>
      </c>
      <c r="C181" s="74" t="s">
        <v>124</v>
      </c>
      <c r="D181" s="92">
        <v>1681781.85</v>
      </c>
      <c r="E181" s="93"/>
      <c r="F181" s="94"/>
      <c r="G181" s="86">
        <f t="shared" si="12"/>
        <v>0</v>
      </c>
      <c r="H181" s="87">
        <f t="shared" si="13"/>
        <v>1681781.85</v>
      </c>
      <c r="I181" s="418"/>
    </row>
    <row r="182" spans="1:9" x14ac:dyDescent="0.35">
      <c r="A182" s="1327"/>
      <c r="B182" s="73">
        <v>53214020000000</v>
      </c>
      <c r="C182" s="74" t="s">
        <v>125</v>
      </c>
      <c r="D182" s="83"/>
      <c r="E182" s="84"/>
      <c r="F182" s="85"/>
      <c r="G182" s="86">
        <f t="shared" si="12"/>
        <v>0</v>
      </c>
      <c r="H182" s="87">
        <f t="shared" si="13"/>
        <v>0</v>
      </c>
      <c r="I182" s="418"/>
    </row>
    <row r="183" spans="1:9" x14ac:dyDescent="0.35">
      <c r="A183" s="1327"/>
      <c r="B183" s="63"/>
      <c r="C183" s="64" t="s">
        <v>126</v>
      </c>
      <c r="D183" s="96">
        <f>SUM(D184,D189,D192,D203,D213,D221)</f>
        <v>14430508.074999999</v>
      </c>
      <c r="E183" s="66"/>
      <c r="F183" s="66"/>
      <c r="G183" s="97">
        <f>SUM(G184,G189,G192,G203,G213,G221)</f>
        <v>100000</v>
      </c>
      <c r="H183" s="98">
        <f>SUM(H184,H189,H192,H203,H213,H221)</f>
        <v>14530508.074999999</v>
      </c>
      <c r="I183" s="418"/>
    </row>
    <row r="184" spans="1:9" x14ac:dyDescent="0.35">
      <c r="A184" s="1327"/>
      <c r="B184" s="68"/>
      <c r="C184" s="69" t="s">
        <v>127</v>
      </c>
      <c r="D184" s="70">
        <f>SUM(D185:D188)</f>
        <v>0</v>
      </c>
      <c r="E184" s="88"/>
      <c r="F184" s="88"/>
      <c r="G184" s="89">
        <f>SUM(G185:G188)</f>
        <v>100000</v>
      </c>
      <c r="H184" s="99">
        <f>SUM(H185:H188)</f>
        <v>100000</v>
      </c>
      <c r="I184" s="418"/>
    </row>
    <row r="185" spans="1:9" x14ac:dyDescent="0.35">
      <c r="A185" s="1327"/>
      <c r="B185" s="73">
        <v>53202020100000</v>
      </c>
      <c r="C185" s="74" t="s">
        <v>128</v>
      </c>
      <c r="D185" s="92"/>
      <c r="E185" s="93">
        <v>50000</v>
      </c>
      <c r="F185" s="94">
        <v>2</v>
      </c>
      <c r="G185" s="86">
        <f>E185*F185</f>
        <v>100000</v>
      </c>
      <c r="H185" s="87">
        <f>D185+G185</f>
        <v>100000</v>
      </c>
      <c r="I185" s="418"/>
    </row>
    <row r="186" spans="1:9" x14ac:dyDescent="0.35">
      <c r="A186" s="1327"/>
      <c r="B186" s="73">
        <v>53202030000000</v>
      </c>
      <c r="C186" s="74" t="s">
        <v>129</v>
      </c>
      <c r="D186" s="83">
        <v>0</v>
      </c>
      <c r="E186" s="84"/>
      <c r="F186" s="85"/>
      <c r="G186" s="86">
        <f>E186*F186</f>
        <v>0</v>
      </c>
      <c r="H186" s="87">
        <f>D186+G186</f>
        <v>0</v>
      </c>
      <c r="I186" s="418"/>
    </row>
    <row r="187" spans="1:9" x14ac:dyDescent="0.35">
      <c r="A187" s="1327"/>
      <c r="B187" s="73">
        <v>53211020000000</v>
      </c>
      <c r="C187" s="74" t="s">
        <v>130</v>
      </c>
      <c r="D187" s="92"/>
      <c r="E187" s="93"/>
      <c r="F187" s="94"/>
      <c r="G187" s="86">
        <f>E187*F187</f>
        <v>0</v>
      </c>
      <c r="H187" s="87">
        <f>D187+G187</f>
        <v>0</v>
      </c>
      <c r="I187" s="418"/>
    </row>
    <row r="188" spans="1:9" x14ac:dyDescent="0.35">
      <c r="A188" s="1327"/>
      <c r="B188" s="73">
        <v>53101004030000</v>
      </c>
      <c r="C188" s="74" t="s">
        <v>131</v>
      </c>
      <c r="D188" s="83">
        <v>0</v>
      </c>
      <c r="E188" s="84"/>
      <c r="F188" s="85"/>
      <c r="G188" s="86">
        <f>E188*F188</f>
        <v>0</v>
      </c>
      <c r="H188" s="87">
        <f>D188+G188</f>
        <v>0</v>
      </c>
      <c r="I188" s="418"/>
    </row>
    <row r="189" spans="1:9" x14ac:dyDescent="0.35">
      <c r="A189" s="1327"/>
      <c r="B189" s="68"/>
      <c r="C189" s="69" t="s">
        <v>132</v>
      </c>
      <c r="D189" s="70">
        <f>SUM(D190:D191)</f>
        <v>0</v>
      </c>
      <c r="E189" s="88"/>
      <c r="F189" s="88"/>
      <c r="G189" s="89">
        <f>SUM(G190:G191)</f>
        <v>0</v>
      </c>
      <c r="H189" s="99">
        <f>SUM(H190:H191)</f>
        <v>0</v>
      </c>
      <c r="I189" s="418"/>
    </row>
    <row r="190" spans="1:9" x14ac:dyDescent="0.35">
      <c r="A190" s="1327"/>
      <c r="B190" s="73">
        <v>53205080000000</v>
      </c>
      <c r="C190" s="100" t="s">
        <v>133</v>
      </c>
      <c r="D190" s="83"/>
      <c r="E190" s="84"/>
      <c r="F190" s="85"/>
      <c r="G190" s="86">
        <f>E190*F190</f>
        <v>0</v>
      </c>
      <c r="H190" s="87">
        <f>D190+G190</f>
        <v>0</v>
      </c>
      <c r="I190" s="418"/>
    </row>
    <row r="191" spans="1:9" x14ac:dyDescent="0.35">
      <c r="A191" s="1327"/>
      <c r="B191" s="73">
        <v>53205990000000</v>
      </c>
      <c r="C191" s="95" t="s">
        <v>134</v>
      </c>
      <c r="D191" s="92"/>
      <c r="E191" s="93"/>
      <c r="F191" s="94"/>
      <c r="G191" s="86">
        <f>E191*F191</f>
        <v>0</v>
      </c>
      <c r="H191" s="87">
        <f>D191+G191</f>
        <v>0</v>
      </c>
      <c r="I191" s="418"/>
    </row>
    <row r="192" spans="1:9" x14ac:dyDescent="0.35">
      <c r="A192" s="1327"/>
      <c r="B192" s="68"/>
      <c r="C192" s="69" t="s">
        <v>135</v>
      </c>
      <c r="D192" s="70">
        <f>SUM(D193:D202)</f>
        <v>4801054.55</v>
      </c>
      <c r="E192" s="88"/>
      <c r="F192" s="88"/>
      <c r="G192" s="91">
        <f>SUM(G193:G202)</f>
        <v>0</v>
      </c>
      <c r="H192" s="90">
        <f>SUM(H193:H202)</f>
        <v>4801054.55</v>
      </c>
      <c r="I192" s="418"/>
    </row>
    <row r="193" spans="1:9" x14ac:dyDescent="0.35">
      <c r="A193" s="1327"/>
      <c r="B193" s="73">
        <v>53203010200000</v>
      </c>
      <c r="C193" s="74" t="s">
        <v>136</v>
      </c>
      <c r="D193" s="83"/>
      <c r="E193" s="83"/>
      <c r="F193" s="85"/>
      <c r="G193" s="86">
        <f t="shared" ref="G193:G202" si="14">E193*F193</f>
        <v>0</v>
      </c>
      <c r="H193" s="87">
        <f t="shared" ref="H193:H202" si="15">D193+G193</f>
        <v>0</v>
      </c>
      <c r="I193" s="418"/>
    </row>
    <row r="194" spans="1:9" x14ac:dyDescent="0.35">
      <c r="A194" s="1327"/>
      <c r="B194" s="73">
        <v>53204010000000</v>
      </c>
      <c r="C194" s="74" t="s">
        <v>137</v>
      </c>
      <c r="D194" s="92">
        <v>36547.875</v>
      </c>
      <c r="E194" s="92"/>
      <c r="F194" s="94"/>
      <c r="G194" s="86">
        <f t="shared" si="14"/>
        <v>0</v>
      </c>
      <c r="H194" s="87">
        <f t="shared" si="15"/>
        <v>36547.875</v>
      </c>
      <c r="I194" s="418"/>
    </row>
    <row r="195" spans="1:9" x14ac:dyDescent="0.35">
      <c r="A195" s="1327"/>
      <c r="B195" s="73">
        <v>53204040200000</v>
      </c>
      <c r="C195" s="100" t="s">
        <v>138</v>
      </c>
      <c r="D195" s="970">
        <v>300000</v>
      </c>
      <c r="E195" s="92"/>
      <c r="F195" s="94"/>
      <c r="G195" s="86">
        <f t="shared" si="14"/>
        <v>0</v>
      </c>
      <c r="H195" s="87">
        <f t="shared" si="15"/>
        <v>300000</v>
      </c>
      <c r="I195" s="418"/>
    </row>
    <row r="196" spans="1:9" x14ac:dyDescent="0.35">
      <c r="A196" s="1327"/>
      <c r="B196" s="73">
        <v>53204060000000</v>
      </c>
      <c r="C196" s="100" t="s">
        <v>139</v>
      </c>
      <c r="D196" s="92">
        <v>0</v>
      </c>
      <c r="E196" s="92"/>
      <c r="F196" s="94"/>
      <c r="G196" s="86">
        <f t="shared" si="14"/>
        <v>0</v>
      </c>
      <c r="H196" s="87">
        <f t="shared" si="15"/>
        <v>0</v>
      </c>
      <c r="I196" s="418"/>
    </row>
    <row r="197" spans="1:9" x14ac:dyDescent="0.35">
      <c r="A197" s="1327"/>
      <c r="B197" s="73">
        <v>53204070000000</v>
      </c>
      <c r="C197" s="95" t="s">
        <v>140</v>
      </c>
      <c r="D197" s="92">
        <v>664506.67500000005</v>
      </c>
      <c r="E197" s="92"/>
      <c r="F197" s="94"/>
      <c r="G197" s="86">
        <f t="shared" si="14"/>
        <v>0</v>
      </c>
      <c r="H197" s="87">
        <f t="shared" si="15"/>
        <v>664506.67500000005</v>
      </c>
      <c r="I197" s="418"/>
    </row>
    <row r="198" spans="1:9" x14ac:dyDescent="0.35">
      <c r="A198" s="1327"/>
      <c r="B198" s="73">
        <v>53204080000000</v>
      </c>
      <c r="C198" s="100" t="s">
        <v>141</v>
      </c>
      <c r="D198" s="92">
        <v>2000000</v>
      </c>
      <c r="E198" s="92"/>
      <c r="F198" s="94"/>
      <c r="G198" s="86">
        <f t="shared" si="14"/>
        <v>0</v>
      </c>
      <c r="H198" s="87">
        <f t="shared" si="15"/>
        <v>2000000</v>
      </c>
      <c r="I198" s="418"/>
    </row>
    <row r="199" spans="1:9" x14ac:dyDescent="0.35">
      <c r="A199" s="1327"/>
      <c r="B199" s="73">
        <v>53214010000000</v>
      </c>
      <c r="C199" s="100" t="s">
        <v>142</v>
      </c>
      <c r="D199" s="83">
        <v>1800000</v>
      </c>
      <c r="E199" s="83"/>
      <c r="F199" s="85"/>
      <c r="G199" s="86">
        <f t="shared" si="14"/>
        <v>0</v>
      </c>
      <c r="H199" s="87">
        <f t="shared" si="15"/>
        <v>1800000</v>
      </c>
      <c r="I199" s="418"/>
    </row>
    <row r="200" spans="1:9" x14ac:dyDescent="0.35">
      <c r="A200" s="1327"/>
      <c r="B200" s="73">
        <v>53214040000000</v>
      </c>
      <c r="C200" s="74" t="s">
        <v>143</v>
      </c>
      <c r="D200" s="83"/>
      <c r="E200" s="83"/>
      <c r="F200" s="85"/>
      <c r="G200" s="86">
        <f t="shared" si="14"/>
        <v>0</v>
      </c>
      <c r="H200" s="87">
        <f t="shared" si="15"/>
        <v>0</v>
      </c>
      <c r="I200" s="418"/>
    </row>
    <row r="201" spans="1:9" x14ac:dyDescent="0.35">
      <c r="A201" s="1327"/>
      <c r="B201" s="73">
        <v>55201010100004</v>
      </c>
      <c r="C201" s="74" t="s">
        <v>144</v>
      </c>
      <c r="D201" s="83"/>
      <c r="E201" s="83"/>
      <c r="F201" s="85"/>
      <c r="G201" s="86">
        <f t="shared" si="14"/>
        <v>0</v>
      </c>
      <c r="H201" s="87">
        <f t="shared" si="15"/>
        <v>0</v>
      </c>
      <c r="I201" s="418"/>
    </row>
    <row r="202" spans="1:9" x14ac:dyDescent="0.35">
      <c r="A202" s="1327"/>
      <c r="B202" s="73">
        <v>55201010100005</v>
      </c>
      <c r="C202" s="74" t="s">
        <v>145</v>
      </c>
      <c r="D202" s="83"/>
      <c r="E202" s="83"/>
      <c r="F202" s="85"/>
      <c r="G202" s="86">
        <f t="shared" si="14"/>
        <v>0</v>
      </c>
      <c r="H202" s="87">
        <f t="shared" si="15"/>
        <v>0</v>
      </c>
      <c r="I202" s="418"/>
    </row>
    <row r="203" spans="1:9" x14ac:dyDescent="0.35">
      <c r="A203" s="1327"/>
      <c r="B203" s="68"/>
      <c r="C203" s="69" t="s">
        <v>146</v>
      </c>
      <c r="D203" s="70">
        <f>SUM(D204:D212)</f>
        <v>627693.125</v>
      </c>
      <c r="E203" s="88"/>
      <c r="F203" s="88"/>
      <c r="G203" s="91">
        <f>SUM(G204:G212)</f>
        <v>0</v>
      </c>
      <c r="H203" s="90">
        <f>SUM(H204:H212)</f>
        <v>627693.125</v>
      </c>
      <c r="I203" s="418"/>
    </row>
    <row r="204" spans="1:9" x14ac:dyDescent="0.35">
      <c r="A204" s="1327"/>
      <c r="B204" s="73">
        <v>53207010000000</v>
      </c>
      <c r="C204" s="74" t="s">
        <v>147</v>
      </c>
      <c r="D204" s="92">
        <v>150000</v>
      </c>
      <c r="E204" s="92"/>
      <c r="F204" s="94"/>
      <c r="G204" s="86">
        <f t="shared" ref="G204:G212" si="16">E204*F204</f>
        <v>0</v>
      </c>
      <c r="H204" s="87">
        <f t="shared" ref="H204:H212" si="17">D204+G204</f>
        <v>150000</v>
      </c>
      <c r="I204" s="418"/>
    </row>
    <row r="205" spans="1:9" x14ac:dyDescent="0.35">
      <c r="A205" s="1327"/>
      <c r="B205" s="73">
        <v>53207020000000</v>
      </c>
      <c r="C205" s="74" t="s">
        <v>148</v>
      </c>
      <c r="D205" s="92">
        <v>26931.600000000002</v>
      </c>
      <c r="E205" s="92"/>
      <c r="F205" s="94"/>
      <c r="G205" s="86">
        <f t="shared" si="16"/>
        <v>0</v>
      </c>
      <c r="H205" s="87">
        <f t="shared" si="17"/>
        <v>26931.600000000002</v>
      </c>
      <c r="I205" s="418"/>
    </row>
    <row r="206" spans="1:9" x14ac:dyDescent="0.35">
      <c r="A206" s="1327"/>
      <c r="B206" s="73">
        <v>53208020000000</v>
      </c>
      <c r="C206" s="74" t="s">
        <v>149</v>
      </c>
      <c r="D206" s="92">
        <v>0</v>
      </c>
      <c r="E206" s="92"/>
      <c r="F206" s="94"/>
      <c r="G206" s="86">
        <f t="shared" si="16"/>
        <v>0</v>
      </c>
      <c r="H206" s="87">
        <f t="shared" si="17"/>
        <v>0</v>
      </c>
      <c r="I206" s="418"/>
    </row>
    <row r="207" spans="1:9" x14ac:dyDescent="0.35">
      <c r="A207" s="1327"/>
      <c r="B207" s="73">
        <v>53208990000000</v>
      </c>
      <c r="C207" s="74" t="s">
        <v>150</v>
      </c>
      <c r="D207" s="111">
        <v>450761.52500000002</v>
      </c>
      <c r="E207" s="92"/>
      <c r="F207" s="94"/>
      <c r="G207" s="86">
        <f t="shared" si="16"/>
        <v>0</v>
      </c>
      <c r="H207" s="87">
        <f t="shared" si="17"/>
        <v>450761.52500000002</v>
      </c>
      <c r="I207" s="418"/>
    </row>
    <row r="208" spans="1:9" x14ac:dyDescent="0.35">
      <c r="A208" s="1327"/>
      <c r="B208" s="73">
        <v>53209010000000</v>
      </c>
      <c r="C208" s="74" t="s">
        <v>151</v>
      </c>
      <c r="D208" s="92">
        <v>0</v>
      </c>
      <c r="E208" s="92"/>
      <c r="F208" s="94"/>
      <c r="G208" s="86">
        <f t="shared" si="16"/>
        <v>0</v>
      </c>
      <c r="H208" s="87">
        <f t="shared" si="17"/>
        <v>0</v>
      </c>
      <c r="I208" s="418"/>
    </row>
    <row r="209" spans="1:9" x14ac:dyDescent="0.35">
      <c r="A209" s="1327"/>
      <c r="B209" s="73">
        <v>53209040000000</v>
      </c>
      <c r="C209" s="74" t="s">
        <v>152</v>
      </c>
      <c r="D209" s="92">
        <v>0</v>
      </c>
      <c r="E209" s="92"/>
      <c r="F209" s="94"/>
      <c r="G209" s="86">
        <f t="shared" si="16"/>
        <v>0</v>
      </c>
      <c r="H209" s="87">
        <f t="shared" si="17"/>
        <v>0</v>
      </c>
      <c r="I209" s="418"/>
    </row>
    <row r="210" spans="1:9" x14ac:dyDescent="0.35">
      <c r="A210" s="1327"/>
      <c r="B210" s="73">
        <v>53209050000000</v>
      </c>
      <c r="C210" s="74" t="s">
        <v>153</v>
      </c>
      <c r="D210" s="92">
        <v>0</v>
      </c>
      <c r="E210" s="92"/>
      <c r="F210" s="94"/>
      <c r="G210" s="86">
        <f t="shared" si="16"/>
        <v>0</v>
      </c>
      <c r="H210" s="87">
        <f t="shared" si="17"/>
        <v>0</v>
      </c>
      <c r="I210" s="418"/>
    </row>
    <row r="211" spans="1:9" x14ac:dyDescent="0.35">
      <c r="A211" s="1327"/>
      <c r="B211" s="73">
        <v>53209990000000</v>
      </c>
      <c r="C211" s="74" t="s">
        <v>154</v>
      </c>
      <c r="D211" s="92">
        <v>0</v>
      </c>
      <c r="E211" s="92"/>
      <c r="F211" s="94"/>
      <c r="G211" s="86">
        <f t="shared" si="16"/>
        <v>0</v>
      </c>
      <c r="H211" s="87">
        <f t="shared" si="17"/>
        <v>0</v>
      </c>
      <c r="I211" s="418"/>
    </row>
    <row r="212" spans="1:9" x14ac:dyDescent="0.35">
      <c r="A212" s="1327"/>
      <c r="B212" s="73">
        <v>53210020100000</v>
      </c>
      <c r="C212" s="74" t="s">
        <v>155</v>
      </c>
      <c r="D212" s="92">
        <v>0</v>
      </c>
      <c r="E212" s="92"/>
      <c r="F212" s="94"/>
      <c r="G212" s="86">
        <f t="shared" si="16"/>
        <v>0</v>
      </c>
      <c r="H212" s="87">
        <f t="shared" si="17"/>
        <v>0</v>
      </c>
      <c r="I212" s="418"/>
    </row>
    <row r="213" spans="1:9" x14ac:dyDescent="0.35">
      <c r="A213" s="1327"/>
      <c r="B213" s="68"/>
      <c r="C213" s="69" t="s">
        <v>156</v>
      </c>
      <c r="D213" s="70">
        <f>SUM(D214:D220)</f>
        <v>7740265.4000000004</v>
      </c>
      <c r="E213" s="88"/>
      <c r="F213" s="88"/>
      <c r="G213" s="91">
        <f>SUM(G214:G220)</f>
        <v>0</v>
      </c>
      <c r="H213" s="90">
        <f>SUM(H214:H220)</f>
        <v>7740265.4000000004</v>
      </c>
      <c r="I213" s="418"/>
    </row>
    <row r="214" spans="1:9" x14ac:dyDescent="0.35">
      <c r="A214" s="1327"/>
      <c r="B214" s="73">
        <v>53206030000000</v>
      </c>
      <c r="C214" s="74" t="s">
        <v>157</v>
      </c>
      <c r="D214" s="92">
        <v>0</v>
      </c>
      <c r="E214" s="92"/>
      <c r="F214" s="94"/>
      <c r="G214" s="86">
        <f t="shared" ref="G214:G220" si="18">E214*F214</f>
        <v>0</v>
      </c>
      <c r="H214" s="87">
        <f t="shared" ref="H214:H220" si="19">D214+G214</f>
        <v>0</v>
      </c>
      <c r="I214" s="418"/>
    </row>
    <row r="215" spans="1:9" x14ac:dyDescent="0.35">
      <c r="A215" s="1327"/>
      <c r="B215" s="73">
        <v>53206040000000</v>
      </c>
      <c r="C215" s="74" t="s">
        <v>158</v>
      </c>
      <c r="D215" s="92">
        <v>0</v>
      </c>
      <c r="E215" s="92"/>
      <c r="F215" s="94"/>
      <c r="G215" s="86">
        <f t="shared" si="18"/>
        <v>0</v>
      </c>
      <c r="H215" s="87">
        <f t="shared" si="19"/>
        <v>0</v>
      </c>
      <c r="I215" s="418"/>
    </row>
    <row r="216" spans="1:9" x14ac:dyDescent="0.35">
      <c r="A216" s="1327"/>
      <c r="B216" s="73">
        <v>53206060000000</v>
      </c>
      <c r="C216" s="74" t="s">
        <v>159</v>
      </c>
      <c r="D216" s="92">
        <v>0</v>
      </c>
      <c r="E216" s="92"/>
      <c r="F216" s="94"/>
      <c r="G216" s="86">
        <f t="shared" si="18"/>
        <v>0</v>
      </c>
      <c r="H216" s="87">
        <f t="shared" si="19"/>
        <v>0</v>
      </c>
      <c r="I216" s="418"/>
    </row>
    <row r="217" spans="1:9" x14ac:dyDescent="0.35">
      <c r="A217" s="1327"/>
      <c r="B217" s="73">
        <v>53206070000000</v>
      </c>
      <c r="C217" s="74" t="s">
        <v>160</v>
      </c>
      <c r="D217" s="92">
        <v>0</v>
      </c>
      <c r="E217" s="92"/>
      <c r="F217" s="94"/>
      <c r="G217" s="86">
        <f t="shared" si="18"/>
        <v>0</v>
      </c>
      <c r="H217" s="87">
        <f t="shared" si="19"/>
        <v>0</v>
      </c>
      <c r="I217" s="418"/>
    </row>
    <row r="218" spans="1:9" x14ac:dyDescent="0.35">
      <c r="A218" s="1327"/>
      <c r="B218" s="73">
        <v>53206990000000</v>
      </c>
      <c r="C218" s="74" t="s">
        <v>161</v>
      </c>
      <c r="D218" s="92">
        <v>3500000</v>
      </c>
      <c r="E218" s="92"/>
      <c r="F218" s="94"/>
      <c r="G218" s="86">
        <f t="shared" si="18"/>
        <v>0</v>
      </c>
      <c r="H218" s="87">
        <f>D218+G218</f>
        <v>3500000</v>
      </c>
      <c r="I218" s="418"/>
    </row>
    <row r="219" spans="1:9" x14ac:dyDescent="0.35">
      <c r="A219" s="1327"/>
      <c r="B219" s="73">
        <v>53208030000000</v>
      </c>
      <c r="C219" s="74" t="s">
        <v>162</v>
      </c>
      <c r="D219" s="92">
        <v>0</v>
      </c>
      <c r="E219" s="92"/>
      <c r="F219" s="94"/>
      <c r="G219" s="86">
        <f t="shared" si="18"/>
        <v>0</v>
      </c>
      <c r="H219" s="87">
        <f t="shared" si="19"/>
        <v>0</v>
      </c>
      <c r="I219" s="418"/>
    </row>
    <row r="220" spans="1:9" x14ac:dyDescent="0.35">
      <c r="A220" s="1327"/>
      <c r="B220" s="73">
        <v>53212060000000</v>
      </c>
      <c r="C220" s="74" t="s">
        <v>163</v>
      </c>
      <c r="D220" s="83">
        <v>4240265.4000000004</v>
      </c>
      <c r="E220" s="83"/>
      <c r="F220" s="85"/>
      <c r="G220" s="86">
        <f t="shared" si="18"/>
        <v>0</v>
      </c>
      <c r="H220" s="87">
        <f t="shared" si="19"/>
        <v>4240265.4000000004</v>
      </c>
      <c r="I220" s="418" t="s">
        <v>605</v>
      </c>
    </row>
    <row r="221" spans="1:9" x14ac:dyDescent="0.35">
      <c r="A221" s="1327"/>
      <c r="B221" s="68"/>
      <c r="C221" s="69" t="s">
        <v>164</v>
      </c>
      <c r="D221" s="70">
        <f>SUM(D222:D223)</f>
        <v>1261495</v>
      </c>
      <c r="E221" s="88"/>
      <c r="F221" s="88"/>
      <c r="G221" s="91">
        <f>SUM(G222:G223)</f>
        <v>0</v>
      </c>
      <c r="H221" s="90">
        <f>SUM(H222:H223)</f>
        <v>1261495</v>
      </c>
      <c r="I221" s="418"/>
    </row>
    <row r="222" spans="1:9" x14ac:dyDescent="0.35">
      <c r="A222" s="1327"/>
      <c r="B222" s="73">
        <v>53210020500000</v>
      </c>
      <c r="C222" s="74" t="s">
        <v>165</v>
      </c>
      <c r="D222" s="83">
        <v>566920</v>
      </c>
      <c r="E222" s="83"/>
      <c r="F222" s="85"/>
      <c r="G222" s="86">
        <f>E222*F222</f>
        <v>0</v>
      </c>
      <c r="H222" s="102">
        <f>D222+G222</f>
        <v>566920</v>
      </c>
      <c r="I222" s="418"/>
    </row>
    <row r="223" spans="1:9" x14ac:dyDescent="0.35">
      <c r="A223" s="1327"/>
      <c r="B223" s="103">
        <v>53204999000000</v>
      </c>
      <c r="C223" s="104" t="s">
        <v>166</v>
      </c>
      <c r="D223" s="92">
        <v>694575</v>
      </c>
      <c r="E223" s="92"/>
      <c r="F223" s="94"/>
      <c r="G223" s="105">
        <f>E223*F223</f>
        <v>0</v>
      </c>
      <c r="H223" s="102">
        <f>D223+G223</f>
        <v>694575</v>
      </c>
      <c r="I223" s="418"/>
    </row>
    <row r="224" spans="1:9" x14ac:dyDescent="0.35">
      <c r="A224" s="1328"/>
      <c r="B224" s="106"/>
      <c r="C224" s="107" t="s">
        <v>12</v>
      </c>
      <c r="D224" s="108">
        <f>SUM(D155,D183)</f>
        <v>33028434.646249998</v>
      </c>
      <c r="E224" s="109"/>
      <c r="F224" s="109"/>
      <c r="G224" s="108">
        <f>SUM(G155,G183)</f>
        <v>9272075.2560894601</v>
      </c>
      <c r="H224" s="110">
        <f>SUM(H155,H183)</f>
        <v>42300509.902339458</v>
      </c>
      <c r="I224" s="418"/>
    </row>
    <row r="225" spans="1:9" x14ac:dyDescent="0.35">
      <c r="A225" s="1310" t="s">
        <v>25</v>
      </c>
      <c r="B225" s="1312" t="s">
        <v>90</v>
      </c>
      <c r="C225" s="1314" t="s">
        <v>91</v>
      </c>
      <c r="D225" s="1316" t="s">
        <v>92</v>
      </c>
      <c r="E225" s="1318" t="s">
        <v>93</v>
      </c>
      <c r="F225" s="1319"/>
      <c r="G225" s="1320"/>
      <c r="H225" s="1321" t="str">
        <f>+H153</f>
        <v>COSTO DIRECTO ESTIMADO 2026</v>
      </c>
      <c r="I225" s="1309" t="s">
        <v>94</v>
      </c>
    </row>
    <row r="226" spans="1:9" ht="26" x14ac:dyDescent="0.35">
      <c r="A226" s="1311"/>
      <c r="B226" s="1313"/>
      <c r="C226" s="1315"/>
      <c r="D226" s="1317"/>
      <c r="E226" s="60" t="s">
        <v>95</v>
      </c>
      <c r="F226" s="61" t="s">
        <v>96</v>
      </c>
      <c r="G226" s="62" t="s">
        <v>97</v>
      </c>
      <c r="H226" s="1322"/>
      <c r="I226" s="1309"/>
    </row>
    <row r="227" spans="1:9" x14ac:dyDescent="0.35">
      <c r="A227" s="1326" t="str">
        <f>+'B) Reajuste Tarifas y Ocupación'!A31</f>
        <v>Piscina C.N.C. Tumbes</v>
      </c>
      <c r="B227" s="63"/>
      <c r="C227" s="64" t="s">
        <v>98</v>
      </c>
      <c r="D227" s="65">
        <f>SUM(D228,D233,D235)</f>
        <v>22725708.850000001</v>
      </c>
      <c r="E227" s="66"/>
      <c r="F227" s="66"/>
      <c r="G227" s="65">
        <f>SUM(G228,G233,G235)</f>
        <v>3659964.8400000003</v>
      </c>
      <c r="H227" s="67">
        <f>SUM(H228,H233,H235)</f>
        <v>26385673.689999998</v>
      </c>
      <c r="I227" s="418"/>
    </row>
    <row r="228" spans="1:9" x14ac:dyDescent="0.35">
      <c r="A228" s="1327"/>
      <c r="B228" s="68"/>
      <c r="C228" s="69" t="s">
        <v>99</v>
      </c>
      <c r="D228" s="70">
        <f>SUM(D229:D232)</f>
        <v>16418980.85</v>
      </c>
      <c r="E228" s="71"/>
      <c r="F228" s="71"/>
      <c r="G228" s="70">
        <f>SUM(G229:G232)</f>
        <v>0</v>
      </c>
      <c r="H228" s="72">
        <f>SUM(H229:H232)</f>
        <v>16418980.85</v>
      </c>
      <c r="I228" s="418"/>
    </row>
    <row r="229" spans="1:9" x14ac:dyDescent="0.35">
      <c r="A229" s="1327"/>
      <c r="B229" s="73">
        <v>53103040100000</v>
      </c>
      <c r="C229" s="74" t="s">
        <v>100</v>
      </c>
      <c r="D229" s="75">
        <f>+'F) Remuneraciones'!M92</f>
        <v>15844812.5</v>
      </c>
      <c r="E229" s="76"/>
      <c r="F229" s="76"/>
      <c r="G229" s="76"/>
      <c r="H229" s="77">
        <f>D229+G229</f>
        <v>15844812.5</v>
      </c>
      <c r="I229" s="418"/>
    </row>
    <row r="230" spans="1:9" x14ac:dyDescent="0.35">
      <c r="A230" s="1327"/>
      <c r="B230" s="73">
        <v>53103050000000</v>
      </c>
      <c r="C230" s="74" t="s">
        <v>101</v>
      </c>
      <c r="D230" s="78"/>
      <c r="E230" s="79"/>
      <c r="F230" s="80"/>
      <c r="G230" s="81">
        <f>E230*F230</f>
        <v>0</v>
      </c>
      <c r="H230" s="82">
        <f>D230+G230</f>
        <v>0</v>
      </c>
      <c r="I230" s="418"/>
    </row>
    <row r="231" spans="1:9" x14ac:dyDescent="0.35">
      <c r="A231" s="1327"/>
      <c r="B231" s="73">
        <v>53103060000000</v>
      </c>
      <c r="C231" s="74" t="s">
        <v>102</v>
      </c>
      <c r="D231" s="83"/>
      <c r="E231" s="84"/>
      <c r="F231" s="85"/>
      <c r="G231" s="86">
        <f>E231*F231</f>
        <v>0</v>
      </c>
      <c r="H231" s="87">
        <f>D231+G231</f>
        <v>0</v>
      </c>
      <c r="I231" s="418"/>
    </row>
    <row r="232" spans="1:9" x14ac:dyDescent="0.35">
      <c r="A232" s="1327"/>
      <c r="B232" s="73">
        <v>53103080010000</v>
      </c>
      <c r="C232" s="74" t="s">
        <v>103</v>
      </c>
      <c r="D232" s="83">
        <f>546827*1.05</f>
        <v>574168.35</v>
      </c>
      <c r="E232" s="84"/>
      <c r="F232" s="85"/>
      <c r="G232" s="86">
        <f>E232*F232</f>
        <v>0</v>
      </c>
      <c r="H232" s="87">
        <f>D232+G232</f>
        <v>574168.35</v>
      </c>
      <c r="I232" s="418" t="s">
        <v>648</v>
      </c>
    </row>
    <row r="233" spans="1:9" x14ac:dyDescent="0.35">
      <c r="A233" s="1327"/>
      <c r="B233" s="68"/>
      <c r="C233" s="69" t="s">
        <v>104</v>
      </c>
      <c r="D233" s="70">
        <f>SUM(D234)</f>
        <v>0</v>
      </c>
      <c r="E233" s="88"/>
      <c r="F233" s="88"/>
      <c r="G233" s="89">
        <f>SUM(G234:G234)</f>
        <v>0</v>
      </c>
      <c r="H233" s="90">
        <f>SUM(H234:H234)</f>
        <v>0</v>
      </c>
      <c r="I233" s="418"/>
    </row>
    <row r="234" spans="1:9" x14ac:dyDescent="0.35">
      <c r="A234" s="1327"/>
      <c r="B234" s="73">
        <v>55201010100001</v>
      </c>
      <c r="C234" s="74" t="s">
        <v>105</v>
      </c>
      <c r="D234" s="83"/>
      <c r="E234" s="84"/>
      <c r="F234" s="85"/>
      <c r="G234" s="86">
        <f>E234*F234</f>
        <v>0</v>
      </c>
      <c r="H234" s="87">
        <f>D234+G234</f>
        <v>0</v>
      </c>
      <c r="I234" s="418"/>
    </row>
    <row r="235" spans="1:9" x14ac:dyDescent="0.35">
      <c r="A235" s="1327"/>
      <c r="B235" s="68"/>
      <c r="C235" s="69" t="s">
        <v>106</v>
      </c>
      <c r="D235" s="70">
        <f>SUM(D236:D254)</f>
        <v>6306728</v>
      </c>
      <c r="E235" s="88"/>
      <c r="F235" s="88"/>
      <c r="G235" s="91">
        <f>SUM(G236:G254)</f>
        <v>3659964.8400000003</v>
      </c>
      <c r="H235" s="90">
        <f>SUM(H236:H254)</f>
        <v>9966692.8399999999</v>
      </c>
      <c r="I235" s="418"/>
    </row>
    <row r="236" spans="1:9" x14ac:dyDescent="0.35">
      <c r="A236" s="1327"/>
      <c r="B236" s="73">
        <v>53201010100000</v>
      </c>
      <c r="C236" s="74" t="s">
        <v>107</v>
      </c>
      <c r="D236" s="83">
        <v>0</v>
      </c>
      <c r="E236" s="84">
        <v>2538</v>
      </c>
      <c r="F236" s="85">
        <v>420</v>
      </c>
      <c r="G236" s="86">
        <f t="shared" ref="G236:G254" si="20">E236*F236</f>
        <v>1065960</v>
      </c>
      <c r="H236" s="87">
        <f>D236+G236</f>
        <v>1065960</v>
      </c>
      <c r="I236" s="418"/>
    </row>
    <row r="237" spans="1:9" x14ac:dyDescent="0.35">
      <c r="A237" s="1327"/>
      <c r="B237" s="73">
        <v>53202010100000</v>
      </c>
      <c r="C237" s="74" t="s">
        <v>108</v>
      </c>
      <c r="D237" s="83">
        <v>0</v>
      </c>
      <c r="E237" s="84"/>
      <c r="F237" s="85"/>
      <c r="G237" s="86">
        <f t="shared" si="20"/>
        <v>0</v>
      </c>
      <c r="H237" s="87">
        <f t="shared" ref="H237:H254" si="21">D237+G237</f>
        <v>0</v>
      </c>
      <c r="I237" s="418"/>
    </row>
    <row r="238" spans="1:9" x14ac:dyDescent="0.35">
      <c r="A238" s="1327"/>
      <c r="B238" s="73">
        <v>53203010100000</v>
      </c>
      <c r="C238" s="74" t="s">
        <v>109</v>
      </c>
      <c r="D238" s="92">
        <v>0</v>
      </c>
      <c r="E238" s="93"/>
      <c r="F238" s="94"/>
      <c r="G238" s="86">
        <f t="shared" si="20"/>
        <v>0</v>
      </c>
      <c r="H238" s="87">
        <f t="shared" si="21"/>
        <v>0</v>
      </c>
      <c r="I238" s="418"/>
    </row>
    <row r="239" spans="1:9" x14ac:dyDescent="0.35">
      <c r="A239" s="1327"/>
      <c r="B239" s="73">
        <v>53203030000000</v>
      </c>
      <c r="C239" s="74" t="s">
        <v>110</v>
      </c>
      <c r="D239" s="92">
        <v>0</v>
      </c>
      <c r="E239" s="93"/>
      <c r="F239" s="94"/>
      <c r="G239" s="86">
        <f t="shared" si="20"/>
        <v>0</v>
      </c>
      <c r="H239" s="87">
        <f t="shared" si="21"/>
        <v>0</v>
      </c>
      <c r="I239" s="418"/>
    </row>
    <row r="240" spans="1:9" x14ac:dyDescent="0.35">
      <c r="A240" s="1327"/>
      <c r="B240" s="73">
        <v>53204030000000</v>
      </c>
      <c r="C240" s="74" t="s">
        <v>111</v>
      </c>
      <c r="D240" s="92">
        <v>2800000</v>
      </c>
      <c r="E240" s="93"/>
      <c r="F240" s="94"/>
      <c r="G240" s="86">
        <f t="shared" si="20"/>
        <v>0</v>
      </c>
      <c r="H240" s="87">
        <f t="shared" si="21"/>
        <v>2800000</v>
      </c>
      <c r="I240" s="418"/>
    </row>
    <row r="241" spans="1:9" x14ac:dyDescent="0.35">
      <c r="A241" s="1327"/>
      <c r="B241" s="73">
        <v>53204100100001</v>
      </c>
      <c r="C241" s="74" t="s">
        <v>112</v>
      </c>
      <c r="D241" s="92">
        <v>2200000</v>
      </c>
      <c r="E241" s="93"/>
      <c r="F241" s="94"/>
      <c r="G241" s="86">
        <f t="shared" si="20"/>
        <v>0</v>
      </c>
      <c r="H241" s="87">
        <f t="shared" si="21"/>
        <v>2200000</v>
      </c>
      <c r="I241" s="418"/>
    </row>
    <row r="242" spans="1:9" x14ac:dyDescent="0.35">
      <c r="A242" s="1327"/>
      <c r="B242" s="73">
        <v>53204130100000</v>
      </c>
      <c r="C242" s="74" t="s">
        <v>113</v>
      </c>
      <c r="D242" s="92">
        <v>0</v>
      </c>
      <c r="E242" s="93"/>
      <c r="F242" s="94"/>
      <c r="G242" s="86">
        <f t="shared" si="20"/>
        <v>0</v>
      </c>
      <c r="H242" s="87">
        <f t="shared" si="21"/>
        <v>0</v>
      </c>
      <c r="I242" s="418"/>
    </row>
    <row r="243" spans="1:9" x14ac:dyDescent="0.35">
      <c r="A243" s="1327"/>
      <c r="B243" s="73">
        <v>53205010100000</v>
      </c>
      <c r="C243" s="95" t="s">
        <v>114</v>
      </c>
      <c r="D243" s="92">
        <v>0</v>
      </c>
      <c r="E243" s="93"/>
      <c r="F243" s="94"/>
      <c r="G243" s="86">
        <f t="shared" si="20"/>
        <v>0</v>
      </c>
      <c r="H243" s="87">
        <f t="shared" si="21"/>
        <v>0</v>
      </c>
      <c r="I243" s="418"/>
    </row>
    <row r="244" spans="1:9" x14ac:dyDescent="0.35">
      <c r="A244" s="1327"/>
      <c r="B244" s="73">
        <v>53205020100000</v>
      </c>
      <c r="C244" s="95" t="s">
        <v>115</v>
      </c>
      <c r="D244" s="92">
        <v>0</v>
      </c>
      <c r="E244" s="93">
        <v>702.24</v>
      </c>
      <c r="F244" s="94">
        <v>2811</v>
      </c>
      <c r="G244" s="86">
        <f t="shared" si="20"/>
        <v>1973996.6400000001</v>
      </c>
      <c r="H244" s="87">
        <f t="shared" si="21"/>
        <v>1973996.6400000001</v>
      </c>
      <c r="I244" s="418"/>
    </row>
    <row r="245" spans="1:9" x14ac:dyDescent="0.35">
      <c r="A245" s="1327"/>
      <c r="B245" s="73">
        <v>53205030100000</v>
      </c>
      <c r="C245" s="74" t="s">
        <v>116</v>
      </c>
      <c r="D245" s="92">
        <v>0</v>
      </c>
      <c r="E245" s="93"/>
      <c r="F245" s="94"/>
      <c r="G245" s="86">
        <f t="shared" si="20"/>
        <v>0</v>
      </c>
      <c r="H245" s="87">
        <f t="shared" si="21"/>
        <v>0</v>
      </c>
      <c r="I245" s="418"/>
    </row>
    <row r="246" spans="1:9" x14ac:dyDescent="0.35">
      <c r="A246" s="1327"/>
      <c r="B246" s="73">
        <v>53205050100000</v>
      </c>
      <c r="C246" s="74" t="s">
        <v>117</v>
      </c>
      <c r="D246" s="92">
        <v>0</v>
      </c>
      <c r="E246" s="93"/>
      <c r="F246" s="94"/>
      <c r="G246" s="86">
        <f t="shared" si="20"/>
        <v>0</v>
      </c>
      <c r="H246" s="87">
        <f t="shared" si="21"/>
        <v>0</v>
      </c>
      <c r="I246" s="418"/>
    </row>
    <row r="247" spans="1:9" x14ac:dyDescent="0.35">
      <c r="A247" s="1327"/>
      <c r="B247" s="73">
        <v>53205060100000</v>
      </c>
      <c r="C247" s="74" t="s">
        <v>118</v>
      </c>
      <c r="D247" s="92">
        <v>0</v>
      </c>
      <c r="E247" s="93"/>
      <c r="F247" s="94"/>
      <c r="G247" s="86">
        <f t="shared" si="20"/>
        <v>0</v>
      </c>
      <c r="H247" s="87">
        <f t="shared" si="21"/>
        <v>0</v>
      </c>
      <c r="I247" s="418"/>
    </row>
    <row r="248" spans="1:9" x14ac:dyDescent="0.35">
      <c r="A248" s="1327"/>
      <c r="B248" s="73">
        <v>53205070100000</v>
      </c>
      <c r="C248" s="95" t="s">
        <v>119</v>
      </c>
      <c r="D248" s="92">
        <v>0</v>
      </c>
      <c r="E248" s="93">
        <f>49207*1.05</f>
        <v>51667.350000000006</v>
      </c>
      <c r="F248" s="94">
        <v>12</v>
      </c>
      <c r="G248" s="86">
        <f t="shared" si="20"/>
        <v>620008.20000000007</v>
      </c>
      <c r="H248" s="87">
        <f t="shared" si="21"/>
        <v>620008.20000000007</v>
      </c>
      <c r="I248" s="418"/>
    </row>
    <row r="249" spans="1:9" x14ac:dyDescent="0.35">
      <c r="A249" s="1327"/>
      <c r="B249" s="73">
        <v>53208010100000</v>
      </c>
      <c r="C249" s="74" t="s">
        <v>120</v>
      </c>
      <c r="D249" s="92">
        <v>1251000</v>
      </c>
      <c r="E249" s="93"/>
      <c r="F249" s="94"/>
      <c r="G249" s="86">
        <f t="shared" si="20"/>
        <v>0</v>
      </c>
      <c r="H249" s="87">
        <f t="shared" si="21"/>
        <v>1251000</v>
      </c>
      <c r="I249" s="418"/>
    </row>
    <row r="250" spans="1:9" x14ac:dyDescent="0.35">
      <c r="A250" s="1327"/>
      <c r="B250" s="73">
        <v>53208070100001</v>
      </c>
      <c r="C250" s="74" t="s">
        <v>121</v>
      </c>
      <c r="D250" s="92">
        <v>0</v>
      </c>
      <c r="E250" s="93"/>
      <c r="F250" s="94"/>
      <c r="G250" s="86">
        <f t="shared" si="20"/>
        <v>0</v>
      </c>
      <c r="H250" s="87">
        <f t="shared" si="21"/>
        <v>0</v>
      </c>
      <c r="I250" s="418"/>
    </row>
    <row r="251" spans="1:9" x14ac:dyDescent="0.35">
      <c r="A251" s="1327"/>
      <c r="B251" s="73">
        <v>53208100100001</v>
      </c>
      <c r="C251" s="74" t="s">
        <v>122</v>
      </c>
      <c r="D251" s="92">
        <v>0</v>
      </c>
      <c r="E251" s="93"/>
      <c r="F251" s="94"/>
      <c r="G251" s="86">
        <f t="shared" si="20"/>
        <v>0</v>
      </c>
      <c r="H251" s="87">
        <f t="shared" si="21"/>
        <v>0</v>
      </c>
      <c r="I251" s="418"/>
    </row>
    <row r="252" spans="1:9" x14ac:dyDescent="0.35">
      <c r="A252" s="1327"/>
      <c r="B252" s="73">
        <v>53211030000000</v>
      </c>
      <c r="C252" s="74" t="s">
        <v>123</v>
      </c>
      <c r="D252" s="92">
        <v>0</v>
      </c>
      <c r="E252" s="93"/>
      <c r="F252" s="94"/>
      <c r="G252" s="86">
        <f t="shared" si="20"/>
        <v>0</v>
      </c>
      <c r="H252" s="87">
        <f t="shared" si="21"/>
        <v>0</v>
      </c>
      <c r="I252" s="418"/>
    </row>
    <row r="253" spans="1:9" x14ac:dyDescent="0.35">
      <c r="A253" s="1327"/>
      <c r="B253" s="73">
        <v>53212020100000</v>
      </c>
      <c r="C253" s="74" t="s">
        <v>124</v>
      </c>
      <c r="D253" s="92">
        <v>55728.000000000007</v>
      </c>
      <c r="E253" s="93"/>
      <c r="F253" s="94"/>
      <c r="G253" s="86">
        <f t="shared" si="20"/>
        <v>0</v>
      </c>
      <c r="H253" s="87">
        <f t="shared" si="21"/>
        <v>55728.000000000007</v>
      </c>
      <c r="I253" s="418"/>
    </row>
    <row r="254" spans="1:9" x14ac:dyDescent="0.35">
      <c r="A254" s="1327"/>
      <c r="B254" s="73">
        <v>53214020000000</v>
      </c>
      <c r="C254" s="74" t="s">
        <v>125</v>
      </c>
      <c r="D254" s="83"/>
      <c r="E254" s="84"/>
      <c r="F254" s="85"/>
      <c r="G254" s="86">
        <f t="shared" si="20"/>
        <v>0</v>
      </c>
      <c r="H254" s="87">
        <f t="shared" si="21"/>
        <v>0</v>
      </c>
      <c r="I254" s="418"/>
    </row>
    <row r="255" spans="1:9" x14ac:dyDescent="0.35">
      <c r="A255" s="1327"/>
      <c r="B255" s="63"/>
      <c r="C255" s="64" t="s">
        <v>126</v>
      </c>
      <c r="D255" s="96">
        <f>SUM(D256,D261,D264,D275,D285,D293)</f>
        <v>2908770.08</v>
      </c>
      <c r="E255" s="66"/>
      <c r="F255" s="66"/>
      <c r="G255" s="97">
        <f>SUM(G256,G261,G264,G275,G285,G293)</f>
        <v>370000</v>
      </c>
      <c r="H255" s="98">
        <f>SUM(H256,H261,H264,H275,H285,H293)</f>
        <v>3278770.08</v>
      </c>
      <c r="I255" s="418"/>
    </row>
    <row r="256" spans="1:9" x14ac:dyDescent="0.35">
      <c r="A256" s="1327"/>
      <c r="B256" s="68"/>
      <c r="C256" s="69" t="s">
        <v>127</v>
      </c>
      <c r="D256" s="70">
        <f>SUM(D257:D260)</f>
        <v>0</v>
      </c>
      <c r="E256" s="88"/>
      <c r="F256" s="88"/>
      <c r="G256" s="89">
        <f>SUM(G257:G260)</f>
        <v>370000</v>
      </c>
      <c r="H256" s="99">
        <f>SUM(H257:H260)</f>
        <v>370000</v>
      </c>
      <c r="I256" s="418"/>
    </row>
    <row r="257" spans="1:9" x14ac:dyDescent="0.35">
      <c r="A257" s="1327"/>
      <c r="B257" s="73">
        <v>53202020100000</v>
      </c>
      <c r="C257" s="74" t="s">
        <v>128</v>
      </c>
      <c r="D257" s="92"/>
      <c r="E257" s="93">
        <v>50000</v>
      </c>
      <c r="F257" s="94">
        <v>6</v>
      </c>
      <c r="G257" s="86">
        <f>E257*F257</f>
        <v>300000</v>
      </c>
      <c r="H257" s="87">
        <f>D257+G257</f>
        <v>300000</v>
      </c>
      <c r="I257" s="418"/>
    </row>
    <row r="258" spans="1:9" x14ac:dyDescent="0.35">
      <c r="A258" s="1327"/>
      <c r="B258" s="73">
        <v>53202030000000</v>
      </c>
      <c r="C258" s="74" t="s">
        <v>129</v>
      </c>
      <c r="D258" s="83"/>
      <c r="E258" s="84">
        <v>35000</v>
      </c>
      <c r="F258" s="85">
        <v>2</v>
      </c>
      <c r="G258" s="86">
        <f>E258*F258</f>
        <v>70000</v>
      </c>
      <c r="H258" s="87">
        <f t="shared" ref="H258:H260" si="22">D258+G258</f>
        <v>70000</v>
      </c>
      <c r="I258" s="418"/>
    </row>
    <row r="259" spans="1:9" x14ac:dyDescent="0.35">
      <c r="A259" s="1327"/>
      <c r="B259" s="73">
        <v>53211020000000</v>
      </c>
      <c r="C259" s="74" t="s">
        <v>130</v>
      </c>
      <c r="D259" s="92"/>
      <c r="E259" s="93"/>
      <c r="F259" s="94"/>
      <c r="G259" s="86">
        <f>E259*F259</f>
        <v>0</v>
      </c>
      <c r="H259" s="87">
        <f t="shared" si="22"/>
        <v>0</v>
      </c>
      <c r="I259" s="418"/>
    </row>
    <row r="260" spans="1:9" x14ac:dyDescent="0.35">
      <c r="A260" s="1327"/>
      <c r="B260" s="73">
        <v>53101004030000</v>
      </c>
      <c r="C260" s="74" t="s">
        <v>131</v>
      </c>
      <c r="D260" s="83"/>
      <c r="E260" s="84"/>
      <c r="F260" s="85"/>
      <c r="G260" s="86">
        <f>E260*F260</f>
        <v>0</v>
      </c>
      <c r="H260" s="87">
        <f t="shared" si="22"/>
        <v>0</v>
      </c>
      <c r="I260" s="418"/>
    </row>
    <row r="261" spans="1:9" x14ac:dyDescent="0.35">
      <c r="A261" s="1327"/>
      <c r="B261" s="68"/>
      <c r="C261" s="69" t="s">
        <v>132</v>
      </c>
      <c r="D261" s="70">
        <f>SUM(D262:D263)</f>
        <v>0</v>
      </c>
      <c r="E261" s="88"/>
      <c r="F261" s="88"/>
      <c r="G261" s="89">
        <f>SUM(G262:G263)</f>
        <v>0</v>
      </c>
      <c r="H261" s="99">
        <f>SUM(H262:H263)</f>
        <v>0</v>
      </c>
      <c r="I261" s="418"/>
    </row>
    <row r="262" spans="1:9" x14ac:dyDescent="0.35">
      <c r="A262" s="1327"/>
      <c r="B262" s="73">
        <v>53205080000000</v>
      </c>
      <c r="C262" s="100" t="s">
        <v>133</v>
      </c>
      <c r="D262" s="83"/>
      <c r="E262" s="84"/>
      <c r="F262" s="85"/>
      <c r="G262" s="86">
        <f>E262*F262</f>
        <v>0</v>
      </c>
      <c r="H262" s="87">
        <f>D262+G262</f>
        <v>0</v>
      </c>
      <c r="I262" s="418"/>
    </row>
    <row r="263" spans="1:9" x14ac:dyDescent="0.35">
      <c r="A263" s="1327"/>
      <c r="B263" s="73">
        <v>53205990000000</v>
      </c>
      <c r="C263" s="74" t="s">
        <v>134</v>
      </c>
      <c r="D263" s="92"/>
      <c r="E263" s="93"/>
      <c r="F263" s="94"/>
      <c r="G263" s="86">
        <f>E263*F263</f>
        <v>0</v>
      </c>
      <c r="H263" s="87">
        <f>D263+G263</f>
        <v>0</v>
      </c>
      <c r="I263" s="418"/>
    </row>
    <row r="264" spans="1:9" x14ac:dyDescent="0.35">
      <c r="A264" s="1327"/>
      <c r="B264" s="68"/>
      <c r="C264" s="69" t="s">
        <v>135</v>
      </c>
      <c r="D264" s="70">
        <f>SUM(D265:D274)</f>
        <v>510000</v>
      </c>
      <c r="E264" s="88"/>
      <c r="F264" s="88"/>
      <c r="G264" s="91">
        <f>SUM(G265:G274)</f>
        <v>0</v>
      </c>
      <c r="H264" s="90">
        <f>SUM(H265:H274)</f>
        <v>510000</v>
      </c>
      <c r="I264" s="418"/>
    </row>
    <row r="265" spans="1:9" x14ac:dyDescent="0.35">
      <c r="A265" s="1327"/>
      <c r="B265" s="73">
        <v>53203010200000</v>
      </c>
      <c r="C265" s="74" t="s">
        <v>136</v>
      </c>
      <c r="D265" s="83"/>
      <c r="E265" s="83"/>
      <c r="F265" s="85"/>
      <c r="G265" s="86">
        <f t="shared" ref="G265:G274" si="23">E265*F265</f>
        <v>0</v>
      </c>
      <c r="H265" s="87">
        <f>D265+G265</f>
        <v>0</v>
      </c>
      <c r="I265" s="418"/>
    </row>
    <row r="266" spans="1:9" x14ac:dyDescent="0.35">
      <c r="A266" s="1327"/>
      <c r="B266" s="73">
        <v>53204010000000</v>
      </c>
      <c r="C266" s="74" t="s">
        <v>137</v>
      </c>
      <c r="D266" s="92"/>
      <c r="E266" s="92"/>
      <c r="F266" s="94"/>
      <c r="G266" s="86">
        <f t="shared" si="23"/>
        <v>0</v>
      </c>
      <c r="H266" s="87">
        <f t="shared" ref="H266:H274" si="24">D266+G266</f>
        <v>0</v>
      </c>
      <c r="I266" s="418"/>
    </row>
    <row r="267" spans="1:9" x14ac:dyDescent="0.35">
      <c r="A267" s="1327"/>
      <c r="B267" s="73">
        <v>53204040200000</v>
      </c>
      <c r="C267" s="95" t="s">
        <v>138</v>
      </c>
      <c r="D267" s="92">
        <v>60000</v>
      </c>
      <c r="E267" s="92"/>
      <c r="F267" s="94"/>
      <c r="G267" s="86">
        <f t="shared" si="23"/>
        <v>0</v>
      </c>
      <c r="H267" s="87">
        <f t="shared" si="24"/>
        <v>60000</v>
      </c>
      <c r="I267" s="418"/>
    </row>
    <row r="268" spans="1:9" x14ac:dyDescent="0.35">
      <c r="A268" s="1327"/>
      <c r="B268" s="73">
        <v>53204060000000</v>
      </c>
      <c r="C268" s="100" t="s">
        <v>139</v>
      </c>
      <c r="D268" s="92">
        <v>0</v>
      </c>
      <c r="E268" s="92"/>
      <c r="F268" s="94"/>
      <c r="G268" s="86">
        <f t="shared" si="23"/>
        <v>0</v>
      </c>
      <c r="H268" s="87">
        <f t="shared" si="24"/>
        <v>0</v>
      </c>
      <c r="I268" s="418"/>
    </row>
    <row r="269" spans="1:9" x14ac:dyDescent="0.35">
      <c r="A269" s="1327"/>
      <c r="B269" s="73">
        <v>53204070000000</v>
      </c>
      <c r="C269" s="95" t="s">
        <v>140</v>
      </c>
      <c r="D269" s="92">
        <v>450000</v>
      </c>
      <c r="E269" s="92"/>
      <c r="F269" s="94"/>
      <c r="G269" s="86">
        <f t="shared" si="23"/>
        <v>0</v>
      </c>
      <c r="H269" s="87">
        <f t="shared" si="24"/>
        <v>450000</v>
      </c>
      <c r="I269" s="418"/>
    </row>
    <row r="270" spans="1:9" x14ac:dyDescent="0.35">
      <c r="A270" s="1327"/>
      <c r="B270" s="73">
        <v>53204080000000</v>
      </c>
      <c r="C270" s="100" t="s">
        <v>141</v>
      </c>
      <c r="D270" s="92">
        <v>0</v>
      </c>
      <c r="E270" s="92"/>
      <c r="F270" s="94"/>
      <c r="G270" s="86">
        <f t="shared" si="23"/>
        <v>0</v>
      </c>
      <c r="H270" s="87">
        <f t="shared" si="24"/>
        <v>0</v>
      </c>
      <c r="I270" s="418"/>
    </row>
    <row r="271" spans="1:9" x14ac:dyDescent="0.35">
      <c r="A271" s="1327"/>
      <c r="B271" s="73">
        <v>53214010000000</v>
      </c>
      <c r="C271" s="100" t="s">
        <v>142</v>
      </c>
      <c r="D271" s="83">
        <v>0</v>
      </c>
      <c r="E271" s="83"/>
      <c r="F271" s="85"/>
      <c r="G271" s="86">
        <f t="shared" si="23"/>
        <v>0</v>
      </c>
      <c r="H271" s="87">
        <f t="shared" si="24"/>
        <v>0</v>
      </c>
      <c r="I271" s="418"/>
    </row>
    <row r="272" spans="1:9" x14ac:dyDescent="0.35">
      <c r="A272" s="1327"/>
      <c r="B272" s="73">
        <v>53214040000000</v>
      </c>
      <c r="C272" s="74" t="s">
        <v>143</v>
      </c>
      <c r="D272" s="83">
        <v>0</v>
      </c>
      <c r="E272" s="83"/>
      <c r="F272" s="85"/>
      <c r="G272" s="86">
        <f t="shared" si="23"/>
        <v>0</v>
      </c>
      <c r="H272" s="87">
        <f t="shared" si="24"/>
        <v>0</v>
      </c>
      <c r="I272" s="418"/>
    </row>
    <row r="273" spans="1:9" x14ac:dyDescent="0.35">
      <c r="A273" s="1327"/>
      <c r="B273" s="73">
        <v>55201010100004</v>
      </c>
      <c r="C273" s="74" t="s">
        <v>144</v>
      </c>
      <c r="D273" s="83">
        <v>0</v>
      </c>
      <c r="E273" s="83"/>
      <c r="F273" s="85"/>
      <c r="G273" s="86">
        <f t="shared" si="23"/>
        <v>0</v>
      </c>
      <c r="H273" s="87">
        <f t="shared" si="24"/>
        <v>0</v>
      </c>
      <c r="I273" s="418"/>
    </row>
    <row r="274" spans="1:9" x14ac:dyDescent="0.35">
      <c r="A274" s="1327"/>
      <c r="B274" s="73">
        <v>55201010100005</v>
      </c>
      <c r="C274" s="74" t="s">
        <v>145</v>
      </c>
      <c r="D274" s="83">
        <v>0</v>
      </c>
      <c r="E274" s="83"/>
      <c r="F274" s="85"/>
      <c r="G274" s="86">
        <f t="shared" si="23"/>
        <v>0</v>
      </c>
      <c r="H274" s="87">
        <f t="shared" si="24"/>
        <v>0</v>
      </c>
      <c r="I274" s="418"/>
    </row>
    <row r="275" spans="1:9" x14ac:dyDescent="0.35">
      <c r="A275" s="1327"/>
      <c r="B275" s="68"/>
      <c r="C275" s="69" t="s">
        <v>146</v>
      </c>
      <c r="D275" s="70">
        <f>SUM(D276:D284)</f>
        <v>730306.08000000007</v>
      </c>
      <c r="E275" s="88"/>
      <c r="F275" s="88"/>
      <c r="G275" s="91">
        <f>SUM(G276:G284)</f>
        <v>0</v>
      </c>
      <c r="H275" s="90">
        <f>SUM(H276:H284)</f>
        <v>730306.08000000007</v>
      </c>
      <c r="I275" s="418"/>
    </row>
    <row r="276" spans="1:9" x14ac:dyDescent="0.35">
      <c r="A276" s="1327"/>
      <c r="B276" s="73">
        <v>53207010000000</v>
      </c>
      <c r="C276" s="74" t="s">
        <v>147</v>
      </c>
      <c r="D276" s="92">
        <v>0</v>
      </c>
      <c r="E276" s="92"/>
      <c r="F276" s="94"/>
      <c r="G276" s="86">
        <f t="shared" ref="G276:G284" si="25">E276*F276</f>
        <v>0</v>
      </c>
      <c r="H276" s="87">
        <f t="shared" ref="H276:H284" si="26">D276+G276</f>
        <v>0</v>
      </c>
      <c r="I276" s="418"/>
    </row>
    <row r="277" spans="1:9" x14ac:dyDescent="0.35">
      <c r="A277" s="1327"/>
      <c r="B277" s="73">
        <v>53207020000000</v>
      </c>
      <c r="C277" s="74" t="s">
        <v>148</v>
      </c>
      <c r="D277" s="92">
        <v>0</v>
      </c>
      <c r="E277" s="92"/>
      <c r="F277" s="94"/>
      <c r="G277" s="86">
        <f t="shared" si="25"/>
        <v>0</v>
      </c>
      <c r="H277" s="87">
        <f t="shared" si="26"/>
        <v>0</v>
      </c>
      <c r="I277" s="418"/>
    </row>
    <row r="278" spans="1:9" x14ac:dyDescent="0.35">
      <c r="A278" s="1327"/>
      <c r="B278" s="73">
        <v>53208020000000</v>
      </c>
      <c r="C278" s="74" t="s">
        <v>149</v>
      </c>
      <c r="D278" s="92">
        <v>0</v>
      </c>
      <c r="E278" s="92"/>
      <c r="F278" s="94"/>
      <c r="G278" s="86">
        <f t="shared" si="25"/>
        <v>0</v>
      </c>
      <c r="H278" s="87">
        <f t="shared" si="26"/>
        <v>0</v>
      </c>
      <c r="I278" s="418"/>
    </row>
    <row r="279" spans="1:9" x14ac:dyDescent="0.35">
      <c r="A279" s="1327"/>
      <c r="B279" s="73">
        <v>53208990000000</v>
      </c>
      <c r="C279" s="74" t="s">
        <v>150</v>
      </c>
      <c r="D279" s="92">
        <v>730306.08000000007</v>
      </c>
      <c r="E279" s="92"/>
      <c r="F279" s="94"/>
      <c r="G279" s="86">
        <f t="shared" si="25"/>
        <v>0</v>
      </c>
      <c r="H279" s="87">
        <f t="shared" si="26"/>
        <v>730306.08000000007</v>
      </c>
      <c r="I279" s="418"/>
    </row>
    <row r="280" spans="1:9" x14ac:dyDescent="0.35">
      <c r="A280" s="1327"/>
      <c r="B280" s="73">
        <v>53209010000000</v>
      </c>
      <c r="C280" s="74" t="s">
        <v>151</v>
      </c>
      <c r="D280" s="92">
        <v>0</v>
      </c>
      <c r="E280" s="92"/>
      <c r="F280" s="94"/>
      <c r="G280" s="86">
        <f t="shared" si="25"/>
        <v>0</v>
      </c>
      <c r="H280" s="87">
        <f t="shared" si="26"/>
        <v>0</v>
      </c>
      <c r="I280" s="418"/>
    </row>
    <row r="281" spans="1:9" x14ac:dyDescent="0.35">
      <c r="A281" s="1327"/>
      <c r="B281" s="73">
        <v>53209040000000</v>
      </c>
      <c r="C281" s="74" t="s">
        <v>152</v>
      </c>
      <c r="D281" s="92">
        <v>0</v>
      </c>
      <c r="E281" s="92"/>
      <c r="F281" s="94"/>
      <c r="G281" s="86">
        <f t="shared" si="25"/>
        <v>0</v>
      </c>
      <c r="H281" s="87">
        <f t="shared" si="26"/>
        <v>0</v>
      </c>
      <c r="I281" s="418"/>
    </row>
    <row r="282" spans="1:9" x14ac:dyDescent="0.35">
      <c r="A282" s="1327"/>
      <c r="B282" s="73">
        <v>53209050000000</v>
      </c>
      <c r="C282" s="74" t="s">
        <v>153</v>
      </c>
      <c r="D282" s="92">
        <v>0</v>
      </c>
      <c r="E282" s="92"/>
      <c r="F282" s="94"/>
      <c r="G282" s="86">
        <f t="shared" si="25"/>
        <v>0</v>
      </c>
      <c r="H282" s="87">
        <f t="shared" si="26"/>
        <v>0</v>
      </c>
      <c r="I282" s="418"/>
    </row>
    <row r="283" spans="1:9" x14ac:dyDescent="0.35">
      <c r="A283" s="1327"/>
      <c r="B283" s="73">
        <v>53209990000000</v>
      </c>
      <c r="C283" s="74" t="s">
        <v>154</v>
      </c>
      <c r="D283" s="92">
        <v>0</v>
      </c>
      <c r="E283" s="92"/>
      <c r="F283" s="94"/>
      <c r="G283" s="86">
        <f t="shared" si="25"/>
        <v>0</v>
      </c>
      <c r="H283" s="87">
        <f t="shared" si="26"/>
        <v>0</v>
      </c>
      <c r="I283" s="418"/>
    </row>
    <row r="284" spans="1:9" x14ac:dyDescent="0.35">
      <c r="A284" s="1327"/>
      <c r="B284" s="73">
        <v>53210020100000</v>
      </c>
      <c r="C284" s="74" t="s">
        <v>155</v>
      </c>
      <c r="D284" s="92">
        <v>0</v>
      </c>
      <c r="E284" s="92"/>
      <c r="F284" s="94"/>
      <c r="G284" s="86">
        <f t="shared" si="25"/>
        <v>0</v>
      </c>
      <c r="H284" s="87">
        <f t="shared" si="26"/>
        <v>0</v>
      </c>
      <c r="I284" s="418"/>
    </row>
    <row r="285" spans="1:9" x14ac:dyDescent="0.35">
      <c r="A285" s="1327"/>
      <c r="B285" s="68"/>
      <c r="C285" s="69" t="s">
        <v>156</v>
      </c>
      <c r="D285" s="70">
        <f>SUM(D286:D292)</f>
        <v>251356</v>
      </c>
      <c r="E285" s="88"/>
      <c r="F285" s="88"/>
      <c r="G285" s="91">
        <f>SUM(G286:G292)</f>
        <v>0</v>
      </c>
      <c r="H285" s="90">
        <f>SUM(H286:H292)</f>
        <v>251356</v>
      </c>
      <c r="I285" s="418"/>
    </row>
    <row r="286" spans="1:9" x14ac:dyDescent="0.35">
      <c r="A286" s="1327"/>
      <c r="B286" s="73">
        <v>53206030000000</v>
      </c>
      <c r="C286" s="74" t="s">
        <v>157</v>
      </c>
      <c r="D286" s="92">
        <v>0</v>
      </c>
      <c r="E286" s="92"/>
      <c r="F286" s="94"/>
      <c r="G286" s="86">
        <f t="shared" ref="G286:G292" si="27">E286*F286</f>
        <v>0</v>
      </c>
      <c r="H286" s="87">
        <f t="shared" ref="H286:H292" si="28">D286+G286</f>
        <v>0</v>
      </c>
      <c r="I286" s="418"/>
    </row>
    <row r="287" spans="1:9" x14ac:dyDescent="0.35">
      <c r="A287" s="1327"/>
      <c r="B287" s="73">
        <v>53206040000000</v>
      </c>
      <c r="C287" s="74" t="s">
        <v>158</v>
      </c>
      <c r="D287" s="92">
        <v>0</v>
      </c>
      <c r="E287" s="92"/>
      <c r="F287" s="94"/>
      <c r="G287" s="86">
        <f t="shared" si="27"/>
        <v>0</v>
      </c>
      <c r="H287" s="87">
        <f t="shared" si="28"/>
        <v>0</v>
      </c>
      <c r="I287" s="418"/>
    </row>
    <row r="288" spans="1:9" x14ac:dyDescent="0.35">
      <c r="A288" s="1327"/>
      <c r="B288" s="73">
        <v>53206060000000</v>
      </c>
      <c r="C288" s="74" t="s">
        <v>159</v>
      </c>
      <c r="D288" s="92">
        <v>0</v>
      </c>
      <c r="E288" s="92"/>
      <c r="F288" s="94"/>
      <c r="G288" s="86">
        <f t="shared" si="27"/>
        <v>0</v>
      </c>
      <c r="H288" s="87">
        <f t="shared" si="28"/>
        <v>0</v>
      </c>
      <c r="I288" s="418"/>
    </row>
    <row r="289" spans="1:9" x14ac:dyDescent="0.35">
      <c r="A289" s="1327"/>
      <c r="B289" s="73">
        <v>53206070000000</v>
      </c>
      <c r="C289" s="74" t="s">
        <v>160</v>
      </c>
      <c r="D289" s="92">
        <v>0</v>
      </c>
      <c r="E289" s="92"/>
      <c r="F289" s="94"/>
      <c r="G289" s="86">
        <f t="shared" si="27"/>
        <v>0</v>
      </c>
      <c r="H289" s="87">
        <f t="shared" si="28"/>
        <v>0</v>
      </c>
      <c r="I289" s="418"/>
    </row>
    <row r="290" spans="1:9" x14ac:dyDescent="0.35">
      <c r="A290" s="1327"/>
      <c r="B290" s="73">
        <v>53206990000000</v>
      </c>
      <c r="C290" s="74" t="s">
        <v>161</v>
      </c>
      <c r="D290" s="92">
        <v>0</v>
      </c>
      <c r="E290" s="92"/>
      <c r="F290" s="94"/>
      <c r="G290" s="86">
        <f t="shared" si="27"/>
        <v>0</v>
      </c>
      <c r="H290" s="87">
        <f t="shared" si="28"/>
        <v>0</v>
      </c>
      <c r="I290" s="418"/>
    </row>
    <row r="291" spans="1:9" x14ac:dyDescent="0.35">
      <c r="A291" s="1327"/>
      <c r="B291" s="73">
        <v>53208030000000</v>
      </c>
      <c r="C291" s="74" t="s">
        <v>162</v>
      </c>
      <c r="D291" s="92">
        <v>0</v>
      </c>
      <c r="E291" s="92"/>
      <c r="F291" s="94"/>
      <c r="G291" s="86">
        <f t="shared" si="27"/>
        <v>0</v>
      </c>
      <c r="H291" s="87">
        <f t="shared" si="28"/>
        <v>0</v>
      </c>
      <c r="I291" s="418"/>
    </row>
    <row r="292" spans="1:9" x14ac:dyDescent="0.35">
      <c r="A292" s="1327"/>
      <c r="B292" s="73">
        <v>53212060000000</v>
      </c>
      <c r="C292" s="74" t="s">
        <v>163</v>
      </c>
      <c r="D292" s="83">
        <v>251356</v>
      </c>
      <c r="E292" s="83"/>
      <c r="F292" s="85"/>
      <c r="G292" s="86">
        <f t="shared" si="27"/>
        <v>0</v>
      </c>
      <c r="H292" s="87">
        <f t="shared" si="28"/>
        <v>251356</v>
      </c>
      <c r="I292" s="418" t="s">
        <v>605</v>
      </c>
    </row>
    <row r="293" spans="1:9" x14ac:dyDescent="0.35">
      <c r="A293" s="1327"/>
      <c r="B293" s="68"/>
      <c r="C293" s="69" t="s">
        <v>164</v>
      </c>
      <c r="D293" s="70">
        <f>SUM(D294:D295)</f>
        <v>1417108</v>
      </c>
      <c r="E293" s="88"/>
      <c r="F293" s="88"/>
      <c r="G293" s="91">
        <f>SUM(G294:G295)</f>
        <v>0</v>
      </c>
      <c r="H293" s="90">
        <f>SUM(H294:H295)</f>
        <v>1417108</v>
      </c>
      <c r="I293" s="418"/>
    </row>
    <row r="294" spans="1:9" x14ac:dyDescent="0.35">
      <c r="A294" s="1327"/>
      <c r="B294" s="73">
        <v>53210020500000</v>
      </c>
      <c r="C294" s="74" t="s">
        <v>165</v>
      </c>
      <c r="D294" s="83">
        <v>164428</v>
      </c>
      <c r="E294" s="83"/>
      <c r="F294" s="85"/>
      <c r="G294" s="86">
        <f>E294*F294</f>
        <v>0</v>
      </c>
      <c r="H294" s="102">
        <f>D294+G294</f>
        <v>164428</v>
      </c>
      <c r="I294" s="418"/>
    </row>
    <row r="295" spans="1:9" x14ac:dyDescent="0.35">
      <c r="A295" s="1327"/>
      <c r="B295" s="103">
        <v>53204999000000</v>
      </c>
      <c r="C295" s="104" t="s">
        <v>166</v>
      </c>
      <c r="D295" s="92">
        <v>1252680</v>
      </c>
      <c r="E295" s="92"/>
      <c r="F295" s="94"/>
      <c r="G295" s="105">
        <f>E295*F295</f>
        <v>0</v>
      </c>
      <c r="H295" s="102">
        <f>D295+G295</f>
        <v>1252680</v>
      </c>
      <c r="I295" s="418"/>
    </row>
    <row r="296" spans="1:9" x14ac:dyDescent="0.35">
      <c r="A296" s="1328"/>
      <c r="B296" s="106"/>
      <c r="C296" s="107" t="s">
        <v>12</v>
      </c>
      <c r="D296" s="108">
        <f>SUM(D227,D255)</f>
        <v>25634478.93</v>
      </c>
      <c r="E296" s="109"/>
      <c r="F296" s="109"/>
      <c r="G296" s="108">
        <f>SUM(G227,G255)</f>
        <v>4029964.8400000003</v>
      </c>
      <c r="H296" s="110">
        <f>SUM(H227,H255)</f>
        <v>29664443.769999996</v>
      </c>
      <c r="I296" s="418"/>
    </row>
    <row r="297" spans="1:9" x14ac:dyDescent="0.35">
      <c r="A297" s="1310" t="s">
        <v>25</v>
      </c>
      <c r="B297" s="1312" t="s">
        <v>90</v>
      </c>
      <c r="C297" s="1314" t="s">
        <v>91</v>
      </c>
      <c r="D297" s="1316" t="s">
        <v>92</v>
      </c>
      <c r="E297" s="1318" t="s">
        <v>93</v>
      </c>
      <c r="F297" s="1319"/>
      <c r="G297" s="1320"/>
      <c r="H297" s="1321" t="str">
        <f>+H225</f>
        <v>COSTO DIRECTO ESTIMADO 2026</v>
      </c>
      <c r="I297" s="1309" t="s">
        <v>94</v>
      </c>
    </row>
    <row r="298" spans="1:9" ht="26" x14ac:dyDescent="0.35">
      <c r="A298" s="1311"/>
      <c r="B298" s="1313"/>
      <c r="C298" s="1315"/>
      <c r="D298" s="1317"/>
      <c r="E298" s="60" t="s">
        <v>95</v>
      </c>
      <c r="F298" s="61" t="s">
        <v>96</v>
      </c>
      <c r="G298" s="62" t="s">
        <v>97</v>
      </c>
      <c r="H298" s="1322"/>
      <c r="I298" s="1309"/>
    </row>
    <row r="299" spans="1:9" x14ac:dyDescent="0.35">
      <c r="A299" s="1326" t="str">
        <f>+'B) Reajuste Tarifas y Ocupación'!A33</f>
        <v>Canchas C.N.C. Tumbes</v>
      </c>
      <c r="B299" s="63"/>
      <c r="C299" s="64" t="s">
        <v>98</v>
      </c>
      <c r="D299" s="65">
        <f>SUM(D300,D305,D307)</f>
        <v>0</v>
      </c>
      <c r="E299" s="66"/>
      <c r="F299" s="66"/>
      <c r="G299" s="65">
        <f>SUM(G300,G305,G307)</f>
        <v>1102520.4750000001</v>
      </c>
      <c r="H299" s="67">
        <f>SUM(H300,H305,H307)</f>
        <v>1102520.4750000001</v>
      </c>
      <c r="I299" s="418"/>
    </row>
    <row r="300" spans="1:9" x14ac:dyDescent="0.35">
      <c r="A300" s="1327"/>
      <c r="B300" s="68"/>
      <c r="C300" s="69" t="s">
        <v>99</v>
      </c>
      <c r="D300" s="70">
        <f>SUM(D301:D304)</f>
        <v>0</v>
      </c>
      <c r="E300" s="71"/>
      <c r="F300" s="71"/>
      <c r="G300" s="70">
        <f>SUM(G301:G304)</f>
        <v>0</v>
      </c>
      <c r="H300" s="72">
        <f>SUM(H301:H304)</f>
        <v>0</v>
      </c>
      <c r="I300" s="418"/>
    </row>
    <row r="301" spans="1:9" x14ac:dyDescent="0.35">
      <c r="A301" s="1327"/>
      <c r="B301" s="73">
        <v>53103040100000</v>
      </c>
      <c r="C301" s="74" t="s">
        <v>100</v>
      </c>
      <c r="D301" s="75">
        <f>+'F) Remuneraciones'!M114</f>
        <v>0</v>
      </c>
      <c r="E301" s="76"/>
      <c r="F301" s="76"/>
      <c r="G301" s="76"/>
      <c r="H301" s="77">
        <f>D301+G301</f>
        <v>0</v>
      </c>
      <c r="I301" s="418"/>
    </row>
    <row r="302" spans="1:9" x14ac:dyDescent="0.35">
      <c r="A302" s="1327"/>
      <c r="B302" s="73">
        <v>53103050000000</v>
      </c>
      <c r="C302" s="74" t="s">
        <v>101</v>
      </c>
      <c r="D302" s="78">
        <v>0</v>
      </c>
      <c r="E302" s="79"/>
      <c r="F302" s="80"/>
      <c r="G302" s="81">
        <f>E302*F302</f>
        <v>0</v>
      </c>
      <c r="H302" s="82">
        <f>D302+G302</f>
        <v>0</v>
      </c>
      <c r="I302" s="418"/>
    </row>
    <row r="303" spans="1:9" x14ac:dyDescent="0.35">
      <c r="A303" s="1327"/>
      <c r="B303" s="73">
        <v>53103060000000</v>
      </c>
      <c r="C303" s="74" t="s">
        <v>102</v>
      </c>
      <c r="D303" s="83">
        <v>0</v>
      </c>
      <c r="E303" s="84"/>
      <c r="F303" s="85"/>
      <c r="G303" s="86">
        <f>E303*F303</f>
        <v>0</v>
      </c>
      <c r="H303" s="87">
        <f>D303+G303</f>
        <v>0</v>
      </c>
      <c r="I303" s="418"/>
    </row>
    <row r="304" spans="1:9" x14ac:dyDescent="0.35">
      <c r="A304" s="1327"/>
      <c r="B304" s="73">
        <v>53103080010000</v>
      </c>
      <c r="C304" s="74" t="s">
        <v>103</v>
      </c>
      <c r="D304" s="83">
        <v>0</v>
      </c>
      <c r="E304" s="84"/>
      <c r="F304" s="85"/>
      <c r="G304" s="86">
        <f>E304*F304</f>
        <v>0</v>
      </c>
      <c r="H304" s="87">
        <f>D304+G304</f>
        <v>0</v>
      </c>
      <c r="I304" s="418"/>
    </row>
    <row r="305" spans="1:9" x14ac:dyDescent="0.35">
      <c r="A305" s="1327"/>
      <c r="B305" s="68"/>
      <c r="C305" s="69" t="s">
        <v>104</v>
      </c>
      <c r="D305" s="70"/>
      <c r="E305" s="88"/>
      <c r="F305" s="88"/>
      <c r="G305" s="89">
        <f>SUM(G306:G306)</f>
        <v>0</v>
      </c>
      <c r="H305" s="90">
        <f>SUM(H306:H306)</f>
        <v>0</v>
      </c>
      <c r="I305" s="418"/>
    </row>
    <row r="306" spans="1:9" x14ac:dyDescent="0.35">
      <c r="A306" s="1327"/>
      <c r="B306" s="73">
        <v>55201010100001</v>
      </c>
      <c r="C306" s="74" t="s">
        <v>105</v>
      </c>
      <c r="D306" s="83">
        <v>0</v>
      </c>
      <c r="E306" s="84"/>
      <c r="F306" s="85"/>
      <c r="G306" s="86">
        <f>E306*F306</f>
        <v>0</v>
      </c>
      <c r="H306" s="87">
        <f>D306+G306</f>
        <v>0</v>
      </c>
      <c r="I306" s="418"/>
    </row>
    <row r="307" spans="1:9" x14ac:dyDescent="0.35">
      <c r="A307" s="1327"/>
      <c r="B307" s="68"/>
      <c r="C307" s="69" t="s">
        <v>106</v>
      </c>
      <c r="D307" s="70"/>
      <c r="E307" s="88"/>
      <c r="F307" s="88"/>
      <c r="G307" s="91">
        <f>SUM(G308:G326)</f>
        <v>1102520.4750000001</v>
      </c>
      <c r="H307" s="90">
        <f>SUM(H308:H326)</f>
        <v>1102520.4750000001</v>
      </c>
      <c r="I307" s="418"/>
    </row>
    <row r="308" spans="1:9" x14ac:dyDescent="0.35">
      <c r="A308" s="1327"/>
      <c r="B308" s="73">
        <v>53201010100000</v>
      </c>
      <c r="C308" s="74" t="s">
        <v>107</v>
      </c>
      <c r="D308" s="83">
        <v>0</v>
      </c>
      <c r="E308" s="84"/>
      <c r="F308" s="85"/>
      <c r="G308" s="86">
        <f t="shared" ref="G308:G326" si="29">E308*F308</f>
        <v>0</v>
      </c>
      <c r="H308" s="87">
        <f t="shared" ref="H308:H326" si="30">D308+G308</f>
        <v>0</v>
      </c>
      <c r="I308" s="418"/>
    </row>
    <row r="309" spans="1:9" x14ac:dyDescent="0.35">
      <c r="A309" s="1327"/>
      <c r="B309" s="73">
        <v>53202010100000</v>
      </c>
      <c r="C309" s="74" t="s">
        <v>108</v>
      </c>
      <c r="D309" s="83">
        <v>0</v>
      </c>
      <c r="E309" s="84"/>
      <c r="F309" s="85"/>
      <c r="G309" s="86">
        <f t="shared" si="29"/>
        <v>0</v>
      </c>
      <c r="H309" s="87">
        <f t="shared" si="30"/>
        <v>0</v>
      </c>
      <c r="I309" s="418"/>
    </row>
    <row r="310" spans="1:9" x14ac:dyDescent="0.35">
      <c r="A310" s="1327"/>
      <c r="B310" s="73">
        <v>53203010100000</v>
      </c>
      <c r="C310" s="74" t="s">
        <v>109</v>
      </c>
      <c r="D310" s="92">
        <v>0</v>
      </c>
      <c r="E310" s="93"/>
      <c r="F310" s="94"/>
      <c r="G310" s="86">
        <f t="shared" si="29"/>
        <v>0</v>
      </c>
      <c r="H310" s="87">
        <f t="shared" si="30"/>
        <v>0</v>
      </c>
      <c r="I310" s="418"/>
    </row>
    <row r="311" spans="1:9" x14ac:dyDescent="0.35">
      <c r="A311" s="1327"/>
      <c r="B311" s="73">
        <v>53203030000000</v>
      </c>
      <c r="C311" s="74" t="s">
        <v>110</v>
      </c>
      <c r="D311" s="92">
        <v>0</v>
      </c>
      <c r="E311" s="93"/>
      <c r="F311" s="94"/>
      <c r="G311" s="86">
        <f t="shared" si="29"/>
        <v>0</v>
      </c>
      <c r="H311" s="87">
        <f t="shared" si="30"/>
        <v>0</v>
      </c>
      <c r="I311" s="418"/>
    </row>
    <row r="312" spans="1:9" x14ac:dyDescent="0.35">
      <c r="A312" s="1327"/>
      <c r="B312" s="73">
        <v>53204030000000</v>
      </c>
      <c r="C312" s="74" t="s">
        <v>111</v>
      </c>
      <c r="D312" s="92">
        <v>0</v>
      </c>
      <c r="E312" s="93"/>
      <c r="F312" s="94"/>
      <c r="G312" s="86">
        <f t="shared" si="29"/>
        <v>0</v>
      </c>
      <c r="H312" s="87">
        <f t="shared" si="30"/>
        <v>0</v>
      </c>
      <c r="I312" s="418"/>
    </row>
    <row r="313" spans="1:9" x14ac:dyDescent="0.35">
      <c r="A313" s="1327"/>
      <c r="B313" s="73">
        <v>53204100100001</v>
      </c>
      <c r="C313" s="74" t="s">
        <v>112</v>
      </c>
      <c r="D313" s="92">
        <v>0</v>
      </c>
      <c r="E313" s="93"/>
      <c r="F313" s="94"/>
      <c r="G313" s="86">
        <f t="shared" si="29"/>
        <v>0</v>
      </c>
      <c r="H313" s="87">
        <f t="shared" si="30"/>
        <v>0</v>
      </c>
      <c r="I313" s="417"/>
    </row>
    <row r="314" spans="1:9" x14ac:dyDescent="0.35">
      <c r="A314" s="1327"/>
      <c r="B314" s="73">
        <v>53204130100000</v>
      </c>
      <c r="C314" s="74" t="s">
        <v>113</v>
      </c>
      <c r="D314" s="92">
        <v>0</v>
      </c>
      <c r="E314" s="93"/>
      <c r="F314" s="94"/>
      <c r="G314" s="86">
        <f t="shared" si="29"/>
        <v>0</v>
      </c>
      <c r="H314" s="87">
        <f t="shared" si="30"/>
        <v>0</v>
      </c>
      <c r="I314" s="418"/>
    </row>
    <row r="315" spans="1:9" x14ac:dyDescent="0.35">
      <c r="A315" s="1327"/>
      <c r="B315" s="73">
        <v>53205010100000</v>
      </c>
      <c r="C315" s="95" t="s">
        <v>114</v>
      </c>
      <c r="D315" s="92">
        <v>0</v>
      </c>
      <c r="E315" s="93"/>
      <c r="F315" s="94"/>
      <c r="G315" s="86">
        <f t="shared" si="29"/>
        <v>0</v>
      </c>
      <c r="H315" s="87">
        <f t="shared" si="30"/>
        <v>0</v>
      </c>
      <c r="I315" s="421"/>
    </row>
    <row r="316" spans="1:9" x14ac:dyDescent="0.35">
      <c r="A316" s="1327"/>
      <c r="B316" s="73">
        <v>53205020100000</v>
      </c>
      <c r="C316" s="95" t="s">
        <v>115</v>
      </c>
      <c r="D316" s="92">
        <v>0</v>
      </c>
      <c r="E316" s="93">
        <v>702</v>
      </c>
      <c r="F316" s="94">
        <v>1570.5419871794873</v>
      </c>
      <c r="G316" s="86">
        <f t="shared" si="29"/>
        <v>1102520.4750000001</v>
      </c>
      <c r="H316" s="87">
        <f t="shared" si="30"/>
        <v>1102520.4750000001</v>
      </c>
      <c r="I316" s="421"/>
    </row>
    <row r="317" spans="1:9" x14ac:dyDescent="0.35">
      <c r="A317" s="1327"/>
      <c r="B317" s="73">
        <v>53205030100000</v>
      </c>
      <c r="C317" s="74" t="s">
        <v>116</v>
      </c>
      <c r="D317" s="92">
        <v>0</v>
      </c>
      <c r="E317" s="93"/>
      <c r="F317" s="94"/>
      <c r="G317" s="86">
        <f t="shared" si="29"/>
        <v>0</v>
      </c>
      <c r="H317" s="87">
        <f t="shared" si="30"/>
        <v>0</v>
      </c>
      <c r="I317" s="418"/>
    </row>
    <row r="318" spans="1:9" x14ac:dyDescent="0.35">
      <c r="A318" s="1327"/>
      <c r="B318" s="73">
        <v>53205050100000</v>
      </c>
      <c r="C318" s="74" t="s">
        <v>117</v>
      </c>
      <c r="D318" s="92">
        <v>0</v>
      </c>
      <c r="E318" s="93"/>
      <c r="F318" s="94"/>
      <c r="G318" s="86">
        <f t="shared" si="29"/>
        <v>0</v>
      </c>
      <c r="H318" s="87">
        <f t="shared" si="30"/>
        <v>0</v>
      </c>
      <c r="I318" s="418"/>
    </row>
    <row r="319" spans="1:9" x14ac:dyDescent="0.35">
      <c r="A319" s="1327"/>
      <c r="B319" s="73">
        <v>53205060100000</v>
      </c>
      <c r="C319" s="74" t="s">
        <v>118</v>
      </c>
      <c r="D319" s="92">
        <v>0</v>
      </c>
      <c r="E319" s="93"/>
      <c r="F319" s="94"/>
      <c r="G319" s="86">
        <f t="shared" si="29"/>
        <v>0</v>
      </c>
      <c r="H319" s="87">
        <f t="shared" si="30"/>
        <v>0</v>
      </c>
      <c r="I319" s="418"/>
    </row>
    <row r="320" spans="1:9" x14ac:dyDescent="0.35">
      <c r="A320" s="1327"/>
      <c r="B320" s="73">
        <v>53205070100000</v>
      </c>
      <c r="C320" s="95" t="s">
        <v>119</v>
      </c>
      <c r="D320" s="92">
        <v>0</v>
      </c>
      <c r="E320" s="93"/>
      <c r="F320" s="94"/>
      <c r="G320" s="86">
        <f t="shared" si="29"/>
        <v>0</v>
      </c>
      <c r="H320" s="87">
        <f t="shared" si="30"/>
        <v>0</v>
      </c>
      <c r="I320" s="418"/>
    </row>
    <row r="321" spans="1:9" x14ac:dyDescent="0.35">
      <c r="A321" s="1327"/>
      <c r="B321" s="73">
        <v>53208010100000</v>
      </c>
      <c r="C321" s="74" t="s">
        <v>120</v>
      </c>
      <c r="D321" s="92">
        <v>0</v>
      </c>
      <c r="E321" s="93"/>
      <c r="F321" s="94"/>
      <c r="G321" s="86">
        <f t="shared" si="29"/>
        <v>0</v>
      </c>
      <c r="H321" s="87">
        <f t="shared" si="30"/>
        <v>0</v>
      </c>
      <c r="I321" s="418"/>
    </row>
    <row r="322" spans="1:9" x14ac:dyDescent="0.35">
      <c r="A322" s="1327"/>
      <c r="B322" s="73">
        <v>53208070100001</v>
      </c>
      <c r="C322" s="74" t="s">
        <v>121</v>
      </c>
      <c r="D322" s="92">
        <v>0</v>
      </c>
      <c r="E322" s="93"/>
      <c r="F322" s="94"/>
      <c r="G322" s="86">
        <f t="shared" si="29"/>
        <v>0</v>
      </c>
      <c r="H322" s="87">
        <f t="shared" si="30"/>
        <v>0</v>
      </c>
      <c r="I322" s="418"/>
    </row>
    <row r="323" spans="1:9" x14ac:dyDescent="0.35">
      <c r="A323" s="1327"/>
      <c r="B323" s="73">
        <v>53208100100001</v>
      </c>
      <c r="C323" s="74" t="s">
        <v>122</v>
      </c>
      <c r="D323" s="92">
        <v>0</v>
      </c>
      <c r="E323" s="93"/>
      <c r="F323" s="94"/>
      <c r="G323" s="86">
        <f t="shared" si="29"/>
        <v>0</v>
      </c>
      <c r="H323" s="87">
        <f t="shared" si="30"/>
        <v>0</v>
      </c>
      <c r="I323" s="418"/>
    </row>
    <row r="324" spans="1:9" x14ac:dyDescent="0.35">
      <c r="A324" s="1327"/>
      <c r="B324" s="73">
        <v>53211030000000</v>
      </c>
      <c r="C324" s="74" t="s">
        <v>123</v>
      </c>
      <c r="D324" s="92">
        <v>0</v>
      </c>
      <c r="E324" s="93"/>
      <c r="F324" s="94"/>
      <c r="G324" s="86">
        <f t="shared" si="29"/>
        <v>0</v>
      </c>
      <c r="H324" s="87">
        <f t="shared" si="30"/>
        <v>0</v>
      </c>
      <c r="I324" s="418"/>
    </row>
    <row r="325" spans="1:9" x14ac:dyDescent="0.35">
      <c r="A325" s="1327"/>
      <c r="B325" s="73">
        <v>53212020100000</v>
      </c>
      <c r="C325" s="74" t="s">
        <v>124</v>
      </c>
      <c r="D325" s="92">
        <v>0</v>
      </c>
      <c r="E325" s="93"/>
      <c r="F325" s="94"/>
      <c r="G325" s="86">
        <f t="shared" si="29"/>
        <v>0</v>
      </c>
      <c r="H325" s="87">
        <f t="shared" si="30"/>
        <v>0</v>
      </c>
      <c r="I325" s="418"/>
    </row>
    <row r="326" spans="1:9" x14ac:dyDescent="0.35">
      <c r="A326" s="1327"/>
      <c r="B326" s="73">
        <v>53214020000000</v>
      </c>
      <c r="C326" s="74" t="s">
        <v>125</v>
      </c>
      <c r="D326" s="83">
        <v>0</v>
      </c>
      <c r="E326" s="84"/>
      <c r="F326" s="85"/>
      <c r="G326" s="86">
        <f t="shared" si="29"/>
        <v>0</v>
      </c>
      <c r="H326" s="87">
        <f t="shared" si="30"/>
        <v>0</v>
      </c>
      <c r="I326" s="418"/>
    </row>
    <row r="327" spans="1:9" x14ac:dyDescent="0.35">
      <c r="A327" s="1327"/>
      <c r="B327" s="63"/>
      <c r="C327" s="64" t="s">
        <v>126</v>
      </c>
      <c r="D327" s="96">
        <f>SUM(D328,D333,D336,D347,D357,D365)</f>
        <v>0</v>
      </c>
      <c r="E327" s="66"/>
      <c r="F327" s="66"/>
      <c r="G327" s="97">
        <f>SUM(G328,G333,G336,G347,G357,G365)</f>
        <v>0</v>
      </c>
      <c r="H327" s="98">
        <f>SUM(H328,H333,H336,H347,H357,H365)</f>
        <v>0</v>
      </c>
      <c r="I327" s="418"/>
    </row>
    <row r="328" spans="1:9" x14ac:dyDescent="0.35">
      <c r="A328" s="1327"/>
      <c r="B328" s="68"/>
      <c r="C328" s="69" t="s">
        <v>127</v>
      </c>
      <c r="D328" s="70"/>
      <c r="E328" s="88"/>
      <c r="F328" s="88"/>
      <c r="G328" s="89">
        <f>SUM(G329:G332)</f>
        <v>0</v>
      </c>
      <c r="H328" s="99">
        <f>SUM(H329:H332)</f>
        <v>0</v>
      </c>
      <c r="I328" s="418"/>
    </row>
    <row r="329" spans="1:9" x14ac:dyDescent="0.35">
      <c r="A329" s="1327"/>
      <c r="B329" s="73">
        <v>53202020100000</v>
      </c>
      <c r="C329" s="74" t="s">
        <v>128</v>
      </c>
      <c r="D329" s="92">
        <v>0</v>
      </c>
      <c r="E329" s="93"/>
      <c r="F329" s="94"/>
      <c r="G329" s="86">
        <f>E329*F329</f>
        <v>0</v>
      </c>
      <c r="H329" s="87">
        <f>D329+G329</f>
        <v>0</v>
      </c>
      <c r="I329" s="418"/>
    </row>
    <row r="330" spans="1:9" x14ac:dyDescent="0.35">
      <c r="A330" s="1327"/>
      <c r="B330" s="73">
        <v>53202030000000</v>
      </c>
      <c r="C330" s="74" t="s">
        <v>129</v>
      </c>
      <c r="D330" s="83">
        <v>0</v>
      </c>
      <c r="E330" s="84"/>
      <c r="F330" s="85"/>
      <c r="G330" s="86">
        <f>E330*F330</f>
        <v>0</v>
      </c>
      <c r="H330" s="87">
        <f>D330+G330</f>
        <v>0</v>
      </c>
      <c r="I330" s="418"/>
    </row>
    <row r="331" spans="1:9" x14ac:dyDescent="0.35">
      <c r="A331" s="1327"/>
      <c r="B331" s="73">
        <v>53211020000000</v>
      </c>
      <c r="C331" s="74" t="s">
        <v>130</v>
      </c>
      <c r="D331" s="92">
        <v>0</v>
      </c>
      <c r="E331" s="93"/>
      <c r="F331" s="94"/>
      <c r="G331" s="86">
        <f>E331*F331</f>
        <v>0</v>
      </c>
      <c r="H331" s="87">
        <f>D331+G331</f>
        <v>0</v>
      </c>
      <c r="I331" s="418"/>
    </row>
    <row r="332" spans="1:9" x14ac:dyDescent="0.35">
      <c r="A332" s="1327"/>
      <c r="B332" s="73">
        <v>53101004030000</v>
      </c>
      <c r="C332" s="74" t="s">
        <v>131</v>
      </c>
      <c r="D332" s="83">
        <v>0</v>
      </c>
      <c r="E332" s="84"/>
      <c r="F332" s="85"/>
      <c r="G332" s="86">
        <f>E332*F332</f>
        <v>0</v>
      </c>
      <c r="H332" s="87">
        <f>D332+G332</f>
        <v>0</v>
      </c>
      <c r="I332" s="418"/>
    </row>
    <row r="333" spans="1:9" x14ac:dyDescent="0.35">
      <c r="A333" s="1327"/>
      <c r="B333" s="68"/>
      <c r="C333" s="69" t="s">
        <v>132</v>
      </c>
      <c r="D333" s="70"/>
      <c r="E333" s="88"/>
      <c r="F333" s="88"/>
      <c r="G333" s="89">
        <f>SUM(G334:G335)</f>
        <v>0</v>
      </c>
      <c r="H333" s="99">
        <f>SUM(H334:H335)</f>
        <v>0</v>
      </c>
      <c r="I333" s="418"/>
    </row>
    <row r="334" spans="1:9" x14ac:dyDescent="0.35">
      <c r="A334" s="1327"/>
      <c r="B334" s="73">
        <v>53205080000000</v>
      </c>
      <c r="C334" s="100" t="s">
        <v>133</v>
      </c>
      <c r="D334" s="83">
        <v>0</v>
      </c>
      <c r="E334" s="84"/>
      <c r="F334" s="85"/>
      <c r="G334" s="86">
        <f>E334*F334</f>
        <v>0</v>
      </c>
      <c r="H334" s="87">
        <f>D334+G334</f>
        <v>0</v>
      </c>
      <c r="I334" s="418"/>
    </row>
    <row r="335" spans="1:9" x14ac:dyDescent="0.35">
      <c r="A335" s="1327"/>
      <c r="B335" s="73">
        <v>53205990000000</v>
      </c>
      <c r="C335" s="74" t="s">
        <v>134</v>
      </c>
      <c r="D335" s="92">
        <v>0</v>
      </c>
      <c r="E335" s="93"/>
      <c r="F335" s="94"/>
      <c r="G335" s="86">
        <f>E335*F335</f>
        <v>0</v>
      </c>
      <c r="H335" s="87">
        <f>D335+G335</f>
        <v>0</v>
      </c>
      <c r="I335" s="418"/>
    </row>
    <row r="336" spans="1:9" x14ac:dyDescent="0.35">
      <c r="A336" s="1327"/>
      <c r="B336" s="68"/>
      <c r="C336" s="69" t="s">
        <v>135</v>
      </c>
      <c r="D336" s="70">
        <f>SUM(D337:D346)</f>
        <v>0</v>
      </c>
      <c r="E336" s="88"/>
      <c r="F336" s="88"/>
      <c r="G336" s="91">
        <f>SUM(G337:G346)</f>
        <v>0</v>
      </c>
      <c r="H336" s="90">
        <f>SUM(H337:H346)</f>
        <v>0</v>
      </c>
      <c r="I336" s="418"/>
    </row>
    <row r="337" spans="1:9" x14ac:dyDescent="0.35">
      <c r="A337" s="1327"/>
      <c r="B337" s="73">
        <v>53203010200000</v>
      </c>
      <c r="C337" s="74" t="s">
        <v>136</v>
      </c>
      <c r="D337" s="83">
        <v>0</v>
      </c>
      <c r="E337" s="83"/>
      <c r="F337" s="85"/>
      <c r="G337" s="86">
        <f t="shared" ref="G337:G346" si="31">E337*F337</f>
        <v>0</v>
      </c>
      <c r="H337" s="87">
        <f t="shared" ref="H337:H346" si="32">D337+G337</f>
        <v>0</v>
      </c>
      <c r="I337" s="418"/>
    </row>
    <row r="338" spans="1:9" x14ac:dyDescent="0.35">
      <c r="A338" s="1327"/>
      <c r="B338" s="73">
        <v>53204010000000</v>
      </c>
      <c r="C338" s="74" t="s">
        <v>137</v>
      </c>
      <c r="D338" s="92">
        <v>0</v>
      </c>
      <c r="E338" s="92"/>
      <c r="F338" s="94"/>
      <c r="G338" s="86">
        <f t="shared" si="31"/>
        <v>0</v>
      </c>
      <c r="H338" s="87">
        <f t="shared" si="32"/>
        <v>0</v>
      </c>
      <c r="I338" s="418"/>
    </row>
    <row r="339" spans="1:9" x14ac:dyDescent="0.35">
      <c r="A339" s="1327"/>
      <c r="B339" s="73">
        <v>53204040200000</v>
      </c>
      <c r="C339" s="100" t="s">
        <v>138</v>
      </c>
      <c r="D339" s="92">
        <v>0</v>
      </c>
      <c r="E339" s="92"/>
      <c r="F339" s="94"/>
      <c r="G339" s="86">
        <f t="shared" si="31"/>
        <v>0</v>
      </c>
      <c r="H339" s="87">
        <f t="shared" si="32"/>
        <v>0</v>
      </c>
      <c r="I339" s="418"/>
    </row>
    <row r="340" spans="1:9" x14ac:dyDescent="0.35">
      <c r="A340" s="1327"/>
      <c r="B340" s="73">
        <v>53204060000000</v>
      </c>
      <c r="C340" s="100" t="s">
        <v>139</v>
      </c>
      <c r="D340" s="92">
        <v>0</v>
      </c>
      <c r="E340" s="92"/>
      <c r="F340" s="94"/>
      <c r="G340" s="86">
        <f t="shared" si="31"/>
        <v>0</v>
      </c>
      <c r="H340" s="87">
        <f t="shared" si="32"/>
        <v>0</v>
      </c>
      <c r="I340" s="418"/>
    </row>
    <row r="341" spans="1:9" x14ac:dyDescent="0.35">
      <c r="A341" s="1327"/>
      <c r="B341" s="73">
        <v>53204070000000</v>
      </c>
      <c r="C341" s="95" t="s">
        <v>140</v>
      </c>
      <c r="D341" s="92">
        <v>0</v>
      </c>
      <c r="E341" s="92"/>
      <c r="F341" s="94"/>
      <c r="G341" s="86">
        <f t="shared" si="31"/>
        <v>0</v>
      </c>
      <c r="H341" s="87">
        <f t="shared" si="32"/>
        <v>0</v>
      </c>
      <c r="I341" s="418"/>
    </row>
    <row r="342" spans="1:9" x14ac:dyDescent="0.35">
      <c r="A342" s="1327"/>
      <c r="B342" s="73">
        <v>53204080000000</v>
      </c>
      <c r="C342" s="100" t="s">
        <v>141</v>
      </c>
      <c r="D342" s="92">
        <v>0</v>
      </c>
      <c r="E342" s="92"/>
      <c r="F342" s="94"/>
      <c r="G342" s="86">
        <f t="shared" si="31"/>
        <v>0</v>
      </c>
      <c r="H342" s="87">
        <f t="shared" si="32"/>
        <v>0</v>
      </c>
      <c r="I342" s="418"/>
    </row>
    <row r="343" spans="1:9" x14ac:dyDescent="0.35">
      <c r="A343" s="1327"/>
      <c r="B343" s="73">
        <v>53214010000000</v>
      </c>
      <c r="C343" s="100" t="s">
        <v>142</v>
      </c>
      <c r="D343" s="83">
        <v>0</v>
      </c>
      <c r="E343" s="83"/>
      <c r="F343" s="85"/>
      <c r="G343" s="86">
        <f t="shared" si="31"/>
        <v>0</v>
      </c>
      <c r="H343" s="87">
        <f t="shared" si="32"/>
        <v>0</v>
      </c>
      <c r="I343" s="418"/>
    </row>
    <row r="344" spans="1:9" x14ac:dyDescent="0.35">
      <c r="A344" s="1327"/>
      <c r="B344" s="73">
        <v>53214040000000</v>
      </c>
      <c r="C344" s="74" t="s">
        <v>143</v>
      </c>
      <c r="D344" s="83">
        <v>0</v>
      </c>
      <c r="E344" s="83"/>
      <c r="F344" s="85"/>
      <c r="G344" s="86">
        <f t="shared" si="31"/>
        <v>0</v>
      </c>
      <c r="H344" s="87">
        <f t="shared" si="32"/>
        <v>0</v>
      </c>
      <c r="I344" s="418"/>
    </row>
    <row r="345" spans="1:9" x14ac:dyDescent="0.35">
      <c r="A345" s="1327"/>
      <c r="B345" s="73">
        <v>55201010100004</v>
      </c>
      <c r="C345" s="74" t="s">
        <v>144</v>
      </c>
      <c r="D345" s="83">
        <v>0</v>
      </c>
      <c r="E345" s="83"/>
      <c r="F345" s="85"/>
      <c r="G345" s="86">
        <f t="shared" si="31"/>
        <v>0</v>
      </c>
      <c r="H345" s="87">
        <f t="shared" si="32"/>
        <v>0</v>
      </c>
      <c r="I345" s="418"/>
    </row>
    <row r="346" spans="1:9" x14ac:dyDescent="0.35">
      <c r="A346" s="1327"/>
      <c r="B346" s="73">
        <v>55201010100005</v>
      </c>
      <c r="C346" s="74" t="s">
        <v>145</v>
      </c>
      <c r="D346" s="83">
        <v>0</v>
      </c>
      <c r="E346" s="83"/>
      <c r="F346" s="85"/>
      <c r="G346" s="86">
        <f t="shared" si="31"/>
        <v>0</v>
      </c>
      <c r="H346" s="87">
        <f t="shared" si="32"/>
        <v>0</v>
      </c>
      <c r="I346" s="418"/>
    </row>
    <row r="347" spans="1:9" x14ac:dyDescent="0.35">
      <c r="A347" s="1327"/>
      <c r="B347" s="68"/>
      <c r="C347" s="69" t="s">
        <v>146</v>
      </c>
      <c r="D347" s="70"/>
      <c r="E347" s="88"/>
      <c r="F347" s="88"/>
      <c r="G347" s="91">
        <f>SUM(G348:G356)</f>
        <v>0</v>
      </c>
      <c r="H347" s="90">
        <f>SUM(H348:H356)</f>
        <v>0</v>
      </c>
      <c r="I347" s="418"/>
    </row>
    <row r="348" spans="1:9" x14ac:dyDescent="0.35">
      <c r="A348" s="1327"/>
      <c r="B348" s="73">
        <v>53207010000000</v>
      </c>
      <c r="C348" s="74" t="s">
        <v>147</v>
      </c>
      <c r="D348" s="92">
        <v>0</v>
      </c>
      <c r="E348" s="92"/>
      <c r="F348" s="94"/>
      <c r="G348" s="86">
        <f t="shared" ref="G348:G356" si="33">E348*F348</f>
        <v>0</v>
      </c>
      <c r="H348" s="87">
        <f t="shared" ref="H348:H356" si="34">D348+G348</f>
        <v>0</v>
      </c>
      <c r="I348" s="418"/>
    </row>
    <row r="349" spans="1:9" x14ac:dyDescent="0.35">
      <c r="A349" s="1327"/>
      <c r="B349" s="73">
        <v>53207020000000</v>
      </c>
      <c r="C349" s="74" t="s">
        <v>148</v>
      </c>
      <c r="D349" s="92">
        <v>0</v>
      </c>
      <c r="E349" s="92"/>
      <c r="F349" s="94"/>
      <c r="G349" s="86">
        <f t="shared" si="33"/>
        <v>0</v>
      </c>
      <c r="H349" s="87">
        <f t="shared" si="34"/>
        <v>0</v>
      </c>
      <c r="I349" s="418"/>
    </row>
    <row r="350" spans="1:9" x14ac:dyDescent="0.35">
      <c r="A350" s="1327"/>
      <c r="B350" s="73">
        <v>53208020000000</v>
      </c>
      <c r="C350" s="74" t="s">
        <v>149</v>
      </c>
      <c r="D350" s="92">
        <v>0</v>
      </c>
      <c r="E350" s="92"/>
      <c r="F350" s="94"/>
      <c r="G350" s="86">
        <f t="shared" si="33"/>
        <v>0</v>
      </c>
      <c r="H350" s="87">
        <f t="shared" si="34"/>
        <v>0</v>
      </c>
      <c r="I350" s="418"/>
    </row>
    <row r="351" spans="1:9" x14ac:dyDescent="0.35">
      <c r="A351" s="1327"/>
      <c r="B351" s="73">
        <v>53208990000000</v>
      </c>
      <c r="C351" s="74" t="s">
        <v>150</v>
      </c>
      <c r="D351" s="92">
        <v>0</v>
      </c>
      <c r="E351" s="92"/>
      <c r="F351" s="94"/>
      <c r="G351" s="86">
        <f t="shared" si="33"/>
        <v>0</v>
      </c>
      <c r="H351" s="87">
        <f t="shared" si="34"/>
        <v>0</v>
      </c>
      <c r="I351" s="418"/>
    </row>
    <row r="352" spans="1:9" x14ac:dyDescent="0.35">
      <c r="A352" s="1327"/>
      <c r="B352" s="73">
        <v>53209010000000</v>
      </c>
      <c r="C352" s="74" t="s">
        <v>151</v>
      </c>
      <c r="D352" s="92">
        <v>0</v>
      </c>
      <c r="E352" s="92"/>
      <c r="F352" s="94"/>
      <c r="G352" s="86">
        <f t="shared" si="33"/>
        <v>0</v>
      </c>
      <c r="H352" s="87">
        <f t="shared" si="34"/>
        <v>0</v>
      </c>
      <c r="I352" s="418"/>
    </row>
    <row r="353" spans="1:9" x14ac:dyDescent="0.35">
      <c r="A353" s="1327"/>
      <c r="B353" s="73">
        <v>53209040000000</v>
      </c>
      <c r="C353" s="74" t="s">
        <v>152</v>
      </c>
      <c r="D353" s="92">
        <v>0</v>
      </c>
      <c r="E353" s="92"/>
      <c r="F353" s="94"/>
      <c r="G353" s="86">
        <f t="shared" si="33"/>
        <v>0</v>
      </c>
      <c r="H353" s="87">
        <f t="shared" si="34"/>
        <v>0</v>
      </c>
      <c r="I353" s="418"/>
    </row>
    <row r="354" spans="1:9" x14ac:dyDescent="0.35">
      <c r="A354" s="1327"/>
      <c r="B354" s="73">
        <v>53209050000000</v>
      </c>
      <c r="C354" s="74" t="s">
        <v>153</v>
      </c>
      <c r="D354" s="92">
        <v>0</v>
      </c>
      <c r="E354" s="92"/>
      <c r="F354" s="94"/>
      <c r="G354" s="86">
        <f t="shared" si="33"/>
        <v>0</v>
      </c>
      <c r="H354" s="87">
        <f t="shared" si="34"/>
        <v>0</v>
      </c>
      <c r="I354" s="418"/>
    </row>
    <row r="355" spans="1:9" x14ac:dyDescent="0.35">
      <c r="A355" s="1327"/>
      <c r="B355" s="73">
        <v>53209990000000</v>
      </c>
      <c r="C355" s="74" t="s">
        <v>154</v>
      </c>
      <c r="D355" s="92">
        <v>0</v>
      </c>
      <c r="E355" s="92"/>
      <c r="F355" s="94"/>
      <c r="G355" s="86">
        <f t="shared" si="33"/>
        <v>0</v>
      </c>
      <c r="H355" s="87">
        <f t="shared" si="34"/>
        <v>0</v>
      </c>
      <c r="I355" s="418"/>
    </row>
    <row r="356" spans="1:9" x14ac:dyDescent="0.35">
      <c r="A356" s="1327"/>
      <c r="B356" s="73">
        <v>53210020100000</v>
      </c>
      <c r="C356" s="74" t="s">
        <v>155</v>
      </c>
      <c r="D356" s="92">
        <v>0</v>
      </c>
      <c r="E356" s="92"/>
      <c r="F356" s="94"/>
      <c r="G356" s="86">
        <f t="shared" si="33"/>
        <v>0</v>
      </c>
      <c r="H356" s="87">
        <f t="shared" si="34"/>
        <v>0</v>
      </c>
      <c r="I356" s="418"/>
    </row>
    <row r="357" spans="1:9" x14ac:dyDescent="0.35">
      <c r="A357" s="1327"/>
      <c r="B357" s="68"/>
      <c r="C357" s="69" t="s">
        <v>156</v>
      </c>
      <c r="D357" s="70">
        <f>SUM(D358:D364)</f>
        <v>0</v>
      </c>
      <c r="E357" s="88"/>
      <c r="F357" s="88"/>
      <c r="G357" s="91">
        <f>SUM(G358:G364)</f>
        <v>0</v>
      </c>
      <c r="H357" s="90">
        <f>SUM(H358:H364)</f>
        <v>0</v>
      </c>
      <c r="I357" s="418"/>
    </row>
    <row r="358" spans="1:9" x14ac:dyDescent="0.35">
      <c r="A358" s="1327"/>
      <c r="B358" s="73">
        <v>53206030000000</v>
      </c>
      <c r="C358" s="74" t="s">
        <v>157</v>
      </c>
      <c r="D358" s="92">
        <v>0</v>
      </c>
      <c r="E358" s="92"/>
      <c r="F358" s="94"/>
      <c r="G358" s="86">
        <f t="shared" ref="G358:G364" si="35">E358*F358</f>
        <v>0</v>
      </c>
      <c r="H358" s="87">
        <f t="shared" ref="H358:H364" si="36">D358+G358</f>
        <v>0</v>
      </c>
      <c r="I358" s="418"/>
    </row>
    <row r="359" spans="1:9" x14ac:dyDescent="0.35">
      <c r="A359" s="1327"/>
      <c r="B359" s="73">
        <v>53206040000000</v>
      </c>
      <c r="C359" s="74" t="s">
        <v>158</v>
      </c>
      <c r="D359" s="92">
        <v>0</v>
      </c>
      <c r="E359" s="92"/>
      <c r="F359" s="94"/>
      <c r="G359" s="86">
        <f t="shared" si="35"/>
        <v>0</v>
      </c>
      <c r="H359" s="87">
        <f t="shared" si="36"/>
        <v>0</v>
      </c>
      <c r="I359" s="418"/>
    </row>
    <row r="360" spans="1:9" x14ac:dyDescent="0.35">
      <c r="A360" s="1327"/>
      <c r="B360" s="73">
        <v>53206060000000</v>
      </c>
      <c r="C360" s="74" t="s">
        <v>159</v>
      </c>
      <c r="D360" s="92">
        <v>0</v>
      </c>
      <c r="E360" s="92"/>
      <c r="F360" s="94"/>
      <c r="G360" s="86">
        <f t="shared" si="35"/>
        <v>0</v>
      </c>
      <c r="H360" s="87">
        <f t="shared" si="36"/>
        <v>0</v>
      </c>
      <c r="I360" s="418"/>
    </row>
    <row r="361" spans="1:9" x14ac:dyDescent="0.35">
      <c r="A361" s="1327"/>
      <c r="B361" s="73">
        <v>53206070000000</v>
      </c>
      <c r="C361" s="74" t="s">
        <v>160</v>
      </c>
      <c r="D361" s="92">
        <v>0</v>
      </c>
      <c r="E361" s="92"/>
      <c r="F361" s="94"/>
      <c r="G361" s="86">
        <f t="shared" si="35"/>
        <v>0</v>
      </c>
      <c r="H361" s="87">
        <f t="shared" si="36"/>
        <v>0</v>
      </c>
      <c r="I361" s="418"/>
    </row>
    <row r="362" spans="1:9" x14ac:dyDescent="0.35">
      <c r="A362" s="1327"/>
      <c r="B362" s="73">
        <v>53206990000000</v>
      </c>
      <c r="C362" s="74" t="s">
        <v>161</v>
      </c>
      <c r="D362" s="92">
        <v>0</v>
      </c>
      <c r="E362" s="92"/>
      <c r="F362" s="94"/>
      <c r="G362" s="86">
        <f t="shared" si="35"/>
        <v>0</v>
      </c>
      <c r="H362" s="87">
        <f t="shared" si="36"/>
        <v>0</v>
      </c>
      <c r="I362" s="418"/>
    </row>
    <row r="363" spans="1:9" x14ac:dyDescent="0.35">
      <c r="A363" s="1327"/>
      <c r="B363" s="73">
        <v>53208030000000</v>
      </c>
      <c r="C363" s="74" t="s">
        <v>162</v>
      </c>
      <c r="D363" s="92">
        <v>0</v>
      </c>
      <c r="E363" s="92"/>
      <c r="F363" s="94"/>
      <c r="G363" s="86">
        <f t="shared" si="35"/>
        <v>0</v>
      </c>
      <c r="H363" s="87">
        <f t="shared" si="36"/>
        <v>0</v>
      </c>
      <c r="I363" s="418"/>
    </row>
    <row r="364" spans="1:9" x14ac:dyDescent="0.35">
      <c r="A364" s="1327"/>
      <c r="B364" s="73">
        <v>53212060000000</v>
      </c>
      <c r="C364" s="74" t="s">
        <v>163</v>
      </c>
      <c r="D364" s="83">
        <v>0</v>
      </c>
      <c r="E364" s="83"/>
      <c r="F364" s="85"/>
      <c r="G364" s="86">
        <f t="shared" si="35"/>
        <v>0</v>
      </c>
      <c r="H364" s="87">
        <f t="shared" si="36"/>
        <v>0</v>
      </c>
      <c r="I364" s="418"/>
    </row>
    <row r="365" spans="1:9" x14ac:dyDescent="0.35">
      <c r="A365" s="1327"/>
      <c r="B365" s="68"/>
      <c r="C365" s="69" t="s">
        <v>164</v>
      </c>
      <c r="D365" s="70">
        <f>SUM(D366:D367)</f>
        <v>0</v>
      </c>
      <c r="E365" s="88"/>
      <c r="F365" s="88"/>
      <c r="G365" s="91">
        <f>SUM(G366:G367)</f>
        <v>0</v>
      </c>
      <c r="H365" s="90">
        <f>SUM(H366:H367)</f>
        <v>0</v>
      </c>
      <c r="I365" s="418"/>
    </row>
    <row r="366" spans="1:9" x14ac:dyDescent="0.35">
      <c r="A366" s="1327"/>
      <c r="B366" s="73">
        <v>53210020500000</v>
      </c>
      <c r="C366" s="74" t="s">
        <v>165</v>
      </c>
      <c r="D366" s="83">
        <v>0</v>
      </c>
      <c r="E366" s="83"/>
      <c r="F366" s="85"/>
      <c r="G366" s="86">
        <f>E366*F366</f>
        <v>0</v>
      </c>
      <c r="H366" s="102">
        <f>D366+G366</f>
        <v>0</v>
      </c>
      <c r="I366" s="418"/>
    </row>
    <row r="367" spans="1:9" x14ac:dyDescent="0.35">
      <c r="A367" s="1327"/>
      <c r="B367" s="103">
        <v>53204999000000</v>
      </c>
      <c r="C367" s="104" t="s">
        <v>166</v>
      </c>
      <c r="D367" s="92">
        <v>0</v>
      </c>
      <c r="E367" s="92"/>
      <c r="F367" s="94"/>
      <c r="G367" s="105">
        <f>E367*F367</f>
        <v>0</v>
      </c>
      <c r="H367" s="102">
        <f>D367+G367</f>
        <v>0</v>
      </c>
      <c r="I367" s="418"/>
    </row>
    <row r="368" spans="1:9" x14ac:dyDescent="0.35">
      <c r="A368" s="1328"/>
      <c r="B368" s="106"/>
      <c r="C368" s="107" t="s">
        <v>12</v>
      </c>
      <c r="D368" s="108">
        <f>SUM(D299,D327)</f>
        <v>0</v>
      </c>
      <c r="E368" s="109"/>
      <c r="F368" s="109"/>
      <c r="G368" s="108">
        <f>SUM(G299,G327)</f>
        <v>1102520.4750000001</v>
      </c>
      <c r="H368" s="110">
        <f>SUM(H299,H327)</f>
        <v>1102520.4750000001</v>
      </c>
      <c r="I368" s="418"/>
    </row>
    <row r="369" spans="1:9" x14ac:dyDescent="0.35">
      <c r="A369" s="1310" t="s">
        <v>25</v>
      </c>
      <c r="B369" s="1312" t="s">
        <v>90</v>
      </c>
      <c r="C369" s="1314" t="s">
        <v>91</v>
      </c>
      <c r="D369" s="1316" t="s">
        <v>92</v>
      </c>
      <c r="E369" s="1318" t="s">
        <v>93</v>
      </c>
      <c r="F369" s="1319"/>
      <c r="G369" s="1320"/>
      <c r="H369" s="1321" t="str">
        <f>+H297</f>
        <v>COSTO DIRECTO ESTIMADO 2026</v>
      </c>
      <c r="I369" s="1309" t="s">
        <v>94</v>
      </c>
    </row>
    <row r="370" spans="1:9" ht="26" x14ac:dyDescent="0.35">
      <c r="A370" s="1311"/>
      <c r="B370" s="1313"/>
      <c r="C370" s="1315"/>
      <c r="D370" s="1317"/>
      <c r="E370" s="60" t="s">
        <v>95</v>
      </c>
      <c r="F370" s="61" t="s">
        <v>96</v>
      </c>
      <c r="G370" s="62" t="s">
        <v>97</v>
      </c>
      <c r="H370" s="1322"/>
      <c r="I370" s="1309"/>
    </row>
    <row r="371" spans="1:9" x14ac:dyDescent="0.35">
      <c r="A371" s="1326" t="str">
        <f>+'B) Reajuste Tarifas y Ocupación'!A35</f>
        <v>Cabañas C.R. Faro Tumbes</v>
      </c>
      <c r="B371" s="63"/>
      <c r="C371" s="64" t="s">
        <v>98</v>
      </c>
      <c r="D371" s="65">
        <f>SUM(D372,D377,D379)</f>
        <v>29621109.984999999</v>
      </c>
      <c r="E371" s="66"/>
      <c r="F371" s="66"/>
      <c r="G371" s="65">
        <f>SUM(G372,G377,G379)</f>
        <v>12168139</v>
      </c>
      <c r="H371" s="67">
        <f>SUM(H372,H377,H379)</f>
        <v>41789248.984999999</v>
      </c>
      <c r="I371" s="418"/>
    </row>
    <row r="372" spans="1:9" x14ac:dyDescent="0.35">
      <c r="A372" s="1327"/>
      <c r="B372" s="68"/>
      <c r="C372" s="69" t="s">
        <v>99</v>
      </c>
      <c r="D372" s="70">
        <f>SUM(D373:D376)</f>
        <v>9161285.459999999</v>
      </c>
      <c r="E372" s="71"/>
      <c r="F372" s="71"/>
      <c r="G372" s="70">
        <f>SUM(G373:G376)</f>
        <v>0</v>
      </c>
      <c r="H372" s="72">
        <f>SUM(H373:H376)</f>
        <v>9161285.459999999</v>
      </c>
      <c r="I372" s="418"/>
    </row>
    <row r="373" spans="1:9" x14ac:dyDescent="0.35">
      <c r="A373" s="1327"/>
      <c r="B373" s="73">
        <v>53103040100000</v>
      </c>
      <c r="C373" s="74" t="s">
        <v>100</v>
      </c>
      <c r="D373" s="75">
        <f>+'F) Remuneraciones'!M136</f>
        <v>9161285.459999999</v>
      </c>
      <c r="E373" s="76"/>
      <c r="F373" s="76"/>
      <c r="G373" s="76"/>
      <c r="H373" s="77">
        <f>D373+G373</f>
        <v>9161285.459999999</v>
      </c>
      <c r="I373" s="418"/>
    </row>
    <row r="374" spans="1:9" x14ac:dyDescent="0.35">
      <c r="A374" s="1327"/>
      <c r="B374" s="73">
        <v>53103050000000</v>
      </c>
      <c r="C374" s="74" t="s">
        <v>101</v>
      </c>
      <c r="D374" s="78">
        <v>0</v>
      </c>
      <c r="E374" s="79"/>
      <c r="F374" s="80"/>
      <c r="G374" s="81">
        <f>E374*F374</f>
        <v>0</v>
      </c>
      <c r="H374" s="82">
        <f>D374+G374</f>
        <v>0</v>
      </c>
      <c r="I374" s="418"/>
    </row>
    <row r="375" spans="1:9" x14ac:dyDescent="0.35">
      <c r="A375" s="1327"/>
      <c r="B375" s="73">
        <v>53103060000000</v>
      </c>
      <c r="C375" s="74" t="s">
        <v>102</v>
      </c>
      <c r="D375" s="83">
        <v>0</v>
      </c>
      <c r="E375" s="84"/>
      <c r="F375" s="85"/>
      <c r="G375" s="86">
        <f>E375*F375</f>
        <v>0</v>
      </c>
      <c r="H375" s="87">
        <f>D375+G375</f>
        <v>0</v>
      </c>
      <c r="I375" s="418"/>
    </row>
    <row r="376" spans="1:9" x14ac:dyDescent="0.35">
      <c r="A376" s="1327"/>
      <c r="B376" s="73">
        <v>53103080010000</v>
      </c>
      <c r="C376" s="74" t="s">
        <v>103</v>
      </c>
      <c r="D376" s="83">
        <v>0</v>
      </c>
      <c r="E376" s="84"/>
      <c r="F376" s="85"/>
      <c r="G376" s="86">
        <f>E376*F376</f>
        <v>0</v>
      </c>
      <c r="H376" s="87">
        <f>D376+G376</f>
        <v>0</v>
      </c>
      <c r="I376" s="418"/>
    </row>
    <row r="377" spans="1:9" x14ac:dyDescent="0.35">
      <c r="A377" s="1327"/>
      <c r="B377" s="68"/>
      <c r="C377" s="69" t="s">
        <v>104</v>
      </c>
      <c r="D377" s="70">
        <f>SUM(D378)</f>
        <v>0</v>
      </c>
      <c r="E377" s="88"/>
      <c r="F377" s="88"/>
      <c r="G377" s="89">
        <f>SUM(G378:G378)</f>
        <v>0</v>
      </c>
      <c r="H377" s="90">
        <f>SUM(H378:H378)</f>
        <v>0</v>
      </c>
      <c r="I377" s="418"/>
    </row>
    <row r="378" spans="1:9" x14ac:dyDescent="0.35">
      <c r="A378" s="1327"/>
      <c r="B378" s="73">
        <v>55201010100001</v>
      </c>
      <c r="C378" s="74" t="s">
        <v>105</v>
      </c>
      <c r="D378" s="83"/>
      <c r="E378" s="84"/>
      <c r="F378" s="85"/>
      <c r="G378" s="86">
        <f>E378*F378</f>
        <v>0</v>
      </c>
      <c r="H378" s="87">
        <f>D378+G378</f>
        <v>0</v>
      </c>
      <c r="I378" s="418"/>
    </row>
    <row r="379" spans="1:9" x14ac:dyDescent="0.35">
      <c r="A379" s="1327"/>
      <c r="B379" s="68"/>
      <c r="C379" s="69" t="s">
        <v>106</v>
      </c>
      <c r="D379" s="70">
        <f>SUM(D380:D398)</f>
        <v>20459824.524999999</v>
      </c>
      <c r="E379" s="88"/>
      <c r="F379" s="88"/>
      <c r="G379" s="91">
        <f>SUM(G380:G398)</f>
        <v>12168139</v>
      </c>
      <c r="H379" s="90">
        <f>SUM(H380:H398)</f>
        <v>32627963.524999999</v>
      </c>
      <c r="I379" s="418"/>
    </row>
    <row r="380" spans="1:9" x14ac:dyDescent="0.35">
      <c r="A380" s="1327"/>
      <c r="B380" s="73">
        <v>53201010100000</v>
      </c>
      <c r="C380" s="74" t="s">
        <v>107</v>
      </c>
      <c r="D380" s="83">
        <v>0</v>
      </c>
      <c r="E380" s="84">
        <v>2538</v>
      </c>
      <c r="F380" s="85">
        <v>480</v>
      </c>
      <c r="G380" s="86">
        <f t="shared" ref="G380:G398" si="37">E380*F380</f>
        <v>1218240</v>
      </c>
      <c r="H380" s="87">
        <f t="shared" ref="H380:H398" si="38">D380+G380</f>
        <v>1218240</v>
      </c>
      <c r="I380" s="418"/>
    </row>
    <row r="381" spans="1:9" x14ac:dyDescent="0.35">
      <c r="A381" s="1327"/>
      <c r="B381" s="73">
        <v>53202010100000</v>
      </c>
      <c r="C381" s="74" t="s">
        <v>108</v>
      </c>
      <c r="D381" s="83">
        <v>2800000</v>
      </c>
      <c r="E381" s="84"/>
      <c r="F381" s="85"/>
      <c r="G381" s="86">
        <f t="shared" si="37"/>
        <v>0</v>
      </c>
      <c r="H381" s="87">
        <f t="shared" si="38"/>
        <v>2800000</v>
      </c>
      <c r="I381" s="417"/>
    </row>
    <row r="382" spans="1:9" x14ac:dyDescent="0.35">
      <c r="A382" s="1327"/>
      <c r="B382" s="73">
        <v>53203010100000</v>
      </c>
      <c r="C382" s="74" t="s">
        <v>109</v>
      </c>
      <c r="D382" s="92">
        <v>0</v>
      </c>
      <c r="E382" s="93"/>
      <c r="F382" s="94"/>
      <c r="G382" s="86">
        <f t="shared" si="37"/>
        <v>0</v>
      </c>
      <c r="H382" s="87">
        <f t="shared" si="38"/>
        <v>0</v>
      </c>
      <c r="I382" s="418"/>
    </row>
    <row r="383" spans="1:9" x14ac:dyDescent="0.35">
      <c r="A383" s="1327"/>
      <c r="B383" s="73">
        <v>53203030000000</v>
      </c>
      <c r="C383" s="74" t="s">
        <v>110</v>
      </c>
      <c r="D383" s="92">
        <v>0</v>
      </c>
      <c r="E383" s="93"/>
      <c r="F383" s="94"/>
      <c r="G383" s="86">
        <f t="shared" si="37"/>
        <v>0</v>
      </c>
      <c r="H383" s="87">
        <f t="shared" si="38"/>
        <v>0</v>
      </c>
      <c r="I383" s="418"/>
    </row>
    <row r="384" spans="1:9" x14ac:dyDescent="0.35">
      <c r="A384" s="1327"/>
      <c r="B384" s="73">
        <v>53204030000000</v>
      </c>
      <c r="C384" s="74" t="s">
        <v>111</v>
      </c>
      <c r="D384" s="92">
        <v>0</v>
      </c>
      <c r="E384" s="93"/>
      <c r="F384" s="94"/>
      <c r="G384" s="86">
        <f t="shared" si="37"/>
        <v>0</v>
      </c>
      <c r="H384" s="87">
        <f t="shared" si="38"/>
        <v>0</v>
      </c>
      <c r="I384" s="418"/>
    </row>
    <row r="385" spans="1:9" x14ac:dyDescent="0.35">
      <c r="A385" s="1327"/>
      <c r="B385" s="73">
        <v>53204100100001</v>
      </c>
      <c r="C385" s="74" t="s">
        <v>112</v>
      </c>
      <c r="D385" s="92">
        <v>4696360.2</v>
      </c>
      <c r="E385" s="93"/>
      <c r="F385" s="94"/>
      <c r="G385" s="86">
        <f t="shared" si="37"/>
        <v>0</v>
      </c>
      <c r="H385" s="87">
        <f t="shared" si="38"/>
        <v>4696360.2</v>
      </c>
      <c r="I385" s="417"/>
    </row>
    <row r="386" spans="1:9" x14ac:dyDescent="0.35">
      <c r="A386" s="1327"/>
      <c r="B386" s="73">
        <v>53204130100000</v>
      </c>
      <c r="C386" s="74" t="s">
        <v>113</v>
      </c>
      <c r="D386" s="92">
        <v>0</v>
      </c>
      <c r="E386" s="93"/>
      <c r="F386" s="94"/>
      <c r="G386" s="86">
        <f t="shared" si="37"/>
        <v>0</v>
      </c>
      <c r="H386" s="87">
        <f t="shared" si="38"/>
        <v>0</v>
      </c>
      <c r="I386" s="418"/>
    </row>
    <row r="387" spans="1:9" x14ac:dyDescent="0.35">
      <c r="A387" s="1327"/>
      <c r="B387" s="73">
        <v>53205010100000</v>
      </c>
      <c r="C387" s="95" t="s">
        <v>114</v>
      </c>
      <c r="D387" s="92">
        <v>0</v>
      </c>
      <c r="E387" s="93">
        <v>332</v>
      </c>
      <c r="F387" s="94">
        <v>22082</v>
      </c>
      <c r="G387" s="86">
        <f t="shared" si="37"/>
        <v>7331224</v>
      </c>
      <c r="H387" s="87">
        <f t="shared" si="38"/>
        <v>7331224</v>
      </c>
      <c r="I387" s="421"/>
    </row>
    <row r="388" spans="1:9" x14ac:dyDescent="0.35">
      <c r="A388" s="1327"/>
      <c r="B388" s="73">
        <v>53205020100000</v>
      </c>
      <c r="C388" s="95" t="s">
        <v>115</v>
      </c>
      <c r="D388" s="92">
        <v>0</v>
      </c>
      <c r="E388" s="93">
        <v>702</v>
      </c>
      <c r="F388" s="94">
        <v>3166</v>
      </c>
      <c r="G388" s="86">
        <f t="shared" si="37"/>
        <v>2222532</v>
      </c>
      <c r="H388" s="87">
        <f t="shared" si="38"/>
        <v>2222532</v>
      </c>
      <c r="I388" s="421"/>
    </row>
    <row r="389" spans="1:9" x14ac:dyDescent="0.35">
      <c r="A389" s="1327"/>
      <c r="B389" s="73">
        <v>53205030100000</v>
      </c>
      <c r="C389" s="95" t="s">
        <v>116</v>
      </c>
      <c r="D389" s="92">
        <v>3966494.1750000003</v>
      </c>
      <c r="E389" s="93"/>
      <c r="F389" s="94"/>
      <c r="G389" s="86">
        <f t="shared" si="37"/>
        <v>0</v>
      </c>
      <c r="H389" s="87">
        <f t="shared" si="38"/>
        <v>3966494.1750000003</v>
      </c>
      <c r="I389" s="418"/>
    </row>
    <row r="390" spans="1:9" x14ac:dyDescent="0.35">
      <c r="A390" s="1327"/>
      <c r="B390" s="73">
        <v>53205050100000</v>
      </c>
      <c r="C390" s="74" t="s">
        <v>117</v>
      </c>
      <c r="D390" s="92">
        <v>0</v>
      </c>
      <c r="E390" s="93"/>
      <c r="F390" s="94"/>
      <c r="G390" s="86">
        <f t="shared" si="37"/>
        <v>0</v>
      </c>
      <c r="H390" s="87">
        <f t="shared" si="38"/>
        <v>0</v>
      </c>
      <c r="I390" s="418"/>
    </row>
    <row r="391" spans="1:9" x14ac:dyDescent="0.35">
      <c r="A391" s="1327"/>
      <c r="B391" s="73">
        <v>53205060100000</v>
      </c>
      <c r="C391" s="74" t="s">
        <v>118</v>
      </c>
      <c r="D391" s="92">
        <v>0</v>
      </c>
      <c r="E391" s="93"/>
      <c r="F391" s="94"/>
      <c r="G391" s="86">
        <f t="shared" si="37"/>
        <v>0</v>
      </c>
      <c r="H391" s="87">
        <f t="shared" si="38"/>
        <v>0</v>
      </c>
      <c r="I391" s="418"/>
    </row>
    <row r="392" spans="1:9" x14ac:dyDescent="0.35">
      <c r="A392" s="1327"/>
      <c r="B392" s="73">
        <v>53205070100000</v>
      </c>
      <c r="C392" s="95" t="s">
        <v>119</v>
      </c>
      <c r="D392" s="92">
        <v>0</v>
      </c>
      <c r="E392" s="93">
        <v>71195.25</v>
      </c>
      <c r="F392" s="94">
        <v>12</v>
      </c>
      <c r="G392" s="86">
        <f t="shared" si="37"/>
        <v>854343</v>
      </c>
      <c r="H392" s="87">
        <f t="shared" si="38"/>
        <v>854343</v>
      </c>
      <c r="I392" s="418"/>
    </row>
    <row r="393" spans="1:9" x14ac:dyDescent="0.35">
      <c r="A393" s="1327"/>
      <c r="B393" s="73">
        <v>53208010100000</v>
      </c>
      <c r="C393" s="95" t="s">
        <v>120</v>
      </c>
      <c r="D393" s="92">
        <v>5274141.0750000002</v>
      </c>
      <c r="E393" s="93">
        <f>43000*1.05</f>
        <v>45150</v>
      </c>
      <c r="F393" s="94">
        <v>12</v>
      </c>
      <c r="G393" s="86">
        <f t="shared" si="37"/>
        <v>541800</v>
      </c>
      <c r="H393" s="87">
        <f t="shared" si="38"/>
        <v>5815941.0750000002</v>
      </c>
      <c r="I393" s="491"/>
    </row>
    <row r="394" spans="1:9" x14ac:dyDescent="0.35">
      <c r="A394" s="1327"/>
      <c r="B394" s="73">
        <v>53208070100001</v>
      </c>
      <c r="C394" s="74" t="s">
        <v>121</v>
      </c>
      <c r="D394" s="92">
        <v>0</v>
      </c>
      <c r="E394" s="93"/>
      <c r="F394" s="94"/>
      <c r="G394" s="86">
        <f t="shared" si="37"/>
        <v>0</v>
      </c>
      <c r="H394" s="87">
        <f t="shared" si="38"/>
        <v>0</v>
      </c>
      <c r="I394" s="418"/>
    </row>
    <row r="395" spans="1:9" x14ac:dyDescent="0.35">
      <c r="A395" s="1327"/>
      <c r="B395" s="73">
        <v>53208100100001</v>
      </c>
      <c r="C395" s="74" t="s">
        <v>122</v>
      </c>
      <c r="D395" s="92">
        <v>0</v>
      </c>
      <c r="E395" s="93"/>
      <c r="F395" s="94"/>
      <c r="G395" s="86">
        <f t="shared" si="37"/>
        <v>0</v>
      </c>
      <c r="H395" s="87">
        <f t="shared" si="38"/>
        <v>0</v>
      </c>
      <c r="I395" s="418"/>
    </row>
    <row r="396" spans="1:9" x14ac:dyDescent="0.35">
      <c r="A396" s="1327"/>
      <c r="B396" s="73">
        <v>53211030000000</v>
      </c>
      <c r="C396" s="74" t="s">
        <v>123</v>
      </c>
      <c r="D396" s="92">
        <v>0</v>
      </c>
      <c r="E396" s="93"/>
      <c r="F396" s="94"/>
      <c r="G396" s="86">
        <f t="shared" si="37"/>
        <v>0</v>
      </c>
      <c r="H396" s="87">
        <f t="shared" si="38"/>
        <v>0</v>
      </c>
      <c r="I396" s="418"/>
    </row>
    <row r="397" spans="1:9" x14ac:dyDescent="0.35">
      <c r="A397" s="1327"/>
      <c r="B397" s="73">
        <v>53212020100000</v>
      </c>
      <c r="C397" s="74" t="s">
        <v>124</v>
      </c>
      <c r="D397" s="92">
        <v>3722829.0750000002</v>
      </c>
      <c r="E397" s="93"/>
      <c r="F397" s="94"/>
      <c r="G397" s="86">
        <f t="shared" si="37"/>
        <v>0</v>
      </c>
      <c r="H397" s="87">
        <f t="shared" si="38"/>
        <v>3722829.0750000002</v>
      </c>
      <c r="I397" s="418"/>
    </row>
    <row r="398" spans="1:9" x14ac:dyDescent="0.35">
      <c r="A398" s="1327"/>
      <c r="B398" s="73">
        <v>53214020000000</v>
      </c>
      <c r="C398" s="74" t="s">
        <v>125</v>
      </c>
      <c r="D398" s="83">
        <v>0</v>
      </c>
      <c r="E398" s="84"/>
      <c r="F398" s="85"/>
      <c r="G398" s="86">
        <f t="shared" si="37"/>
        <v>0</v>
      </c>
      <c r="H398" s="87">
        <f t="shared" si="38"/>
        <v>0</v>
      </c>
      <c r="I398" s="418"/>
    </row>
    <row r="399" spans="1:9" x14ac:dyDescent="0.35">
      <c r="A399" s="1327"/>
      <c r="B399" s="63"/>
      <c r="C399" s="64" t="s">
        <v>126</v>
      </c>
      <c r="D399" s="96">
        <f>SUM(D400,D405,D408,D419,D429,D437)</f>
        <v>16719224.525</v>
      </c>
      <c r="E399" s="66"/>
      <c r="F399" s="66"/>
      <c r="G399" s="97">
        <f>SUM(G400,G405,G408,G419,G429,G437)</f>
        <v>50000</v>
      </c>
      <c r="H399" s="98">
        <f>SUM(H400,H405,H408,H419,H429,H437)</f>
        <v>16769224.525</v>
      </c>
      <c r="I399" s="418"/>
    </row>
    <row r="400" spans="1:9" x14ac:dyDescent="0.35">
      <c r="A400" s="1327"/>
      <c r="B400" s="68"/>
      <c r="C400" s="69" t="s">
        <v>127</v>
      </c>
      <c r="D400" s="70">
        <f>SUM(D401:D404)</f>
        <v>0</v>
      </c>
      <c r="E400" s="88"/>
      <c r="F400" s="88"/>
      <c r="G400" s="89">
        <f>SUM(G401:G404)</f>
        <v>50000</v>
      </c>
      <c r="H400" s="99">
        <f>SUM(H401:H404)</f>
        <v>50000</v>
      </c>
      <c r="I400" s="418"/>
    </row>
    <row r="401" spans="1:9" x14ac:dyDescent="0.35">
      <c r="A401" s="1327"/>
      <c r="B401" s="73">
        <v>53202020100000</v>
      </c>
      <c r="C401" s="74" t="s">
        <v>128</v>
      </c>
      <c r="D401" s="92">
        <v>0</v>
      </c>
      <c r="E401" s="93">
        <v>50000</v>
      </c>
      <c r="F401" s="94">
        <v>1</v>
      </c>
      <c r="G401" s="86">
        <f>E401*F401</f>
        <v>50000</v>
      </c>
      <c r="H401" s="87">
        <f>D401+G401</f>
        <v>50000</v>
      </c>
      <c r="I401" s="418"/>
    </row>
    <row r="402" spans="1:9" x14ac:dyDescent="0.35">
      <c r="A402" s="1327"/>
      <c r="B402" s="73">
        <v>53202030000000</v>
      </c>
      <c r="C402" s="74" t="s">
        <v>129</v>
      </c>
      <c r="D402" s="83">
        <v>0</v>
      </c>
      <c r="E402" s="84"/>
      <c r="F402" s="85"/>
      <c r="G402" s="86">
        <f>E402*F402</f>
        <v>0</v>
      </c>
      <c r="H402" s="87">
        <f>D402+G402</f>
        <v>0</v>
      </c>
      <c r="I402" s="418"/>
    </row>
    <row r="403" spans="1:9" x14ac:dyDescent="0.35">
      <c r="A403" s="1327"/>
      <c r="B403" s="73">
        <v>53211020000000</v>
      </c>
      <c r="C403" s="74" t="s">
        <v>130</v>
      </c>
      <c r="D403" s="92">
        <v>0</v>
      </c>
      <c r="E403" s="93"/>
      <c r="F403" s="94"/>
      <c r="G403" s="86">
        <f>E403*F403</f>
        <v>0</v>
      </c>
      <c r="H403" s="87">
        <f>D403+G403</f>
        <v>0</v>
      </c>
      <c r="I403" s="418"/>
    </row>
    <row r="404" spans="1:9" x14ac:dyDescent="0.35">
      <c r="A404" s="1327"/>
      <c r="B404" s="73">
        <v>53101004030000</v>
      </c>
      <c r="C404" s="74" t="s">
        <v>131</v>
      </c>
      <c r="D404" s="83">
        <v>0</v>
      </c>
      <c r="E404" s="84"/>
      <c r="F404" s="85"/>
      <c r="G404" s="86">
        <f>E404*F404</f>
        <v>0</v>
      </c>
      <c r="H404" s="87">
        <f>D404+G404</f>
        <v>0</v>
      </c>
      <c r="I404" s="418"/>
    </row>
    <row r="405" spans="1:9" x14ac:dyDescent="0.35">
      <c r="A405" s="1327"/>
      <c r="B405" s="68"/>
      <c r="C405" s="69" t="s">
        <v>132</v>
      </c>
      <c r="D405" s="70"/>
      <c r="E405" s="88"/>
      <c r="F405" s="88"/>
      <c r="G405" s="89">
        <f>SUM(G406:G407)</f>
        <v>0</v>
      </c>
      <c r="H405" s="99">
        <f>SUM(H406:H407)</f>
        <v>0</v>
      </c>
      <c r="I405" s="418"/>
    </row>
    <row r="406" spans="1:9" x14ac:dyDescent="0.35">
      <c r="A406" s="1327"/>
      <c r="B406" s="73">
        <v>53205080000000</v>
      </c>
      <c r="C406" s="100" t="s">
        <v>133</v>
      </c>
      <c r="D406" s="83">
        <v>0</v>
      </c>
      <c r="E406" s="84"/>
      <c r="F406" s="85"/>
      <c r="G406" s="86">
        <f>E406*F406</f>
        <v>0</v>
      </c>
      <c r="H406" s="87">
        <f>D406+G406</f>
        <v>0</v>
      </c>
      <c r="I406" s="418"/>
    </row>
    <row r="407" spans="1:9" x14ac:dyDescent="0.35">
      <c r="A407" s="1327"/>
      <c r="B407" s="73">
        <v>53205990000000</v>
      </c>
      <c r="C407" s="95" t="s">
        <v>134</v>
      </c>
      <c r="D407" s="92"/>
      <c r="E407" s="93"/>
      <c r="F407" s="94"/>
      <c r="G407" s="86">
        <f>E407*F407</f>
        <v>0</v>
      </c>
      <c r="H407" s="87">
        <f>D407+G407</f>
        <v>0</v>
      </c>
      <c r="I407" s="418"/>
    </row>
    <row r="408" spans="1:9" x14ac:dyDescent="0.35">
      <c r="A408" s="1327"/>
      <c r="B408" s="68"/>
      <c r="C408" s="69" t="s">
        <v>135</v>
      </c>
      <c r="D408" s="70">
        <f>SUM(D409:D418)</f>
        <v>2612442.0750000002</v>
      </c>
      <c r="E408" s="88"/>
      <c r="F408" s="88"/>
      <c r="G408" s="91">
        <f>SUM(G409:G418)</f>
        <v>0</v>
      </c>
      <c r="H408" s="90">
        <f>SUM(H409:H418)</f>
        <v>2612442.0750000002</v>
      </c>
      <c r="I408" s="418"/>
    </row>
    <row r="409" spans="1:9" x14ac:dyDescent="0.35">
      <c r="A409" s="1327"/>
      <c r="B409" s="73">
        <v>53203010200000</v>
      </c>
      <c r="C409" s="74" t="s">
        <v>136</v>
      </c>
      <c r="D409" s="83">
        <v>0</v>
      </c>
      <c r="E409" s="83"/>
      <c r="F409" s="85"/>
      <c r="G409" s="86">
        <f t="shared" ref="G409:G418" si="39">E409*F409</f>
        <v>0</v>
      </c>
      <c r="H409" s="87">
        <f t="shared" ref="H409:H418" si="40">D409+G409</f>
        <v>0</v>
      </c>
      <c r="I409" s="418"/>
    </row>
    <row r="410" spans="1:9" x14ac:dyDescent="0.35">
      <c r="A410" s="1327"/>
      <c r="B410" s="73">
        <v>53204010000000</v>
      </c>
      <c r="C410" s="74" t="s">
        <v>137</v>
      </c>
      <c r="D410" s="92">
        <v>103693.27500000001</v>
      </c>
      <c r="E410" s="92"/>
      <c r="F410" s="94"/>
      <c r="G410" s="86">
        <f t="shared" si="39"/>
        <v>0</v>
      </c>
      <c r="H410" s="87">
        <f t="shared" si="40"/>
        <v>103693.27500000001</v>
      </c>
      <c r="I410" s="418"/>
    </row>
    <row r="411" spans="1:9" x14ac:dyDescent="0.35">
      <c r="A411" s="1327"/>
      <c r="B411" s="73">
        <v>53204040200000</v>
      </c>
      <c r="C411" s="100" t="s">
        <v>138</v>
      </c>
      <c r="D411" s="92">
        <v>600000</v>
      </c>
      <c r="E411" s="92"/>
      <c r="F411" s="94"/>
      <c r="G411" s="86">
        <f t="shared" si="39"/>
        <v>0</v>
      </c>
      <c r="H411" s="87">
        <f t="shared" si="40"/>
        <v>600000</v>
      </c>
      <c r="I411" s="418"/>
    </row>
    <row r="412" spans="1:9" x14ac:dyDescent="0.35">
      <c r="A412" s="1327"/>
      <c r="B412" s="73">
        <v>53204060000000</v>
      </c>
      <c r="C412" s="100" t="s">
        <v>139</v>
      </c>
      <c r="D412" s="92"/>
      <c r="E412" s="92"/>
      <c r="F412" s="94"/>
      <c r="G412" s="86">
        <f t="shared" si="39"/>
        <v>0</v>
      </c>
      <c r="H412" s="87">
        <f t="shared" si="40"/>
        <v>0</v>
      </c>
      <c r="I412" s="418"/>
    </row>
    <row r="413" spans="1:9" x14ac:dyDescent="0.35">
      <c r="A413" s="1327"/>
      <c r="B413" s="73">
        <v>53204070000000</v>
      </c>
      <c r="C413" s="95" t="s">
        <v>140</v>
      </c>
      <c r="D413" s="92">
        <v>1908748.8</v>
      </c>
      <c r="E413" s="92"/>
      <c r="F413" s="94"/>
      <c r="G413" s="86">
        <f t="shared" si="39"/>
        <v>0</v>
      </c>
      <c r="H413" s="87">
        <f t="shared" si="40"/>
        <v>1908748.8</v>
      </c>
      <c r="I413" s="418"/>
    </row>
    <row r="414" spans="1:9" x14ac:dyDescent="0.35">
      <c r="A414" s="1327"/>
      <c r="B414" s="73">
        <v>53204080000000</v>
      </c>
      <c r="C414" s="100" t="s">
        <v>141</v>
      </c>
      <c r="D414" s="92">
        <v>0</v>
      </c>
      <c r="E414" s="92"/>
      <c r="F414" s="94"/>
      <c r="G414" s="86">
        <f t="shared" si="39"/>
        <v>0</v>
      </c>
      <c r="H414" s="87">
        <f t="shared" si="40"/>
        <v>0</v>
      </c>
      <c r="I414" s="418"/>
    </row>
    <row r="415" spans="1:9" x14ac:dyDescent="0.35">
      <c r="A415" s="1327"/>
      <c r="B415" s="73">
        <v>53214010000000</v>
      </c>
      <c r="C415" s="100" t="s">
        <v>142</v>
      </c>
      <c r="D415" s="83">
        <v>0</v>
      </c>
      <c r="E415" s="83"/>
      <c r="F415" s="85"/>
      <c r="G415" s="86">
        <f t="shared" si="39"/>
        <v>0</v>
      </c>
      <c r="H415" s="87">
        <f t="shared" si="40"/>
        <v>0</v>
      </c>
      <c r="I415" s="418"/>
    </row>
    <row r="416" spans="1:9" x14ac:dyDescent="0.35">
      <c r="A416" s="1327"/>
      <c r="B416" s="73">
        <v>53214040000000</v>
      </c>
      <c r="C416" s="74" t="s">
        <v>143</v>
      </c>
      <c r="D416" s="83">
        <v>0</v>
      </c>
      <c r="E416" s="83"/>
      <c r="F416" s="85"/>
      <c r="G416" s="86">
        <f t="shared" si="39"/>
        <v>0</v>
      </c>
      <c r="H416" s="87">
        <f t="shared" si="40"/>
        <v>0</v>
      </c>
      <c r="I416" s="418"/>
    </row>
    <row r="417" spans="1:9" x14ac:dyDescent="0.35">
      <c r="A417" s="1327"/>
      <c r="B417" s="73">
        <v>55201010100004</v>
      </c>
      <c r="C417" s="74" t="s">
        <v>144</v>
      </c>
      <c r="D417" s="83">
        <v>0</v>
      </c>
      <c r="E417" s="83"/>
      <c r="F417" s="85"/>
      <c r="G417" s="86">
        <f t="shared" si="39"/>
        <v>0</v>
      </c>
      <c r="H417" s="87">
        <f t="shared" si="40"/>
        <v>0</v>
      </c>
      <c r="I417" s="418"/>
    </row>
    <row r="418" spans="1:9" x14ac:dyDescent="0.35">
      <c r="A418" s="1327"/>
      <c r="B418" s="73">
        <v>55201010100005</v>
      </c>
      <c r="C418" s="74" t="s">
        <v>145</v>
      </c>
      <c r="D418" s="83">
        <v>0</v>
      </c>
      <c r="E418" s="83"/>
      <c r="F418" s="85"/>
      <c r="G418" s="86">
        <f t="shared" si="39"/>
        <v>0</v>
      </c>
      <c r="H418" s="87">
        <f t="shared" si="40"/>
        <v>0</v>
      </c>
      <c r="I418" s="418"/>
    </row>
    <row r="419" spans="1:9" x14ac:dyDescent="0.35">
      <c r="A419" s="1327"/>
      <c r="B419" s="68"/>
      <c r="C419" s="69" t="s">
        <v>146</v>
      </c>
      <c r="D419" s="70">
        <f>SUM(D420:D428)</f>
        <v>543059.67500000005</v>
      </c>
      <c r="E419" s="88"/>
      <c r="F419" s="88"/>
      <c r="G419" s="91">
        <f>SUM(G420:G428)</f>
        <v>0</v>
      </c>
      <c r="H419" s="90">
        <f>SUM(H420:H428)</f>
        <v>543059.67500000005</v>
      </c>
      <c r="I419" s="418"/>
    </row>
    <row r="420" spans="1:9" x14ac:dyDescent="0.35">
      <c r="A420" s="1327"/>
      <c r="B420" s="73">
        <v>53207010000000</v>
      </c>
      <c r="C420" s="74" t="s">
        <v>147</v>
      </c>
      <c r="D420" s="92">
        <v>0</v>
      </c>
      <c r="E420" s="92"/>
      <c r="F420" s="94"/>
      <c r="G420" s="86">
        <f t="shared" ref="G420:G428" si="41">E420*F420</f>
        <v>0</v>
      </c>
      <c r="H420" s="87">
        <f t="shared" ref="H420:H428" si="42">D420+G420</f>
        <v>0</v>
      </c>
      <c r="I420" s="418"/>
    </row>
    <row r="421" spans="1:9" x14ac:dyDescent="0.35">
      <c r="A421" s="1327"/>
      <c r="B421" s="73">
        <v>53207020000000</v>
      </c>
      <c r="C421" s="74" t="s">
        <v>148</v>
      </c>
      <c r="D421" s="92">
        <v>0</v>
      </c>
      <c r="E421" s="92"/>
      <c r="F421" s="94"/>
      <c r="G421" s="86">
        <f t="shared" si="41"/>
        <v>0</v>
      </c>
      <c r="H421" s="87">
        <f t="shared" si="42"/>
        <v>0</v>
      </c>
      <c r="I421" s="418"/>
    </row>
    <row r="422" spans="1:9" x14ac:dyDescent="0.35">
      <c r="A422" s="1327"/>
      <c r="B422" s="73">
        <v>53208020000000</v>
      </c>
      <c r="C422" s="74" t="s">
        <v>149</v>
      </c>
      <c r="D422" s="92">
        <v>0</v>
      </c>
      <c r="E422" s="92"/>
      <c r="F422" s="94"/>
      <c r="G422" s="86">
        <f t="shared" si="41"/>
        <v>0</v>
      </c>
      <c r="H422" s="87">
        <f t="shared" si="42"/>
        <v>0</v>
      </c>
      <c r="I422" s="418"/>
    </row>
    <row r="423" spans="1:9" x14ac:dyDescent="0.35">
      <c r="A423" s="1327"/>
      <c r="B423" s="73">
        <v>53208990000000</v>
      </c>
      <c r="C423" s="74" t="s">
        <v>150</v>
      </c>
      <c r="D423" s="92">
        <v>543059.67500000005</v>
      </c>
      <c r="E423" s="92"/>
      <c r="F423" s="94"/>
      <c r="G423" s="86">
        <f t="shared" si="41"/>
        <v>0</v>
      </c>
      <c r="H423" s="87">
        <f t="shared" si="42"/>
        <v>543059.67500000005</v>
      </c>
      <c r="I423" s="418"/>
    </row>
    <row r="424" spans="1:9" x14ac:dyDescent="0.35">
      <c r="A424" s="1327"/>
      <c r="B424" s="73">
        <v>53209010000000</v>
      </c>
      <c r="C424" s="74" t="s">
        <v>151</v>
      </c>
      <c r="D424" s="92">
        <v>0</v>
      </c>
      <c r="E424" s="92"/>
      <c r="F424" s="94"/>
      <c r="G424" s="86">
        <f t="shared" si="41"/>
        <v>0</v>
      </c>
      <c r="H424" s="87">
        <f t="shared" si="42"/>
        <v>0</v>
      </c>
      <c r="I424" s="418"/>
    </row>
    <row r="425" spans="1:9" x14ac:dyDescent="0.35">
      <c r="A425" s="1327"/>
      <c r="B425" s="73">
        <v>53209040000000</v>
      </c>
      <c r="C425" s="74" t="s">
        <v>152</v>
      </c>
      <c r="D425" s="92">
        <v>0</v>
      </c>
      <c r="E425" s="92"/>
      <c r="F425" s="94"/>
      <c r="G425" s="86">
        <f t="shared" si="41"/>
        <v>0</v>
      </c>
      <c r="H425" s="87">
        <f t="shared" si="42"/>
        <v>0</v>
      </c>
      <c r="I425" s="418"/>
    </row>
    <row r="426" spans="1:9" x14ac:dyDescent="0.35">
      <c r="A426" s="1327"/>
      <c r="B426" s="73">
        <v>53209050000000</v>
      </c>
      <c r="C426" s="74" t="s">
        <v>153</v>
      </c>
      <c r="D426" s="92">
        <v>0</v>
      </c>
      <c r="E426" s="92"/>
      <c r="F426" s="94"/>
      <c r="G426" s="86">
        <f t="shared" si="41"/>
        <v>0</v>
      </c>
      <c r="H426" s="87">
        <f t="shared" si="42"/>
        <v>0</v>
      </c>
      <c r="I426" s="418"/>
    </row>
    <row r="427" spans="1:9" x14ac:dyDescent="0.35">
      <c r="A427" s="1327"/>
      <c r="B427" s="73">
        <v>53209990000000</v>
      </c>
      <c r="C427" s="74" t="s">
        <v>154</v>
      </c>
      <c r="D427" s="92">
        <v>0</v>
      </c>
      <c r="E427" s="92"/>
      <c r="F427" s="94"/>
      <c r="G427" s="86">
        <f t="shared" si="41"/>
        <v>0</v>
      </c>
      <c r="H427" s="87">
        <f t="shared" si="42"/>
        <v>0</v>
      </c>
      <c r="I427" s="418"/>
    </row>
    <row r="428" spans="1:9" x14ac:dyDescent="0.35">
      <c r="A428" s="1327"/>
      <c r="B428" s="73">
        <v>53210020100000</v>
      </c>
      <c r="C428" s="74" t="s">
        <v>155</v>
      </c>
      <c r="D428" s="92">
        <v>0</v>
      </c>
      <c r="E428" s="92"/>
      <c r="F428" s="94"/>
      <c r="G428" s="86">
        <f t="shared" si="41"/>
        <v>0</v>
      </c>
      <c r="H428" s="87">
        <f t="shared" si="42"/>
        <v>0</v>
      </c>
      <c r="I428" s="418"/>
    </row>
    <row r="429" spans="1:9" x14ac:dyDescent="0.35">
      <c r="A429" s="1327"/>
      <c r="B429" s="68"/>
      <c r="C429" s="69" t="s">
        <v>156</v>
      </c>
      <c r="D429" s="70">
        <f>SUM(D430:D436)</f>
        <v>8270988.5</v>
      </c>
      <c r="E429" s="88"/>
      <c r="F429" s="88"/>
      <c r="G429" s="91">
        <f>SUM(G430:G436)</f>
        <v>0</v>
      </c>
      <c r="H429" s="90">
        <f>SUM(H430:H436)</f>
        <v>8270988.5</v>
      </c>
      <c r="I429" s="418"/>
    </row>
    <row r="430" spans="1:9" x14ac:dyDescent="0.35">
      <c r="A430" s="1327"/>
      <c r="B430" s="73">
        <v>53206030000000</v>
      </c>
      <c r="C430" s="74" t="s">
        <v>157</v>
      </c>
      <c r="D430" s="92">
        <v>0</v>
      </c>
      <c r="E430" s="92"/>
      <c r="F430" s="94"/>
      <c r="G430" s="86">
        <f t="shared" ref="G430:G436" si="43">E430*F430</f>
        <v>0</v>
      </c>
      <c r="H430" s="87">
        <f t="shared" ref="H430:H436" si="44">D430+G430</f>
        <v>0</v>
      </c>
      <c r="I430" s="418"/>
    </row>
    <row r="431" spans="1:9" x14ac:dyDescent="0.35">
      <c r="A431" s="1327"/>
      <c r="B431" s="73">
        <v>53206040000000</v>
      </c>
      <c r="C431" s="74" t="s">
        <v>158</v>
      </c>
      <c r="D431" s="92">
        <v>0</v>
      </c>
      <c r="E431" s="92"/>
      <c r="F431" s="94"/>
      <c r="G431" s="86">
        <f t="shared" si="43"/>
        <v>0</v>
      </c>
      <c r="H431" s="87">
        <f t="shared" si="44"/>
        <v>0</v>
      </c>
      <c r="I431" s="418"/>
    </row>
    <row r="432" spans="1:9" x14ac:dyDescent="0.35">
      <c r="A432" s="1327"/>
      <c r="B432" s="73">
        <v>53206060000000</v>
      </c>
      <c r="C432" s="74" t="s">
        <v>159</v>
      </c>
      <c r="D432" s="92">
        <v>0</v>
      </c>
      <c r="E432" s="92"/>
      <c r="F432" s="94"/>
      <c r="G432" s="86">
        <f t="shared" si="43"/>
        <v>0</v>
      </c>
      <c r="H432" s="87">
        <f t="shared" si="44"/>
        <v>0</v>
      </c>
      <c r="I432" s="418"/>
    </row>
    <row r="433" spans="1:9" x14ac:dyDescent="0.35">
      <c r="A433" s="1327"/>
      <c r="B433" s="73">
        <v>53206070000000</v>
      </c>
      <c r="C433" s="74" t="s">
        <v>160</v>
      </c>
      <c r="D433" s="92">
        <v>0</v>
      </c>
      <c r="E433" s="92"/>
      <c r="F433" s="94"/>
      <c r="G433" s="86">
        <f t="shared" si="43"/>
        <v>0</v>
      </c>
      <c r="H433" s="87">
        <f t="shared" si="44"/>
        <v>0</v>
      </c>
      <c r="I433" s="418"/>
    </row>
    <row r="434" spans="1:9" x14ac:dyDescent="0.35">
      <c r="A434" s="1327"/>
      <c r="B434" s="73">
        <v>53206990000000</v>
      </c>
      <c r="C434" s="74" t="s">
        <v>161</v>
      </c>
      <c r="D434" s="92">
        <v>2000000</v>
      </c>
      <c r="E434" s="92"/>
      <c r="F434" s="94"/>
      <c r="G434" s="86">
        <f t="shared" si="43"/>
        <v>0</v>
      </c>
      <c r="H434" s="87">
        <f t="shared" si="44"/>
        <v>2000000</v>
      </c>
      <c r="I434" s="418"/>
    </row>
    <row r="435" spans="1:9" x14ac:dyDescent="0.35">
      <c r="A435" s="1327"/>
      <c r="B435" s="73">
        <v>53208030000000</v>
      </c>
      <c r="C435" s="74" t="s">
        <v>162</v>
      </c>
      <c r="D435" s="92">
        <v>0</v>
      </c>
      <c r="E435" s="92"/>
      <c r="F435" s="94"/>
      <c r="G435" s="86">
        <f t="shared" si="43"/>
        <v>0</v>
      </c>
      <c r="H435" s="87">
        <f t="shared" si="44"/>
        <v>0</v>
      </c>
      <c r="I435" s="418"/>
    </row>
    <row r="436" spans="1:9" x14ac:dyDescent="0.35">
      <c r="A436" s="1327"/>
      <c r="B436" s="73">
        <v>53212060000000</v>
      </c>
      <c r="C436" s="74" t="s">
        <v>163</v>
      </c>
      <c r="D436" s="83">
        <v>6270988.5</v>
      </c>
      <c r="E436" s="83"/>
      <c r="F436" s="85"/>
      <c r="G436" s="86">
        <f t="shared" si="43"/>
        <v>0</v>
      </c>
      <c r="H436" s="87">
        <f t="shared" si="44"/>
        <v>6270988.5</v>
      </c>
      <c r="I436" s="418" t="s">
        <v>605</v>
      </c>
    </row>
    <row r="437" spans="1:9" x14ac:dyDescent="0.35">
      <c r="A437" s="1327"/>
      <c r="B437" s="68"/>
      <c r="C437" s="69" t="s">
        <v>164</v>
      </c>
      <c r="D437" s="70">
        <f>SUM(D438:D439)</f>
        <v>5292734.2750000004</v>
      </c>
      <c r="E437" s="88"/>
      <c r="F437" s="88"/>
      <c r="G437" s="91">
        <f>SUM(G438:G439)</f>
        <v>0</v>
      </c>
      <c r="H437" s="90">
        <f>SUM(H438:H439)</f>
        <v>5292734.2750000004</v>
      </c>
      <c r="I437" s="418"/>
    </row>
    <row r="438" spans="1:9" x14ac:dyDescent="0.35">
      <c r="A438" s="1327"/>
      <c r="B438" s="73">
        <v>53210020500000</v>
      </c>
      <c r="C438" s="74" t="s">
        <v>165</v>
      </c>
      <c r="D438" s="83">
        <v>566920</v>
      </c>
      <c r="E438" s="83"/>
      <c r="F438" s="85"/>
      <c r="G438" s="86">
        <f>E438*F438</f>
        <v>0</v>
      </c>
      <c r="H438" s="102">
        <f>D438+G438</f>
        <v>566920</v>
      </c>
      <c r="I438" s="418"/>
    </row>
    <row r="439" spans="1:9" ht="18" x14ac:dyDescent="0.35">
      <c r="A439" s="1327"/>
      <c r="B439" s="103">
        <v>53204999000000</v>
      </c>
      <c r="C439" s="104" t="s">
        <v>166</v>
      </c>
      <c r="D439" s="92">
        <v>4725814.2750000004</v>
      </c>
      <c r="E439" s="92"/>
      <c r="F439" s="94"/>
      <c r="G439" s="105">
        <f>E439*F439</f>
        <v>0</v>
      </c>
      <c r="H439" s="102">
        <f>D439+G439</f>
        <v>4725814.2750000004</v>
      </c>
      <c r="I439" s="495"/>
    </row>
    <row r="440" spans="1:9" x14ac:dyDescent="0.35">
      <c r="A440" s="1328"/>
      <c r="B440" s="106"/>
      <c r="C440" s="107" t="s">
        <v>12</v>
      </c>
      <c r="D440" s="108">
        <f>SUM(D371,D399)</f>
        <v>46340334.509999998</v>
      </c>
      <c r="E440" s="109"/>
      <c r="F440" s="109"/>
      <c r="G440" s="108">
        <f>SUM(G371,G399)</f>
        <v>12218139</v>
      </c>
      <c r="H440" s="110">
        <f>SUM(H371,H399)</f>
        <v>58558473.509999998</v>
      </c>
      <c r="I440" s="418"/>
    </row>
    <row r="441" spans="1:9" x14ac:dyDescent="0.35">
      <c r="A441" s="1310" t="s">
        <v>25</v>
      </c>
      <c r="B441" s="1312" t="s">
        <v>90</v>
      </c>
      <c r="C441" s="1314" t="s">
        <v>91</v>
      </c>
      <c r="D441" s="1316" t="s">
        <v>92</v>
      </c>
      <c r="E441" s="1318" t="s">
        <v>93</v>
      </c>
      <c r="F441" s="1319"/>
      <c r="G441" s="1320"/>
      <c r="H441" s="1321" t="str">
        <f>+H369</f>
        <v>COSTO DIRECTO ESTIMADO 2026</v>
      </c>
      <c r="I441" s="1309" t="s">
        <v>94</v>
      </c>
    </row>
    <row r="442" spans="1:9" ht="26" x14ac:dyDescent="0.35">
      <c r="A442" s="1311"/>
      <c r="B442" s="1313"/>
      <c r="C442" s="1315"/>
      <c r="D442" s="1317"/>
      <c r="E442" s="60" t="s">
        <v>95</v>
      </c>
      <c r="F442" s="61" t="s">
        <v>96</v>
      </c>
      <c r="G442" s="62" t="s">
        <v>97</v>
      </c>
      <c r="H442" s="1322"/>
      <c r="I442" s="1309"/>
    </row>
    <row r="443" spans="1:9" x14ac:dyDescent="0.35">
      <c r="A443" s="1326" t="str">
        <f>+'B) Reajuste Tarifas y Ocupación'!A38</f>
        <v>Piscina C.R. Faro Tumbes</v>
      </c>
      <c r="B443" s="63"/>
      <c r="C443" s="64" t="s">
        <v>98</v>
      </c>
      <c r="D443" s="65">
        <f>SUM(D444,D449,D451)</f>
        <v>32892533.550000001</v>
      </c>
      <c r="E443" s="66"/>
      <c r="F443" s="66"/>
      <c r="G443" s="65">
        <f>SUM(G444,G449,G451)</f>
        <v>5324574.3600000003</v>
      </c>
      <c r="H443" s="67">
        <f>SUM(H444,H449,H451)</f>
        <v>38217107.910000004</v>
      </c>
      <c r="I443" s="418"/>
    </row>
    <row r="444" spans="1:9" x14ac:dyDescent="0.35">
      <c r="A444" s="1327"/>
      <c r="B444" s="68"/>
      <c r="C444" s="69" t="s">
        <v>99</v>
      </c>
      <c r="D444" s="70">
        <f>SUM(D445:D448)</f>
        <v>23279897.550000001</v>
      </c>
      <c r="E444" s="71"/>
      <c r="F444" s="71"/>
      <c r="G444" s="70">
        <f>SUM(G445:G448)</f>
        <v>0</v>
      </c>
      <c r="H444" s="72">
        <f>SUM(H445:H448)</f>
        <v>23279897.550000001</v>
      </c>
      <c r="I444" s="418"/>
    </row>
    <row r="445" spans="1:9" x14ac:dyDescent="0.35">
      <c r="A445" s="1327"/>
      <c r="B445" s="73">
        <v>53103040100000</v>
      </c>
      <c r="C445" s="74" t="s">
        <v>100</v>
      </c>
      <c r="D445" s="75"/>
      <c r="E445" s="76"/>
      <c r="F445" s="76"/>
      <c r="G445" s="76"/>
      <c r="H445" s="77">
        <f>D445+G445</f>
        <v>0</v>
      </c>
      <c r="I445" s="418"/>
    </row>
    <row r="446" spans="1:9" x14ac:dyDescent="0.35">
      <c r="A446" s="1327"/>
      <c r="B446" s="73">
        <v>53103050000000</v>
      </c>
      <c r="C446" s="74" t="s">
        <v>101</v>
      </c>
      <c r="D446" s="78">
        <v>0</v>
      </c>
      <c r="E446" s="79"/>
      <c r="F446" s="80"/>
      <c r="G446" s="81">
        <f>E446*F446</f>
        <v>0</v>
      </c>
      <c r="H446" s="82">
        <f>D446+G446</f>
        <v>0</v>
      </c>
      <c r="I446" s="418"/>
    </row>
    <row r="447" spans="1:9" x14ac:dyDescent="0.35">
      <c r="A447" s="1327"/>
      <c r="B447" s="73">
        <v>53103060000000</v>
      </c>
      <c r="C447" s="74" t="s">
        <v>102</v>
      </c>
      <c r="D447" s="83">
        <v>21900375</v>
      </c>
      <c r="E447" s="84"/>
      <c r="F447" s="85"/>
      <c r="G447" s="86">
        <f>E447*F447</f>
        <v>0</v>
      </c>
      <c r="H447" s="87">
        <f>D447+G447</f>
        <v>21900375</v>
      </c>
      <c r="I447" s="418"/>
    </row>
    <row r="448" spans="1:9" x14ac:dyDescent="0.35">
      <c r="A448" s="1327"/>
      <c r="B448" s="73">
        <v>53103080010000</v>
      </c>
      <c r="C448" s="74" t="s">
        <v>103</v>
      </c>
      <c r="D448" s="83">
        <v>1379522.55</v>
      </c>
      <c r="E448" s="84"/>
      <c r="F448" s="85"/>
      <c r="G448" s="86">
        <f>E448*F448</f>
        <v>0</v>
      </c>
      <c r="H448" s="87">
        <f>D448+G448</f>
        <v>1379522.55</v>
      </c>
      <c r="I448" s="418" t="s">
        <v>648</v>
      </c>
    </row>
    <row r="449" spans="1:9" x14ac:dyDescent="0.35">
      <c r="A449" s="1327"/>
      <c r="B449" s="68"/>
      <c r="C449" s="69" t="s">
        <v>104</v>
      </c>
      <c r="D449" s="70">
        <f>SUM(D450)</f>
        <v>0</v>
      </c>
      <c r="E449" s="88"/>
      <c r="F449" s="88"/>
      <c r="G449" s="89">
        <f>SUM(G450:G450)</f>
        <v>0</v>
      </c>
      <c r="H449" s="90">
        <f>SUM(H450:H450)</f>
        <v>0</v>
      </c>
      <c r="I449" s="418"/>
    </row>
    <row r="450" spans="1:9" x14ac:dyDescent="0.35">
      <c r="A450" s="1327"/>
      <c r="B450" s="73">
        <v>55201010100001</v>
      </c>
      <c r="C450" s="74" t="s">
        <v>105</v>
      </c>
      <c r="D450" s="83">
        <v>0</v>
      </c>
      <c r="E450" s="84"/>
      <c r="F450" s="85"/>
      <c r="G450" s="86">
        <f>E450*F450</f>
        <v>0</v>
      </c>
      <c r="H450" s="87">
        <f>D450+G450</f>
        <v>0</v>
      </c>
      <c r="I450" s="418"/>
    </row>
    <row r="451" spans="1:9" x14ac:dyDescent="0.35">
      <c r="A451" s="1327"/>
      <c r="B451" s="68"/>
      <c r="C451" s="69" t="s">
        <v>106</v>
      </c>
      <c r="D451" s="70">
        <f>SUM(D452:D470)</f>
        <v>9612636</v>
      </c>
      <c r="E451" s="88"/>
      <c r="F451" s="88"/>
      <c r="G451" s="91">
        <f>SUM(G452:G470)</f>
        <v>5324574.3600000003</v>
      </c>
      <c r="H451" s="90">
        <f>SUM(H452:H470)</f>
        <v>14937210.360000001</v>
      </c>
      <c r="I451" s="418"/>
    </row>
    <row r="452" spans="1:9" x14ac:dyDescent="0.35">
      <c r="A452" s="1327"/>
      <c r="B452" s="73">
        <v>53201010100000</v>
      </c>
      <c r="C452" s="74" t="s">
        <v>107</v>
      </c>
      <c r="D452" s="83">
        <v>0</v>
      </c>
      <c r="E452" s="84">
        <v>2538</v>
      </c>
      <c r="F452" s="85">
        <v>560</v>
      </c>
      <c r="G452" s="86">
        <f t="shared" ref="G452:G470" si="45">E452*F452</f>
        <v>1421280</v>
      </c>
      <c r="H452" s="87">
        <f t="shared" ref="H452:H470" si="46">D452+G452</f>
        <v>1421280</v>
      </c>
      <c r="I452" s="418"/>
    </row>
    <row r="453" spans="1:9" x14ac:dyDescent="0.35">
      <c r="A453" s="1327"/>
      <c r="B453" s="73">
        <v>53202010100000</v>
      </c>
      <c r="C453" s="74" t="s">
        <v>108</v>
      </c>
      <c r="D453" s="83">
        <v>0</v>
      </c>
      <c r="E453" s="84"/>
      <c r="F453" s="85"/>
      <c r="G453" s="86">
        <f t="shared" si="45"/>
        <v>0</v>
      </c>
      <c r="H453" s="87">
        <f t="shared" si="46"/>
        <v>0</v>
      </c>
      <c r="I453" s="418"/>
    </row>
    <row r="454" spans="1:9" x14ac:dyDescent="0.35">
      <c r="A454" s="1327"/>
      <c r="B454" s="73">
        <v>53203010100000</v>
      </c>
      <c r="C454" s="74" t="s">
        <v>109</v>
      </c>
      <c r="D454" s="92">
        <v>0</v>
      </c>
      <c r="E454" s="93"/>
      <c r="F454" s="94"/>
      <c r="G454" s="86">
        <f t="shared" si="45"/>
        <v>0</v>
      </c>
      <c r="H454" s="87">
        <f t="shared" si="46"/>
        <v>0</v>
      </c>
      <c r="I454" s="418"/>
    </row>
    <row r="455" spans="1:9" x14ac:dyDescent="0.35">
      <c r="A455" s="1327"/>
      <c r="B455" s="73">
        <v>53203030000000</v>
      </c>
      <c r="C455" s="74" t="s">
        <v>110</v>
      </c>
      <c r="D455" s="92">
        <v>0</v>
      </c>
      <c r="E455" s="93"/>
      <c r="F455" s="94"/>
      <c r="G455" s="86">
        <f t="shared" si="45"/>
        <v>0</v>
      </c>
      <c r="H455" s="87">
        <f t="shared" si="46"/>
        <v>0</v>
      </c>
      <c r="I455" s="418"/>
    </row>
    <row r="456" spans="1:9" x14ac:dyDescent="0.35">
      <c r="A456" s="1327"/>
      <c r="B456" s="73">
        <v>53204030000000</v>
      </c>
      <c r="C456" s="74" t="s">
        <v>111</v>
      </c>
      <c r="D456" s="92">
        <v>3388000</v>
      </c>
      <c r="E456" s="93"/>
      <c r="F456" s="94"/>
      <c r="G456" s="86">
        <f t="shared" si="45"/>
        <v>0</v>
      </c>
      <c r="H456" s="87">
        <f t="shared" si="46"/>
        <v>3388000</v>
      </c>
      <c r="I456" s="421"/>
    </row>
    <row r="457" spans="1:9" x14ac:dyDescent="0.35">
      <c r="A457" s="1327"/>
      <c r="B457" s="73">
        <v>53204100100001</v>
      </c>
      <c r="C457" s="74" t="s">
        <v>112</v>
      </c>
      <c r="D457" s="92">
        <f>2800000+1300000</f>
        <v>4100000</v>
      </c>
      <c r="E457" s="93"/>
      <c r="F457" s="94"/>
      <c r="G457" s="86">
        <f t="shared" si="45"/>
        <v>0</v>
      </c>
      <c r="H457" s="87">
        <f t="shared" si="46"/>
        <v>4100000</v>
      </c>
      <c r="I457" s="418"/>
    </row>
    <row r="458" spans="1:9" x14ac:dyDescent="0.35">
      <c r="A458" s="1327"/>
      <c r="B458" s="73">
        <v>53204130100000</v>
      </c>
      <c r="C458" s="74" t="s">
        <v>113</v>
      </c>
      <c r="D458" s="92">
        <v>0</v>
      </c>
      <c r="E458" s="93"/>
      <c r="F458" s="94"/>
      <c r="G458" s="86">
        <f t="shared" si="45"/>
        <v>0</v>
      </c>
      <c r="H458" s="87">
        <f t="shared" si="46"/>
        <v>0</v>
      </c>
      <c r="I458" s="418"/>
    </row>
    <row r="459" spans="1:9" x14ac:dyDescent="0.35">
      <c r="A459" s="1327"/>
      <c r="B459" s="73">
        <v>53205010100000</v>
      </c>
      <c r="C459" s="95" t="s">
        <v>114</v>
      </c>
      <c r="D459" s="92">
        <v>0</v>
      </c>
      <c r="E459" s="93"/>
      <c r="F459" s="94"/>
      <c r="G459" s="86">
        <f t="shared" si="45"/>
        <v>0</v>
      </c>
      <c r="H459" s="87">
        <f t="shared" si="46"/>
        <v>0</v>
      </c>
      <c r="I459" s="421"/>
    </row>
    <row r="460" spans="1:9" x14ac:dyDescent="0.35">
      <c r="A460" s="1327"/>
      <c r="B460" s="73">
        <v>53205020100000</v>
      </c>
      <c r="C460" s="95" t="s">
        <v>115</v>
      </c>
      <c r="D460" s="92">
        <v>0</v>
      </c>
      <c r="E460" s="93">
        <v>702.24</v>
      </c>
      <c r="F460" s="94">
        <v>4369</v>
      </c>
      <c r="G460" s="86">
        <f t="shared" si="45"/>
        <v>3068086.56</v>
      </c>
      <c r="H460" s="87">
        <f t="shared" si="46"/>
        <v>3068086.56</v>
      </c>
      <c r="I460" s="418"/>
    </row>
    <row r="461" spans="1:9" x14ac:dyDescent="0.35">
      <c r="A461" s="1327"/>
      <c r="B461" s="73">
        <v>53205030100000</v>
      </c>
      <c r="C461" s="74" t="s">
        <v>116</v>
      </c>
      <c r="D461" s="92">
        <v>0</v>
      </c>
      <c r="E461" s="93"/>
      <c r="F461" s="94"/>
      <c r="G461" s="86">
        <f t="shared" si="45"/>
        <v>0</v>
      </c>
      <c r="H461" s="87">
        <f t="shared" si="46"/>
        <v>0</v>
      </c>
      <c r="I461" s="418"/>
    </row>
    <row r="462" spans="1:9" x14ac:dyDescent="0.35">
      <c r="A462" s="1327"/>
      <c r="B462" s="73">
        <v>53205050100000</v>
      </c>
      <c r="C462" s="74" t="s">
        <v>117</v>
      </c>
      <c r="D462" s="92">
        <v>0</v>
      </c>
      <c r="E462" s="93"/>
      <c r="F462" s="94"/>
      <c r="G462" s="86">
        <f t="shared" si="45"/>
        <v>0</v>
      </c>
      <c r="H462" s="87">
        <f t="shared" si="46"/>
        <v>0</v>
      </c>
      <c r="I462" s="418"/>
    </row>
    <row r="463" spans="1:9" x14ac:dyDescent="0.35">
      <c r="A463" s="1327"/>
      <c r="B463" s="73">
        <v>53205060100000</v>
      </c>
      <c r="C463" s="74" t="s">
        <v>118</v>
      </c>
      <c r="D463" s="92">
        <v>0</v>
      </c>
      <c r="E463" s="93"/>
      <c r="F463" s="94"/>
      <c r="G463" s="86">
        <f t="shared" si="45"/>
        <v>0</v>
      </c>
      <c r="H463" s="87">
        <f t="shared" si="46"/>
        <v>0</v>
      </c>
      <c r="I463" s="418"/>
    </row>
    <row r="464" spans="1:9" x14ac:dyDescent="0.35">
      <c r="A464" s="1327"/>
      <c r="B464" s="73">
        <v>53205070100000</v>
      </c>
      <c r="C464" s="95" t="s">
        <v>119</v>
      </c>
      <c r="D464" s="92">
        <v>0</v>
      </c>
      <c r="E464" s="93">
        <f>33859*1.05</f>
        <v>35551.950000000004</v>
      </c>
      <c r="F464" s="94">
        <v>4</v>
      </c>
      <c r="G464" s="86">
        <f t="shared" si="45"/>
        <v>142207.80000000002</v>
      </c>
      <c r="H464" s="87">
        <f t="shared" si="46"/>
        <v>142207.80000000002</v>
      </c>
      <c r="I464" s="418"/>
    </row>
    <row r="465" spans="1:9" x14ac:dyDescent="0.35">
      <c r="A465" s="1327"/>
      <c r="B465" s="73">
        <v>53208010100000</v>
      </c>
      <c r="C465" s="74" t="s">
        <v>120</v>
      </c>
      <c r="D465" s="92">
        <v>1500000</v>
      </c>
      <c r="E465" s="93">
        <f>110000*1.05</f>
        <v>115500</v>
      </c>
      <c r="F465" s="94">
        <v>6</v>
      </c>
      <c r="G465" s="86">
        <f t="shared" si="45"/>
        <v>693000</v>
      </c>
      <c r="H465" s="87">
        <f t="shared" si="46"/>
        <v>2193000</v>
      </c>
      <c r="I465" s="418"/>
    </row>
    <row r="466" spans="1:9" x14ac:dyDescent="0.35">
      <c r="A466" s="1327"/>
      <c r="B466" s="73">
        <v>53208070100001</v>
      </c>
      <c r="C466" s="74" t="s">
        <v>121</v>
      </c>
      <c r="D466" s="92">
        <v>0</v>
      </c>
      <c r="E466" s="93"/>
      <c r="F466" s="94"/>
      <c r="G466" s="86">
        <f t="shared" si="45"/>
        <v>0</v>
      </c>
      <c r="H466" s="87">
        <f t="shared" si="46"/>
        <v>0</v>
      </c>
      <c r="I466" s="418"/>
    </row>
    <row r="467" spans="1:9" x14ac:dyDescent="0.35">
      <c r="A467" s="1327"/>
      <c r="B467" s="73">
        <v>53208100100001</v>
      </c>
      <c r="C467" s="74" t="s">
        <v>122</v>
      </c>
      <c r="D467" s="92">
        <v>0</v>
      </c>
      <c r="E467" s="93"/>
      <c r="F467" s="94"/>
      <c r="G467" s="86">
        <f t="shared" si="45"/>
        <v>0</v>
      </c>
      <c r="H467" s="87">
        <f t="shared" si="46"/>
        <v>0</v>
      </c>
      <c r="I467" s="418"/>
    </row>
    <row r="468" spans="1:9" x14ac:dyDescent="0.35">
      <c r="A468" s="1327"/>
      <c r="B468" s="73">
        <v>53211030000000</v>
      </c>
      <c r="C468" s="74" t="s">
        <v>123</v>
      </c>
      <c r="D468" s="92">
        <v>0</v>
      </c>
      <c r="E468" s="93"/>
      <c r="F468" s="94"/>
      <c r="G468" s="86">
        <f t="shared" si="45"/>
        <v>0</v>
      </c>
      <c r="H468" s="87">
        <f t="shared" si="46"/>
        <v>0</v>
      </c>
      <c r="I468" s="418"/>
    </row>
    <row r="469" spans="1:9" x14ac:dyDescent="0.35">
      <c r="A469" s="1327"/>
      <c r="B469" s="73">
        <v>53212020100000</v>
      </c>
      <c r="C469" s="74" t="s">
        <v>124</v>
      </c>
      <c r="D469" s="92">
        <v>624636.00000000012</v>
      </c>
      <c r="E469" s="93"/>
      <c r="F469" s="94"/>
      <c r="G469" s="86">
        <f t="shared" si="45"/>
        <v>0</v>
      </c>
      <c r="H469" s="87">
        <f t="shared" si="46"/>
        <v>624636.00000000012</v>
      </c>
      <c r="I469" s="421"/>
    </row>
    <row r="470" spans="1:9" x14ac:dyDescent="0.35">
      <c r="A470" s="1327"/>
      <c r="B470" s="73">
        <v>53214020000000</v>
      </c>
      <c r="C470" s="74" t="s">
        <v>125</v>
      </c>
      <c r="D470" s="83"/>
      <c r="E470" s="84"/>
      <c r="F470" s="85"/>
      <c r="G470" s="86">
        <f t="shared" si="45"/>
        <v>0</v>
      </c>
      <c r="H470" s="87">
        <f t="shared" si="46"/>
        <v>0</v>
      </c>
      <c r="I470" s="418"/>
    </row>
    <row r="471" spans="1:9" x14ac:dyDescent="0.35">
      <c r="A471" s="1327"/>
      <c r="B471" s="63"/>
      <c r="C471" s="64" t="s">
        <v>126</v>
      </c>
      <c r="D471" s="96">
        <f>SUM(D472,D477,D480,D491,D501,D509)</f>
        <v>7706900.3392857146</v>
      </c>
      <c r="E471" s="66"/>
      <c r="F471" s="66"/>
      <c r="G471" s="97">
        <f>SUM(G472,G477,G480,G491,G501,G509)</f>
        <v>485000</v>
      </c>
      <c r="H471" s="98">
        <f>SUM(H472,H477,H480,H491,H501,H509)</f>
        <v>8191900.3392857146</v>
      </c>
      <c r="I471" s="418"/>
    </row>
    <row r="472" spans="1:9" x14ac:dyDescent="0.35">
      <c r="A472" s="1327"/>
      <c r="B472" s="68"/>
      <c r="C472" s="69" t="s">
        <v>127</v>
      </c>
      <c r="D472" s="70">
        <f>SUM(D473:D476)</f>
        <v>0</v>
      </c>
      <c r="E472" s="88"/>
      <c r="F472" s="88"/>
      <c r="G472" s="89">
        <f>SUM(G473:G476)</f>
        <v>485000</v>
      </c>
      <c r="H472" s="99">
        <f>SUM(H473:H476)</f>
        <v>485000</v>
      </c>
      <c r="I472" s="418"/>
    </row>
    <row r="473" spans="1:9" x14ac:dyDescent="0.35">
      <c r="A473" s="1327"/>
      <c r="B473" s="73">
        <v>53202020100000</v>
      </c>
      <c r="C473" s="74" t="s">
        <v>128</v>
      </c>
      <c r="D473" s="92"/>
      <c r="E473" s="93">
        <v>50000</v>
      </c>
      <c r="F473" s="94">
        <v>9</v>
      </c>
      <c r="G473" s="86">
        <f>E473*F473</f>
        <v>450000</v>
      </c>
      <c r="H473" s="87">
        <f>D473+G473</f>
        <v>450000</v>
      </c>
      <c r="I473" s="418"/>
    </row>
    <row r="474" spans="1:9" x14ac:dyDescent="0.35">
      <c r="A474" s="1327"/>
      <c r="B474" s="73">
        <v>53202030000000</v>
      </c>
      <c r="C474" s="74" t="s">
        <v>129</v>
      </c>
      <c r="D474" s="83"/>
      <c r="E474" s="84">
        <v>35000</v>
      </c>
      <c r="F474" s="85">
        <v>1</v>
      </c>
      <c r="G474" s="86">
        <f>E474*F474</f>
        <v>35000</v>
      </c>
      <c r="H474" s="87">
        <f>D474+G474</f>
        <v>35000</v>
      </c>
      <c r="I474" s="418"/>
    </row>
    <row r="475" spans="1:9" x14ac:dyDescent="0.35">
      <c r="A475" s="1327"/>
      <c r="B475" s="73">
        <v>53211020000000</v>
      </c>
      <c r="C475" s="74" t="s">
        <v>130</v>
      </c>
      <c r="D475" s="92"/>
      <c r="E475" s="93"/>
      <c r="F475" s="94"/>
      <c r="G475" s="86">
        <f>E475*F475</f>
        <v>0</v>
      </c>
      <c r="H475" s="87">
        <f>D475+G475</f>
        <v>0</v>
      </c>
      <c r="I475" s="418"/>
    </row>
    <row r="476" spans="1:9" x14ac:dyDescent="0.35">
      <c r="A476" s="1327"/>
      <c r="B476" s="73">
        <v>53101004030000</v>
      </c>
      <c r="C476" s="74" t="s">
        <v>131</v>
      </c>
      <c r="D476" s="83"/>
      <c r="E476" s="84"/>
      <c r="F476" s="85"/>
      <c r="G476" s="86">
        <f>E476*F476</f>
        <v>0</v>
      </c>
      <c r="H476" s="87">
        <f>D476+G476</f>
        <v>0</v>
      </c>
      <c r="I476" s="418"/>
    </row>
    <row r="477" spans="1:9" x14ac:dyDescent="0.35">
      <c r="A477" s="1327"/>
      <c r="B477" s="68"/>
      <c r="C477" s="69" t="s">
        <v>132</v>
      </c>
      <c r="D477" s="70">
        <f>SUM(D478:D479)</f>
        <v>0</v>
      </c>
      <c r="E477" s="88"/>
      <c r="F477" s="88"/>
      <c r="G477" s="89">
        <f>SUM(G478:G479)</f>
        <v>0</v>
      </c>
      <c r="H477" s="99">
        <f>SUM(H478:H479)</f>
        <v>0</v>
      </c>
      <c r="I477" s="418"/>
    </row>
    <row r="478" spans="1:9" x14ac:dyDescent="0.35">
      <c r="A478" s="1327"/>
      <c r="B478" s="73">
        <v>53205080000000</v>
      </c>
      <c r="C478" s="100" t="s">
        <v>133</v>
      </c>
      <c r="D478" s="83"/>
      <c r="E478" s="84"/>
      <c r="F478" s="85"/>
      <c r="G478" s="86">
        <f>E478*F478</f>
        <v>0</v>
      </c>
      <c r="H478" s="87">
        <f>D478+G478</f>
        <v>0</v>
      </c>
      <c r="I478" s="418"/>
    </row>
    <row r="479" spans="1:9" x14ac:dyDescent="0.35">
      <c r="A479" s="1327"/>
      <c r="B479" s="73">
        <v>53205990000000</v>
      </c>
      <c r="C479" s="74" t="s">
        <v>134</v>
      </c>
      <c r="D479" s="92">
        <v>0</v>
      </c>
      <c r="E479" s="93"/>
      <c r="F479" s="94"/>
      <c r="G479" s="86">
        <f>E479*F479</f>
        <v>0</v>
      </c>
      <c r="H479" s="87">
        <f>D479+G479</f>
        <v>0</v>
      </c>
      <c r="I479" s="418"/>
    </row>
    <row r="480" spans="1:9" x14ac:dyDescent="0.35">
      <c r="A480" s="1327"/>
      <c r="B480" s="68"/>
      <c r="C480" s="69" t="s">
        <v>135</v>
      </c>
      <c r="D480" s="70">
        <f>SUM(D481:D490)</f>
        <v>2505239.25</v>
      </c>
      <c r="E480" s="88"/>
      <c r="F480" s="88"/>
      <c r="G480" s="91">
        <f>SUM(G481:G490)</f>
        <v>0</v>
      </c>
      <c r="H480" s="90">
        <f>SUM(H481:H490)</f>
        <v>2505239.25</v>
      </c>
      <c r="I480" s="418"/>
    </row>
    <row r="481" spans="1:9" x14ac:dyDescent="0.35">
      <c r="A481" s="1327"/>
      <c r="B481" s="73">
        <v>53203010200000</v>
      </c>
      <c r="C481" s="74" t="s">
        <v>136</v>
      </c>
      <c r="D481" s="83">
        <v>180783</v>
      </c>
      <c r="E481" s="83"/>
      <c r="F481" s="85"/>
      <c r="G481" s="86">
        <f t="shared" ref="G481:G490" si="47">E481*F481</f>
        <v>0</v>
      </c>
      <c r="H481" s="87">
        <f t="shared" ref="H481:H490" si="48">D481+G481</f>
        <v>180783</v>
      </c>
      <c r="I481" s="418"/>
    </row>
    <row r="482" spans="1:9" x14ac:dyDescent="0.35">
      <c r="A482" s="1327"/>
      <c r="B482" s="73">
        <v>53204010000000</v>
      </c>
      <c r="C482" s="74" t="s">
        <v>137</v>
      </c>
      <c r="D482" s="92">
        <v>0</v>
      </c>
      <c r="E482" s="92"/>
      <c r="F482" s="94"/>
      <c r="G482" s="86">
        <f t="shared" si="47"/>
        <v>0</v>
      </c>
      <c r="H482" s="87">
        <f t="shared" si="48"/>
        <v>0</v>
      </c>
      <c r="I482" s="418"/>
    </row>
    <row r="483" spans="1:9" x14ac:dyDescent="0.35">
      <c r="A483" s="1327"/>
      <c r="B483" s="73">
        <v>53204040200000</v>
      </c>
      <c r="C483" s="95" t="s">
        <v>138</v>
      </c>
      <c r="D483" s="92">
        <v>60000</v>
      </c>
      <c r="E483" s="92"/>
      <c r="F483" s="94"/>
      <c r="G483" s="86">
        <f t="shared" si="47"/>
        <v>0</v>
      </c>
      <c r="H483" s="87">
        <f t="shared" si="48"/>
        <v>60000</v>
      </c>
      <c r="I483" s="418"/>
    </row>
    <row r="484" spans="1:9" x14ac:dyDescent="0.35">
      <c r="A484" s="1327"/>
      <c r="B484" s="73">
        <v>53204060000000</v>
      </c>
      <c r="C484" s="100" t="s">
        <v>139</v>
      </c>
      <c r="D484" s="92">
        <v>0</v>
      </c>
      <c r="E484" s="92"/>
      <c r="F484" s="94"/>
      <c r="G484" s="86">
        <f t="shared" si="47"/>
        <v>0</v>
      </c>
      <c r="H484" s="87">
        <f t="shared" si="48"/>
        <v>0</v>
      </c>
      <c r="I484" s="418"/>
    </row>
    <row r="485" spans="1:9" x14ac:dyDescent="0.35">
      <c r="A485" s="1327"/>
      <c r="B485" s="73">
        <v>53204070000000</v>
      </c>
      <c r="C485" s="95" t="s">
        <v>140</v>
      </c>
      <c r="D485" s="92">
        <f>+(1347213+809412)*1.05</f>
        <v>2264456.25</v>
      </c>
      <c r="E485" s="92"/>
      <c r="F485" s="94"/>
      <c r="G485" s="86">
        <f t="shared" si="47"/>
        <v>0</v>
      </c>
      <c r="H485" s="87">
        <f t="shared" si="48"/>
        <v>2264456.25</v>
      </c>
      <c r="I485" s="418"/>
    </row>
    <row r="486" spans="1:9" x14ac:dyDescent="0.35">
      <c r="A486" s="1327"/>
      <c r="B486" s="73">
        <v>53204080000000</v>
      </c>
      <c r="C486" s="100" t="s">
        <v>141</v>
      </c>
      <c r="D486" s="92">
        <v>0</v>
      </c>
      <c r="E486" s="92"/>
      <c r="F486" s="94"/>
      <c r="G486" s="86">
        <f t="shared" si="47"/>
        <v>0</v>
      </c>
      <c r="H486" s="87">
        <f t="shared" si="48"/>
        <v>0</v>
      </c>
      <c r="I486" s="418"/>
    </row>
    <row r="487" spans="1:9" x14ac:dyDescent="0.35">
      <c r="A487" s="1327"/>
      <c r="B487" s="73">
        <v>53214010000000</v>
      </c>
      <c r="C487" s="100" t="s">
        <v>142</v>
      </c>
      <c r="D487" s="83"/>
      <c r="E487" s="83"/>
      <c r="F487" s="85"/>
      <c r="G487" s="86">
        <f t="shared" si="47"/>
        <v>0</v>
      </c>
      <c r="H487" s="87">
        <f t="shared" si="48"/>
        <v>0</v>
      </c>
      <c r="I487" s="418"/>
    </row>
    <row r="488" spans="1:9" x14ac:dyDescent="0.35">
      <c r="A488" s="1327"/>
      <c r="B488" s="73">
        <v>53214040000000</v>
      </c>
      <c r="C488" s="74" t="s">
        <v>143</v>
      </c>
      <c r="D488" s="83">
        <v>0</v>
      </c>
      <c r="E488" s="83"/>
      <c r="F488" s="85"/>
      <c r="G488" s="86">
        <f t="shared" si="47"/>
        <v>0</v>
      </c>
      <c r="H488" s="87">
        <f t="shared" si="48"/>
        <v>0</v>
      </c>
      <c r="I488" s="418"/>
    </row>
    <row r="489" spans="1:9" x14ac:dyDescent="0.35">
      <c r="A489" s="1327"/>
      <c r="B489" s="73">
        <v>55201010100004</v>
      </c>
      <c r="C489" s="74" t="s">
        <v>144</v>
      </c>
      <c r="D489" s="83">
        <v>0</v>
      </c>
      <c r="E489" s="83"/>
      <c r="F489" s="85"/>
      <c r="G489" s="86">
        <f t="shared" si="47"/>
        <v>0</v>
      </c>
      <c r="H489" s="87">
        <f t="shared" si="48"/>
        <v>0</v>
      </c>
      <c r="I489" s="418"/>
    </row>
    <row r="490" spans="1:9" x14ac:dyDescent="0.35">
      <c r="A490" s="1327"/>
      <c r="B490" s="73">
        <v>55201010100005</v>
      </c>
      <c r="C490" s="74" t="s">
        <v>145</v>
      </c>
      <c r="D490" s="83">
        <v>0</v>
      </c>
      <c r="E490" s="83"/>
      <c r="F490" s="85"/>
      <c r="G490" s="86">
        <f t="shared" si="47"/>
        <v>0</v>
      </c>
      <c r="H490" s="87">
        <f t="shared" si="48"/>
        <v>0</v>
      </c>
      <c r="I490" s="418"/>
    </row>
    <row r="491" spans="1:9" x14ac:dyDescent="0.35">
      <c r="A491" s="1327"/>
      <c r="B491" s="68"/>
      <c r="C491" s="69" t="s">
        <v>146</v>
      </c>
      <c r="D491" s="70">
        <f>SUM(D492:D500)</f>
        <v>1328658.5142857144</v>
      </c>
      <c r="E491" s="88"/>
      <c r="F491" s="88"/>
      <c r="G491" s="91">
        <f>SUM(G492:G500)</f>
        <v>0</v>
      </c>
      <c r="H491" s="90">
        <f>SUM(H492:H500)</f>
        <v>1328658.5142857144</v>
      </c>
      <c r="I491" s="418"/>
    </row>
    <row r="492" spans="1:9" x14ac:dyDescent="0.35">
      <c r="A492" s="1327"/>
      <c r="B492" s="73">
        <v>53207010000000</v>
      </c>
      <c r="C492" s="74" t="s">
        <v>147</v>
      </c>
      <c r="D492" s="92">
        <v>0</v>
      </c>
      <c r="E492" s="92"/>
      <c r="F492" s="94"/>
      <c r="G492" s="86">
        <f t="shared" ref="G492:G500" si="49">E492*F492</f>
        <v>0</v>
      </c>
      <c r="H492" s="87">
        <f t="shared" ref="H492:H500" si="50">D492+G492</f>
        <v>0</v>
      </c>
      <c r="I492" s="418"/>
    </row>
    <row r="493" spans="1:9" x14ac:dyDescent="0.35">
      <c r="A493" s="1327"/>
      <c r="B493" s="73">
        <v>53207020000000</v>
      </c>
      <c r="C493" s="74" t="s">
        <v>148</v>
      </c>
      <c r="D493" s="92">
        <v>0</v>
      </c>
      <c r="E493" s="92"/>
      <c r="F493" s="94"/>
      <c r="G493" s="86">
        <f t="shared" si="49"/>
        <v>0</v>
      </c>
      <c r="H493" s="87">
        <f t="shared" si="50"/>
        <v>0</v>
      </c>
      <c r="I493" s="418"/>
    </row>
    <row r="494" spans="1:9" x14ac:dyDescent="0.35">
      <c r="A494" s="1327"/>
      <c r="B494" s="73">
        <v>53208020000000</v>
      </c>
      <c r="C494" s="74" t="s">
        <v>149</v>
      </c>
      <c r="D494" s="92">
        <v>0</v>
      </c>
      <c r="E494" s="92"/>
      <c r="F494" s="94"/>
      <c r="G494" s="86">
        <f t="shared" si="49"/>
        <v>0</v>
      </c>
      <c r="H494" s="87">
        <f t="shared" si="50"/>
        <v>0</v>
      </c>
      <c r="I494" s="418"/>
    </row>
    <row r="495" spans="1:9" x14ac:dyDescent="0.35">
      <c r="A495" s="1327"/>
      <c r="B495" s="73">
        <v>53208990000000</v>
      </c>
      <c r="C495" s="74" t="s">
        <v>150</v>
      </c>
      <c r="D495" s="92">
        <v>1328658.5142857144</v>
      </c>
      <c r="E495" s="92"/>
      <c r="F495" s="94"/>
      <c r="G495" s="86">
        <f t="shared" si="49"/>
        <v>0</v>
      </c>
      <c r="H495" s="87">
        <f t="shared" si="50"/>
        <v>1328658.5142857144</v>
      </c>
      <c r="I495" s="418"/>
    </row>
    <row r="496" spans="1:9" x14ac:dyDescent="0.35">
      <c r="A496" s="1327"/>
      <c r="B496" s="73">
        <v>53209010000000</v>
      </c>
      <c r="C496" s="74" t="s">
        <v>151</v>
      </c>
      <c r="D496" s="92">
        <v>0</v>
      </c>
      <c r="E496" s="92"/>
      <c r="F496" s="94"/>
      <c r="G496" s="86">
        <f t="shared" si="49"/>
        <v>0</v>
      </c>
      <c r="H496" s="87">
        <f t="shared" si="50"/>
        <v>0</v>
      </c>
      <c r="I496" s="418"/>
    </row>
    <row r="497" spans="1:9" x14ac:dyDescent="0.35">
      <c r="A497" s="1327"/>
      <c r="B497" s="73">
        <v>53209040000000</v>
      </c>
      <c r="C497" s="74" t="s">
        <v>152</v>
      </c>
      <c r="D497" s="92">
        <v>0</v>
      </c>
      <c r="E497" s="92"/>
      <c r="F497" s="94"/>
      <c r="G497" s="86">
        <f t="shared" si="49"/>
        <v>0</v>
      </c>
      <c r="H497" s="87">
        <f t="shared" si="50"/>
        <v>0</v>
      </c>
      <c r="I497" s="418"/>
    </row>
    <row r="498" spans="1:9" x14ac:dyDescent="0.35">
      <c r="A498" s="1327"/>
      <c r="B498" s="73">
        <v>53209050000000</v>
      </c>
      <c r="C498" s="74" t="s">
        <v>153</v>
      </c>
      <c r="D498" s="92">
        <v>0</v>
      </c>
      <c r="E498" s="92"/>
      <c r="F498" s="94"/>
      <c r="G498" s="86">
        <f t="shared" si="49"/>
        <v>0</v>
      </c>
      <c r="H498" s="87">
        <f t="shared" si="50"/>
        <v>0</v>
      </c>
      <c r="I498" s="418"/>
    </row>
    <row r="499" spans="1:9" x14ac:dyDescent="0.35">
      <c r="A499" s="1327"/>
      <c r="B499" s="73">
        <v>53209990000000</v>
      </c>
      <c r="C499" s="74" t="s">
        <v>154</v>
      </c>
      <c r="D499" s="92">
        <v>0</v>
      </c>
      <c r="E499" s="92"/>
      <c r="F499" s="94"/>
      <c r="G499" s="86">
        <f t="shared" si="49"/>
        <v>0</v>
      </c>
      <c r="H499" s="87">
        <f t="shared" si="50"/>
        <v>0</v>
      </c>
      <c r="I499" s="418"/>
    </row>
    <row r="500" spans="1:9" x14ac:dyDescent="0.35">
      <c r="A500" s="1327"/>
      <c r="B500" s="73">
        <v>53210020100000</v>
      </c>
      <c r="C500" s="74" t="s">
        <v>155</v>
      </c>
      <c r="D500" s="92">
        <v>0</v>
      </c>
      <c r="E500" s="92"/>
      <c r="F500" s="94"/>
      <c r="G500" s="86">
        <f t="shared" si="49"/>
        <v>0</v>
      </c>
      <c r="H500" s="87">
        <f t="shared" si="50"/>
        <v>0</v>
      </c>
      <c r="I500" s="418"/>
    </row>
    <row r="501" spans="1:9" x14ac:dyDescent="0.35">
      <c r="A501" s="1327"/>
      <c r="B501" s="68"/>
      <c r="C501" s="69" t="s">
        <v>156</v>
      </c>
      <c r="D501" s="70">
        <f>SUM(D502:D508)</f>
        <v>1087066.575</v>
      </c>
      <c r="E501" s="88"/>
      <c r="F501" s="88"/>
      <c r="G501" s="91">
        <f>SUM(G502:G508)</f>
        <v>0</v>
      </c>
      <c r="H501" s="90">
        <f>SUM(H502:H508)</f>
        <v>1087066.575</v>
      </c>
      <c r="I501" s="418"/>
    </row>
    <row r="502" spans="1:9" x14ac:dyDescent="0.35">
      <c r="A502" s="1327"/>
      <c r="B502" s="73">
        <v>53206030000000</v>
      </c>
      <c r="C502" s="74" t="s">
        <v>157</v>
      </c>
      <c r="D502" s="92">
        <v>0</v>
      </c>
      <c r="E502" s="92"/>
      <c r="F502" s="94"/>
      <c r="G502" s="86">
        <f t="shared" ref="G502:G508" si="51">E502*F502</f>
        <v>0</v>
      </c>
      <c r="H502" s="87">
        <f t="shared" ref="H502:H508" si="52">D502+G502</f>
        <v>0</v>
      </c>
      <c r="I502" s="418"/>
    </row>
    <row r="503" spans="1:9" x14ac:dyDescent="0.35">
      <c r="A503" s="1327"/>
      <c r="B503" s="73">
        <v>53206040000000</v>
      </c>
      <c r="C503" s="74" t="s">
        <v>158</v>
      </c>
      <c r="D503" s="92">
        <v>0</v>
      </c>
      <c r="E503" s="92"/>
      <c r="F503" s="94"/>
      <c r="G503" s="86">
        <f t="shared" si="51"/>
        <v>0</v>
      </c>
      <c r="H503" s="87">
        <f t="shared" si="52"/>
        <v>0</v>
      </c>
      <c r="I503" s="418"/>
    </row>
    <row r="504" spans="1:9" x14ac:dyDescent="0.35">
      <c r="A504" s="1327"/>
      <c r="B504" s="73">
        <v>53206060000000</v>
      </c>
      <c r="C504" s="74" t="s">
        <v>159</v>
      </c>
      <c r="D504" s="92">
        <v>0</v>
      </c>
      <c r="E504" s="92"/>
      <c r="F504" s="94"/>
      <c r="G504" s="86">
        <f t="shared" si="51"/>
        <v>0</v>
      </c>
      <c r="H504" s="87">
        <f t="shared" si="52"/>
        <v>0</v>
      </c>
      <c r="I504" s="418"/>
    </row>
    <row r="505" spans="1:9" x14ac:dyDescent="0.35">
      <c r="A505" s="1327"/>
      <c r="B505" s="73">
        <v>53206070000000</v>
      </c>
      <c r="C505" s="74" t="s">
        <v>160</v>
      </c>
      <c r="D505" s="92">
        <v>0</v>
      </c>
      <c r="E505" s="92"/>
      <c r="F505" s="94"/>
      <c r="G505" s="86">
        <f t="shared" si="51"/>
        <v>0</v>
      </c>
      <c r="H505" s="87">
        <f t="shared" si="52"/>
        <v>0</v>
      </c>
      <c r="I505" s="418"/>
    </row>
    <row r="506" spans="1:9" x14ac:dyDescent="0.35">
      <c r="A506" s="1327"/>
      <c r="B506" s="73">
        <v>53206990000000</v>
      </c>
      <c r="C506" s="74" t="s">
        <v>161</v>
      </c>
      <c r="D506" s="92">
        <v>0</v>
      </c>
      <c r="E506" s="92"/>
      <c r="F506" s="94"/>
      <c r="G506" s="86">
        <f t="shared" si="51"/>
        <v>0</v>
      </c>
      <c r="H506" s="87">
        <f t="shared" si="52"/>
        <v>0</v>
      </c>
      <c r="I506" s="418"/>
    </row>
    <row r="507" spans="1:9" x14ac:dyDescent="0.35">
      <c r="A507" s="1327"/>
      <c r="B507" s="73">
        <v>53208030000000</v>
      </c>
      <c r="C507" s="74" t="s">
        <v>162</v>
      </c>
      <c r="D507" s="92">
        <v>0</v>
      </c>
      <c r="E507" s="92"/>
      <c r="F507" s="94"/>
      <c r="G507" s="86">
        <f t="shared" si="51"/>
        <v>0</v>
      </c>
      <c r="H507" s="87">
        <f t="shared" si="52"/>
        <v>0</v>
      </c>
      <c r="I507" s="418"/>
    </row>
    <row r="508" spans="1:9" x14ac:dyDescent="0.35">
      <c r="A508" s="1327"/>
      <c r="B508" s="73">
        <v>53212060000000</v>
      </c>
      <c r="C508" s="74" t="s">
        <v>163</v>
      </c>
      <c r="D508" s="83">
        <v>1087066.575</v>
      </c>
      <c r="E508" s="83"/>
      <c r="F508" s="85"/>
      <c r="G508" s="86">
        <f t="shared" si="51"/>
        <v>0</v>
      </c>
      <c r="H508" s="87">
        <f t="shared" si="52"/>
        <v>1087066.575</v>
      </c>
      <c r="I508" s="418" t="s">
        <v>605</v>
      </c>
    </row>
    <row r="509" spans="1:9" x14ac:dyDescent="0.35">
      <c r="A509" s="1327"/>
      <c r="B509" s="68"/>
      <c r="C509" s="69" t="s">
        <v>164</v>
      </c>
      <c r="D509" s="70">
        <f>SUM(D510:D511)</f>
        <v>2785936</v>
      </c>
      <c r="E509" s="88"/>
      <c r="F509" s="88"/>
      <c r="G509" s="91">
        <f>SUM(G510:G511)</f>
        <v>0</v>
      </c>
      <c r="H509" s="90">
        <f>SUM(H510:H511)</f>
        <v>2785936</v>
      </c>
      <c r="I509" s="418"/>
    </row>
    <row r="510" spans="1:9" x14ac:dyDescent="0.35">
      <c r="A510" s="1327"/>
      <c r="B510" s="73">
        <v>53210020500000</v>
      </c>
      <c r="C510" s="74" t="s">
        <v>165</v>
      </c>
      <c r="D510" s="83">
        <v>93874</v>
      </c>
      <c r="E510" s="83"/>
      <c r="F510" s="85"/>
      <c r="G510" s="86">
        <f>E510*F510</f>
        <v>0</v>
      </c>
      <c r="H510" s="102">
        <f>D510+G510</f>
        <v>93874</v>
      </c>
      <c r="I510" s="418"/>
    </row>
    <row r="511" spans="1:9" x14ac:dyDescent="0.35">
      <c r="A511" s="1327"/>
      <c r="B511" s="103">
        <v>53204999000000</v>
      </c>
      <c r="C511" s="104" t="s">
        <v>166</v>
      </c>
      <c r="D511" s="92">
        <f>5288843-420000-2568925+82413+309731</f>
        <v>2692062</v>
      </c>
      <c r="E511" s="92"/>
      <c r="F511" s="94"/>
      <c r="G511" s="105">
        <f>E511*F511</f>
        <v>0</v>
      </c>
      <c r="H511" s="102">
        <f>D511+G511</f>
        <v>2692062</v>
      </c>
      <c r="I511" s="418"/>
    </row>
    <row r="512" spans="1:9" x14ac:dyDescent="0.35">
      <c r="A512" s="1328"/>
      <c r="B512" s="106"/>
      <c r="C512" s="107" t="s">
        <v>12</v>
      </c>
      <c r="D512" s="108">
        <f>SUM(D443,D471)</f>
        <v>40599433.889285713</v>
      </c>
      <c r="E512" s="109"/>
      <c r="F512" s="109"/>
      <c r="G512" s="108">
        <f>SUM(G443,G471)</f>
        <v>5809574.3600000003</v>
      </c>
      <c r="H512" s="110">
        <f>SUM(H443,H471)</f>
        <v>46409008.24928572</v>
      </c>
      <c r="I512" s="418"/>
    </row>
    <row r="513" spans="1:9" x14ac:dyDescent="0.35">
      <c r="A513" s="1310" t="s">
        <v>25</v>
      </c>
      <c r="B513" s="1337" t="s">
        <v>90</v>
      </c>
      <c r="C513" s="1338" t="s">
        <v>91</v>
      </c>
      <c r="D513" s="1339" t="s">
        <v>92</v>
      </c>
      <c r="E513" s="1331" t="s">
        <v>93</v>
      </c>
      <c r="F513" s="1332"/>
      <c r="G513" s="1333"/>
      <c r="H513" s="1329" t="str">
        <f>+H441</f>
        <v>COSTO DIRECTO ESTIMADO 2026</v>
      </c>
      <c r="I513" s="1334" t="s">
        <v>94</v>
      </c>
    </row>
    <row r="514" spans="1:9" ht="26" x14ac:dyDescent="0.35">
      <c r="A514" s="1336"/>
      <c r="B514" s="1313"/>
      <c r="C514" s="1315"/>
      <c r="D514" s="1340"/>
      <c r="E514" s="60" t="s">
        <v>95</v>
      </c>
      <c r="F514" s="61" t="s">
        <v>96</v>
      </c>
      <c r="G514" s="62" t="s">
        <v>97</v>
      </c>
      <c r="H514" s="1330"/>
      <c r="I514" s="1335"/>
    </row>
    <row r="515" spans="1:9" x14ac:dyDescent="0.35">
      <c r="A515" s="1326" t="str">
        <f>+'B) Reajuste Tarifas y Ocupación'!A40</f>
        <v>Quinchos y Canchas 
C.R. Faro Tumbes</v>
      </c>
      <c r="B515" s="63"/>
      <c r="C515" s="64" t="s">
        <v>98</v>
      </c>
      <c r="D515" s="65">
        <f>SUM(D516,D521,D523)</f>
        <v>38925521.610206246</v>
      </c>
      <c r="E515" s="66"/>
      <c r="F515" s="66"/>
      <c r="G515" s="65">
        <f>SUM(G516,G521,G523)</f>
        <v>5277384.6750000007</v>
      </c>
      <c r="H515" s="67">
        <f>SUM(H516,H521,H523)</f>
        <v>44202906.285206243</v>
      </c>
      <c r="I515" s="418"/>
    </row>
    <row r="516" spans="1:9" x14ac:dyDescent="0.35">
      <c r="A516" s="1327"/>
      <c r="B516" s="68"/>
      <c r="C516" s="69" t="s">
        <v>99</v>
      </c>
      <c r="D516" s="70">
        <f>SUM(D517:D520)</f>
        <v>33704127.360206246</v>
      </c>
      <c r="E516" s="71"/>
      <c r="F516" s="71"/>
      <c r="G516" s="70">
        <f>SUM(G517:G520)</f>
        <v>0</v>
      </c>
      <c r="H516" s="72">
        <f>SUM(H517:H520)</f>
        <v>33704127.360206246</v>
      </c>
      <c r="I516" s="418"/>
    </row>
    <row r="517" spans="1:9" x14ac:dyDescent="0.35">
      <c r="A517" s="1327"/>
      <c r="B517" s="73">
        <v>53103040100000</v>
      </c>
      <c r="C517" s="74" t="s">
        <v>100</v>
      </c>
      <c r="D517" s="75">
        <f>+'F) Remuneraciones'!M180</f>
        <v>33704127.360206246</v>
      </c>
      <c r="E517" s="76"/>
      <c r="F517" s="76"/>
      <c r="G517" s="76"/>
      <c r="H517" s="77">
        <f>D517+G517</f>
        <v>33704127.360206246</v>
      </c>
      <c r="I517" s="418"/>
    </row>
    <row r="518" spans="1:9" x14ac:dyDescent="0.35">
      <c r="A518" s="1327"/>
      <c r="B518" s="73">
        <v>53103050000000</v>
      </c>
      <c r="C518" s="74" t="s">
        <v>101</v>
      </c>
      <c r="D518" s="78"/>
      <c r="E518" s="79"/>
      <c r="F518" s="80"/>
      <c r="G518" s="81">
        <f>E518*F518</f>
        <v>0</v>
      </c>
      <c r="H518" s="82">
        <f>D518+G518</f>
        <v>0</v>
      </c>
      <c r="I518" s="418"/>
    </row>
    <row r="519" spans="1:9" x14ac:dyDescent="0.35">
      <c r="A519" s="1327"/>
      <c r="B519" s="73">
        <v>53103060000000</v>
      </c>
      <c r="C519" s="74" t="s">
        <v>102</v>
      </c>
      <c r="D519" s="83"/>
      <c r="E519" s="84"/>
      <c r="F519" s="85"/>
      <c r="G519" s="86">
        <f>E519*F519</f>
        <v>0</v>
      </c>
      <c r="H519" s="87">
        <f>D519+G519</f>
        <v>0</v>
      </c>
      <c r="I519" s="418"/>
    </row>
    <row r="520" spans="1:9" x14ac:dyDescent="0.35">
      <c r="A520" s="1327"/>
      <c r="B520" s="73">
        <v>53103080010000</v>
      </c>
      <c r="C520" s="74" t="s">
        <v>103</v>
      </c>
      <c r="D520" s="83"/>
      <c r="E520" s="84"/>
      <c r="F520" s="85"/>
      <c r="G520" s="86">
        <f>E520*F520</f>
        <v>0</v>
      </c>
      <c r="H520" s="87">
        <f>D520+G520</f>
        <v>0</v>
      </c>
      <c r="I520" s="418"/>
    </row>
    <row r="521" spans="1:9" x14ac:dyDescent="0.35">
      <c r="A521" s="1327"/>
      <c r="B521" s="68"/>
      <c r="C521" s="69" t="s">
        <v>104</v>
      </c>
      <c r="D521" s="70">
        <f>SUM(D522)</f>
        <v>0</v>
      </c>
      <c r="E521" s="88"/>
      <c r="F521" s="88"/>
      <c r="G521" s="89">
        <f>SUM(G522:G522)</f>
        <v>0</v>
      </c>
      <c r="H521" s="90">
        <f>SUM(H522:H522)</f>
        <v>0</v>
      </c>
      <c r="I521" s="418"/>
    </row>
    <row r="522" spans="1:9" x14ac:dyDescent="0.35">
      <c r="A522" s="1327"/>
      <c r="B522" s="73">
        <v>55201010100001</v>
      </c>
      <c r="C522" s="74" t="s">
        <v>105</v>
      </c>
      <c r="D522" s="83"/>
      <c r="E522" s="84"/>
      <c r="F522" s="85"/>
      <c r="G522" s="86">
        <f>E522*F522</f>
        <v>0</v>
      </c>
      <c r="H522" s="87">
        <f>D522+G522</f>
        <v>0</v>
      </c>
      <c r="I522" s="418"/>
    </row>
    <row r="523" spans="1:9" x14ac:dyDescent="0.35">
      <c r="A523" s="1327"/>
      <c r="B523" s="68"/>
      <c r="C523" s="69" t="s">
        <v>106</v>
      </c>
      <c r="D523" s="70">
        <f>SUM(D524:D542)</f>
        <v>5221394.25</v>
      </c>
      <c r="E523" s="88"/>
      <c r="F523" s="88"/>
      <c r="G523" s="91">
        <f>SUM(G524:G542)</f>
        <v>5277384.6750000007</v>
      </c>
      <c r="H523" s="90">
        <f>SUM(H524:H542)</f>
        <v>10498778.925000001</v>
      </c>
      <c r="I523" s="418"/>
    </row>
    <row r="524" spans="1:9" x14ac:dyDescent="0.35">
      <c r="A524" s="1327"/>
      <c r="B524" s="73">
        <v>53201010100000</v>
      </c>
      <c r="C524" s="74" t="s">
        <v>107</v>
      </c>
      <c r="D524" s="83"/>
      <c r="E524" s="84">
        <v>2538</v>
      </c>
      <c r="F524" s="85">
        <v>480</v>
      </c>
      <c r="G524" s="86">
        <f t="shared" ref="G524:G542" si="53">E524*F524</f>
        <v>1218240</v>
      </c>
      <c r="H524" s="87">
        <f t="shared" ref="H524:H542" si="54">D524+G524</f>
        <v>1218240</v>
      </c>
      <c r="I524" s="418"/>
    </row>
    <row r="525" spans="1:9" x14ac:dyDescent="0.35">
      <c r="A525" s="1327"/>
      <c r="B525" s="73">
        <v>53202010100000</v>
      </c>
      <c r="C525" s="74" t="s">
        <v>108</v>
      </c>
      <c r="D525" s="970">
        <v>0</v>
      </c>
      <c r="E525" s="84"/>
      <c r="F525" s="85"/>
      <c r="G525" s="86">
        <f t="shared" si="53"/>
        <v>0</v>
      </c>
      <c r="H525" s="87">
        <f t="shared" si="54"/>
        <v>0</v>
      </c>
      <c r="I525" s="418"/>
    </row>
    <row r="526" spans="1:9" x14ac:dyDescent="0.35">
      <c r="A526" s="1327"/>
      <c r="B526" s="73">
        <v>53203010100000</v>
      </c>
      <c r="C526" s="74" t="s">
        <v>109</v>
      </c>
      <c r="D526" s="92">
        <v>105795.90000000001</v>
      </c>
      <c r="E526" s="93"/>
      <c r="F526" s="94"/>
      <c r="G526" s="86">
        <f t="shared" si="53"/>
        <v>0</v>
      </c>
      <c r="H526" s="87">
        <f t="shared" si="54"/>
        <v>105795.90000000001</v>
      </c>
      <c r="I526" s="418"/>
    </row>
    <row r="527" spans="1:9" x14ac:dyDescent="0.35">
      <c r="A527" s="1327"/>
      <c r="B527" s="73">
        <v>53203030000000</v>
      </c>
      <c r="C527" s="74" t="s">
        <v>110</v>
      </c>
      <c r="D527" s="92">
        <v>0</v>
      </c>
      <c r="E527" s="93"/>
      <c r="F527" s="94"/>
      <c r="G527" s="86">
        <f t="shared" si="53"/>
        <v>0</v>
      </c>
      <c r="H527" s="87">
        <f t="shared" si="54"/>
        <v>0</v>
      </c>
      <c r="I527" s="418"/>
    </row>
    <row r="528" spans="1:9" x14ac:dyDescent="0.35">
      <c r="A528" s="1327"/>
      <c r="B528" s="73">
        <v>53204030000000</v>
      </c>
      <c r="C528" s="74" t="s">
        <v>111</v>
      </c>
      <c r="D528" s="92">
        <v>0</v>
      </c>
      <c r="E528" s="93"/>
      <c r="F528" s="94"/>
      <c r="G528" s="86">
        <f t="shared" si="53"/>
        <v>0</v>
      </c>
      <c r="H528" s="87">
        <f t="shared" si="54"/>
        <v>0</v>
      </c>
      <c r="I528" s="421"/>
    </row>
    <row r="529" spans="1:9" x14ac:dyDescent="0.35">
      <c r="A529" s="1327"/>
      <c r="B529" s="73">
        <v>53204100100001</v>
      </c>
      <c r="C529" s="74" t="s">
        <v>112</v>
      </c>
      <c r="D529" s="92">
        <f>885715.425+1500000</f>
        <v>2385715.4249999998</v>
      </c>
      <c r="E529" s="93"/>
      <c r="F529" s="94"/>
      <c r="G529" s="86">
        <f t="shared" si="53"/>
        <v>0</v>
      </c>
      <c r="H529" s="87">
        <f t="shared" si="54"/>
        <v>2385715.4249999998</v>
      </c>
      <c r="I529" s="418"/>
    </row>
    <row r="530" spans="1:9" x14ac:dyDescent="0.35">
      <c r="A530" s="1327"/>
      <c r="B530" s="73">
        <v>53204130100000</v>
      </c>
      <c r="C530" s="74" t="s">
        <v>113</v>
      </c>
      <c r="D530" s="92">
        <v>0</v>
      </c>
      <c r="E530" s="93"/>
      <c r="F530" s="94"/>
      <c r="G530" s="86">
        <f t="shared" si="53"/>
        <v>0</v>
      </c>
      <c r="H530" s="87">
        <f t="shared" si="54"/>
        <v>0</v>
      </c>
      <c r="I530" s="418"/>
    </row>
    <row r="531" spans="1:9" x14ac:dyDescent="0.35">
      <c r="A531" s="1327"/>
      <c r="B531" s="73">
        <v>53205010100000</v>
      </c>
      <c r="C531" s="95" t="s">
        <v>114</v>
      </c>
      <c r="D531" s="92">
        <v>0</v>
      </c>
      <c r="E531" s="93">
        <v>332</v>
      </c>
      <c r="F531" s="94">
        <v>6100.0651355421687</v>
      </c>
      <c r="G531" s="86">
        <f t="shared" si="53"/>
        <v>2025221.625</v>
      </c>
      <c r="H531" s="87">
        <f t="shared" si="54"/>
        <v>2025221.625</v>
      </c>
      <c r="I531" s="421"/>
    </row>
    <row r="532" spans="1:9" x14ac:dyDescent="0.35">
      <c r="A532" s="1327"/>
      <c r="B532" s="73">
        <v>53205020100000</v>
      </c>
      <c r="C532" s="95" t="s">
        <v>115</v>
      </c>
      <c r="D532" s="92">
        <v>0</v>
      </c>
      <c r="E532" s="93">
        <v>702</v>
      </c>
      <c r="F532" s="94">
        <v>2093.4801282051285</v>
      </c>
      <c r="G532" s="86">
        <f t="shared" si="53"/>
        <v>1469623.0500000003</v>
      </c>
      <c r="H532" s="87">
        <f t="shared" si="54"/>
        <v>1469623.0500000003</v>
      </c>
      <c r="I532" s="421"/>
    </row>
    <row r="533" spans="1:9" x14ac:dyDescent="0.35">
      <c r="A533" s="1327"/>
      <c r="B533" s="73">
        <v>53205030100000</v>
      </c>
      <c r="C533" s="74" t="s">
        <v>116</v>
      </c>
      <c r="D533" s="92">
        <v>0</v>
      </c>
      <c r="E533" s="93"/>
      <c r="F533" s="94"/>
      <c r="G533" s="86">
        <f t="shared" si="53"/>
        <v>0</v>
      </c>
      <c r="H533" s="87">
        <f t="shared" si="54"/>
        <v>0</v>
      </c>
      <c r="I533" s="421"/>
    </row>
    <row r="534" spans="1:9" x14ac:dyDescent="0.35">
      <c r="A534" s="1327"/>
      <c r="B534" s="73">
        <v>53205050100000</v>
      </c>
      <c r="C534" s="74" t="s">
        <v>117</v>
      </c>
      <c r="D534" s="92">
        <v>0</v>
      </c>
      <c r="E534" s="93"/>
      <c r="F534" s="94"/>
      <c r="G534" s="86">
        <f t="shared" si="53"/>
        <v>0</v>
      </c>
      <c r="H534" s="87">
        <f t="shared" si="54"/>
        <v>0</v>
      </c>
      <c r="I534" s="418"/>
    </row>
    <row r="535" spans="1:9" x14ac:dyDescent="0.35">
      <c r="A535" s="1327"/>
      <c r="B535" s="73">
        <v>53205060100000</v>
      </c>
      <c r="C535" s="74" t="s">
        <v>118</v>
      </c>
      <c r="D535" s="92">
        <v>0</v>
      </c>
      <c r="E535" s="93"/>
      <c r="F535" s="94"/>
      <c r="G535" s="86">
        <f>E535*F535</f>
        <v>0</v>
      </c>
      <c r="H535" s="87">
        <f t="shared" si="54"/>
        <v>0</v>
      </c>
      <c r="I535" s="418"/>
    </row>
    <row r="536" spans="1:9" x14ac:dyDescent="0.35">
      <c r="A536" s="1327"/>
      <c r="B536" s="73">
        <v>53205070100000</v>
      </c>
      <c r="C536" s="95" t="s">
        <v>119</v>
      </c>
      <c r="D536" s="92">
        <v>0</v>
      </c>
      <c r="E536" s="93"/>
      <c r="F536" s="94"/>
      <c r="G536" s="86">
        <f>E536*F536</f>
        <v>0</v>
      </c>
      <c r="H536" s="87">
        <f t="shared" si="54"/>
        <v>0</v>
      </c>
      <c r="I536" s="418"/>
    </row>
    <row r="537" spans="1:9" x14ac:dyDescent="0.35">
      <c r="A537" s="1327"/>
      <c r="B537" s="73">
        <v>53208010100000</v>
      </c>
      <c r="C537" s="74" t="s">
        <v>120</v>
      </c>
      <c r="D537" s="92">
        <v>0</v>
      </c>
      <c r="E537" s="93">
        <f>45000*1.045</f>
        <v>47025</v>
      </c>
      <c r="F537" s="94">
        <v>12</v>
      </c>
      <c r="G537" s="86">
        <f>E537*F537</f>
        <v>564300</v>
      </c>
      <c r="H537" s="87">
        <f t="shared" si="54"/>
        <v>564300</v>
      </c>
      <c r="I537" s="418"/>
    </row>
    <row r="538" spans="1:9" x14ac:dyDescent="0.35">
      <c r="A538" s="1327"/>
      <c r="B538" s="73">
        <v>53208070100001</v>
      </c>
      <c r="C538" s="74" t="s">
        <v>121</v>
      </c>
      <c r="D538" s="92">
        <v>0</v>
      </c>
      <c r="E538" s="93"/>
      <c r="F538" s="94"/>
      <c r="G538" s="86">
        <f t="shared" si="53"/>
        <v>0</v>
      </c>
      <c r="H538" s="87">
        <f t="shared" si="54"/>
        <v>0</v>
      </c>
      <c r="I538" s="418"/>
    </row>
    <row r="539" spans="1:9" x14ac:dyDescent="0.35">
      <c r="A539" s="1327"/>
      <c r="B539" s="73">
        <v>53208100100001</v>
      </c>
      <c r="C539" s="74" t="s">
        <v>122</v>
      </c>
      <c r="D539" s="92">
        <v>0</v>
      </c>
      <c r="E539" s="93"/>
      <c r="F539" s="94"/>
      <c r="G539" s="86">
        <f t="shared" si="53"/>
        <v>0</v>
      </c>
      <c r="H539" s="87">
        <f t="shared" si="54"/>
        <v>0</v>
      </c>
      <c r="I539" s="418"/>
    </row>
    <row r="540" spans="1:9" x14ac:dyDescent="0.35">
      <c r="A540" s="1327"/>
      <c r="B540" s="73">
        <v>53211030000000</v>
      </c>
      <c r="C540" s="74" t="s">
        <v>123</v>
      </c>
      <c r="D540" s="92">
        <v>0</v>
      </c>
      <c r="E540" s="93"/>
      <c r="F540" s="94"/>
      <c r="G540" s="86">
        <f t="shared" si="53"/>
        <v>0</v>
      </c>
      <c r="H540" s="87">
        <f t="shared" si="54"/>
        <v>0</v>
      </c>
      <c r="I540" s="418"/>
    </row>
    <row r="541" spans="1:9" x14ac:dyDescent="0.35">
      <c r="A541" s="1327"/>
      <c r="B541" s="73">
        <v>53212020100000</v>
      </c>
      <c r="C541" s="74" t="s">
        <v>124</v>
      </c>
      <c r="D541" s="92">
        <v>2729882.9250000003</v>
      </c>
      <c r="E541" s="93"/>
      <c r="F541" s="94"/>
      <c r="G541" s="86">
        <f t="shared" si="53"/>
        <v>0</v>
      </c>
      <c r="H541" s="87">
        <f t="shared" si="54"/>
        <v>2729882.9250000003</v>
      </c>
      <c r="I541" s="421"/>
    </row>
    <row r="542" spans="1:9" x14ac:dyDescent="0.35">
      <c r="A542" s="1327"/>
      <c r="B542" s="73">
        <v>53214020000000</v>
      </c>
      <c r="C542" s="74" t="s">
        <v>125</v>
      </c>
      <c r="D542" s="83">
        <v>0</v>
      </c>
      <c r="E542" s="84"/>
      <c r="F542" s="85"/>
      <c r="G542" s="86">
        <f t="shared" si="53"/>
        <v>0</v>
      </c>
      <c r="H542" s="87">
        <f t="shared" si="54"/>
        <v>0</v>
      </c>
      <c r="I542" s="418"/>
    </row>
    <row r="543" spans="1:9" x14ac:dyDescent="0.35">
      <c r="A543" s="1327"/>
      <c r="B543" s="63"/>
      <c r="C543" s="64" t="s">
        <v>126</v>
      </c>
      <c r="D543" s="96">
        <f>SUM(D544,D549,D552,D563,D573,D581)</f>
        <v>5909094.9750000006</v>
      </c>
      <c r="E543" s="66"/>
      <c r="F543" s="66"/>
      <c r="G543" s="97">
        <f>SUM(G544,G549,G552,G563,G573,G581)</f>
        <v>170000</v>
      </c>
      <c r="H543" s="98">
        <f>SUM(H544,H549,H552,H563,H573,H581)</f>
        <v>6079094.9750000006</v>
      </c>
      <c r="I543" s="418"/>
    </row>
    <row r="544" spans="1:9" x14ac:dyDescent="0.35">
      <c r="A544" s="1327"/>
      <c r="B544" s="68"/>
      <c r="C544" s="69" t="s">
        <v>127</v>
      </c>
      <c r="D544" s="70">
        <f>SUM(D545:D548)</f>
        <v>0</v>
      </c>
      <c r="E544" s="88"/>
      <c r="F544" s="88"/>
      <c r="G544" s="89">
        <f>SUM(G545:G548)</f>
        <v>170000</v>
      </c>
      <c r="H544" s="99">
        <f>SUM(H545:H548)</f>
        <v>170000</v>
      </c>
      <c r="I544" s="418"/>
    </row>
    <row r="545" spans="1:9" x14ac:dyDescent="0.35">
      <c r="A545" s="1327"/>
      <c r="B545" s="73">
        <v>53202020100000</v>
      </c>
      <c r="C545" s="74" t="s">
        <v>128</v>
      </c>
      <c r="D545" s="92">
        <v>0</v>
      </c>
      <c r="E545" s="93">
        <v>50000</v>
      </c>
      <c r="F545" s="94">
        <v>2</v>
      </c>
      <c r="G545" s="86">
        <f>E545*F545</f>
        <v>100000</v>
      </c>
      <c r="H545" s="87">
        <f>D545+G545</f>
        <v>100000</v>
      </c>
      <c r="I545" s="418"/>
    </row>
    <row r="546" spans="1:9" x14ac:dyDescent="0.35">
      <c r="A546" s="1327"/>
      <c r="B546" s="73">
        <v>53202030000000</v>
      </c>
      <c r="C546" s="74" t="s">
        <v>129</v>
      </c>
      <c r="D546" s="83">
        <v>0</v>
      </c>
      <c r="E546" s="84">
        <v>35000</v>
      </c>
      <c r="F546" s="85">
        <v>2</v>
      </c>
      <c r="G546" s="86">
        <f>E546*F546</f>
        <v>70000</v>
      </c>
      <c r="H546" s="87">
        <f>D546+G546</f>
        <v>70000</v>
      </c>
      <c r="I546" s="418"/>
    </row>
    <row r="547" spans="1:9" x14ac:dyDescent="0.35">
      <c r="A547" s="1327"/>
      <c r="B547" s="73">
        <v>53211020000000</v>
      </c>
      <c r="C547" s="74" t="s">
        <v>130</v>
      </c>
      <c r="D547" s="92">
        <v>0</v>
      </c>
      <c r="E547" s="93"/>
      <c r="F547" s="94"/>
      <c r="G547" s="86">
        <f>E547*F547</f>
        <v>0</v>
      </c>
      <c r="H547" s="87">
        <f>D547+G547</f>
        <v>0</v>
      </c>
      <c r="I547" s="418"/>
    </row>
    <row r="548" spans="1:9" x14ac:dyDescent="0.35">
      <c r="A548" s="1327"/>
      <c r="B548" s="73">
        <v>53101004030000</v>
      </c>
      <c r="C548" s="74" t="s">
        <v>131</v>
      </c>
      <c r="D548" s="83">
        <v>0</v>
      </c>
      <c r="E548" s="84"/>
      <c r="F548" s="85"/>
      <c r="G548" s="86">
        <f>E548*F548</f>
        <v>0</v>
      </c>
      <c r="H548" s="87">
        <f>D548+G548</f>
        <v>0</v>
      </c>
      <c r="I548" s="418"/>
    </row>
    <row r="549" spans="1:9" x14ac:dyDescent="0.35">
      <c r="A549" s="1327"/>
      <c r="B549" s="68"/>
      <c r="C549" s="69" t="s">
        <v>132</v>
      </c>
      <c r="D549" s="70">
        <f>SUM(D550:D551)</f>
        <v>0</v>
      </c>
      <c r="E549" s="88"/>
      <c r="F549" s="88"/>
      <c r="G549" s="89">
        <f>SUM(G550:G551)</f>
        <v>0</v>
      </c>
      <c r="H549" s="99">
        <f>SUM(H550:H551)</f>
        <v>0</v>
      </c>
      <c r="I549" s="418"/>
    </row>
    <row r="550" spans="1:9" x14ac:dyDescent="0.35">
      <c r="A550" s="1327"/>
      <c r="B550" s="73">
        <v>53205080000000</v>
      </c>
      <c r="C550" s="100" t="s">
        <v>133</v>
      </c>
      <c r="D550" s="83">
        <v>0</v>
      </c>
      <c r="E550" s="84"/>
      <c r="F550" s="85"/>
      <c r="G550" s="86">
        <f>E550*F550</f>
        <v>0</v>
      </c>
      <c r="H550" s="87">
        <f>D550+G550</f>
        <v>0</v>
      </c>
      <c r="I550" s="418"/>
    </row>
    <row r="551" spans="1:9" x14ac:dyDescent="0.35">
      <c r="A551" s="1327"/>
      <c r="B551" s="73">
        <v>53205990000000</v>
      </c>
      <c r="C551" s="74" t="s">
        <v>134</v>
      </c>
      <c r="D551" s="92">
        <v>0</v>
      </c>
      <c r="E551" s="93"/>
      <c r="F551" s="94"/>
      <c r="G551" s="86">
        <f>E551*F551</f>
        <v>0</v>
      </c>
      <c r="H551" s="87">
        <f>D551+G551</f>
        <v>0</v>
      </c>
      <c r="I551" s="418"/>
    </row>
    <row r="552" spans="1:9" x14ac:dyDescent="0.35">
      <c r="A552" s="1327"/>
      <c r="B552" s="68"/>
      <c r="C552" s="69" t="s">
        <v>135</v>
      </c>
      <c r="D552" s="70">
        <f>SUM(D553:D562)</f>
        <v>1439738.2749999999</v>
      </c>
      <c r="E552" s="88"/>
      <c r="F552" s="88"/>
      <c r="G552" s="91">
        <f>SUM(G553:G562)</f>
        <v>0</v>
      </c>
      <c r="H552" s="90">
        <f>SUM(H553:H562)</f>
        <v>1439738.2749999999</v>
      </c>
      <c r="I552" s="418"/>
    </row>
    <row r="553" spans="1:9" x14ac:dyDescent="0.35">
      <c r="A553" s="1327"/>
      <c r="B553" s="73">
        <v>53203010200000</v>
      </c>
      <c r="C553" s="74" t="s">
        <v>136</v>
      </c>
      <c r="D553" s="83">
        <v>0</v>
      </c>
      <c r="E553" s="83"/>
      <c r="F553" s="85"/>
      <c r="G553" s="86">
        <f t="shared" ref="G553:G562" si="55">E553*F553</f>
        <v>0</v>
      </c>
      <c r="H553" s="87">
        <f t="shared" ref="H553:H562" si="56">D553+G553</f>
        <v>0</v>
      </c>
      <c r="I553" s="418"/>
    </row>
    <row r="554" spans="1:9" x14ac:dyDescent="0.35">
      <c r="A554" s="1327"/>
      <c r="B554" s="73">
        <v>53204010000000</v>
      </c>
      <c r="C554" s="74" t="s">
        <v>137</v>
      </c>
      <c r="D554" s="92">
        <v>38450.474999999999</v>
      </c>
      <c r="E554" s="92"/>
      <c r="F554" s="94"/>
      <c r="G554" s="86">
        <f t="shared" si="55"/>
        <v>0</v>
      </c>
      <c r="H554" s="87">
        <f t="shared" si="56"/>
        <v>38450.474999999999</v>
      </c>
      <c r="I554" s="418"/>
    </row>
    <row r="555" spans="1:9" x14ac:dyDescent="0.35">
      <c r="A555" s="1327"/>
      <c r="B555" s="73">
        <v>53204040200000</v>
      </c>
      <c r="C555" s="100" t="s">
        <v>138</v>
      </c>
      <c r="D555" s="92">
        <v>0</v>
      </c>
      <c r="E555" s="92"/>
      <c r="F555" s="94"/>
      <c r="G555" s="86">
        <f t="shared" si="55"/>
        <v>0</v>
      </c>
      <c r="H555" s="87">
        <f t="shared" si="56"/>
        <v>0</v>
      </c>
      <c r="I555" s="418"/>
    </row>
    <row r="556" spans="1:9" x14ac:dyDescent="0.35">
      <c r="A556" s="1327"/>
      <c r="B556" s="73">
        <v>53204060000000</v>
      </c>
      <c r="C556" s="100" t="s">
        <v>139</v>
      </c>
      <c r="D556" s="92">
        <v>0</v>
      </c>
      <c r="E556" s="92"/>
      <c r="F556" s="94"/>
      <c r="G556" s="86">
        <f t="shared" si="55"/>
        <v>0</v>
      </c>
      <c r="H556" s="87">
        <f t="shared" si="56"/>
        <v>0</v>
      </c>
      <c r="I556" s="418"/>
    </row>
    <row r="557" spans="1:9" x14ac:dyDescent="0.35">
      <c r="A557" s="1327"/>
      <c r="B557" s="73">
        <v>53204070000000</v>
      </c>
      <c r="C557" s="95" t="s">
        <v>140</v>
      </c>
      <c r="D557" s="92">
        <v>551287.80000000005</v>
      </c>
      <c r="E557" s="92"/>
      <c r="F557" s="94"/>
      <c r="G557" s="86">
        <f t="shared" si="55"/>
        <v>0</v>
      </c>
      <c r="H557" s="87">
        <f t="shared" si="56"/>
        <v>551287.80000000005</v>
      </c>
      <c r="I557" s="418"/>
    </row>
    <row r="558" spans="1:9" x14ac:dyDescent="0.35">
      <c r="A558" s="1327"/>
      <c r="B558" s="73">
        <v>53204080000000</v>
      </c>
      <c r="C558" s="100" t="s">
        <v>141</v>
      </c>
      <c r="D558" s="92">
        <v>300000</v>
      </c>
      <c r="E558" s="92"/>
      <c r="F558" s="94"/>
      <c r="G558" s="86">
        <f t="shared" si="55"/>
        <v>0</v>
      </c>
      <c r="H558" s="87">
        <f t="shared" si="56"/>
        <v>300000</v>
      </c>
      <c r="I558" s="418"/>
    </row>
    <row r="559" spans="1:9" x14ac:dyDescent="0.35">
      <c r="A559" s="1327"/>
      <c r="B559" s="73">
        <v>53214010000000</v>
      </c>
      <c r="C559" s="100" t="s">
        <v>142</v>
      </c>
      <c r="D559" s="83">
        <v>550000</v>
      </c>
      <c r="E559" s="83"/>
      <c r="F559" s="85"/>
      <c r="G559" s="86">
        <f t="shared" si="55"/>
        <v>0</v>
      </c>
      <c r="H559" s="87">
        <f t="shared" si="56"/>
        <v>550000</v>
      </c>
      <c r="I559" s="418"/>
    </row>
    <row r="560" spans="1:9" x14ac:dyDescent="0.35">
      <c r="A560" s="1327"/>
      <c r="B560" s="73">
        <v>53214040000000</v>
      </c>
      <c r="C560" s="74" t="s">
        <v>143</v>
      </c>
      <c r="D560" s="83">
        <v>0</v>
      </c>
      <c r="E560" s="83"/>
      <c r="F560" s="85"/>
      <c r="G560" s="86">
        <f t="shared" si="55"/>
        <v>0</v>
      </c>
      <c r="H560" s="87">
        <f t="shared" si="56"/>
        <v>0</v>
      </c>
      <c r="I560" s="418"/>
    </row>
    <row r="561" spans="1:9" x14ac:dyDescent="0.35">
      <c r="A561" s="1327"/>
      <c r="B561" s="73">
        <v>55201010100004</v>
      </c>
      <c r="C561" s="74" t="s">
        <v>144</v>
      </c>
      <c r="D561" s="83">
        <v>0</v>
      </c>
      <c r="E561" s="83"/>
      <c r="F561" s="85"/>
      <c r="G561" s="86">
        <f t="shared" si="55"/>
        <v>0</v>
      </c>
      <c r="H561" s="87">
        <f t="shared" si="56"/>
        <v>0</v>
      </c>
      <c r="I561" s="418"/>
    </row>
    <row r="562" spans="1:9" x14ac:dyDescent="0.35">
      <c r="A562" s="1327"/>
      <c r="B562" s="73">
        <v>55201010100005</v>
      </c>
      <c r="C562" s="74" t="s">
        <v>145</v>
      </c>
      <c r="D562" s="83">
        <v>0</v>
      </c>
      <c r="E562" s="83"/>
      <c r="F562" s="85"/>
      <c r="G562" s="86">
        <f t="shared" si="55"/>
        <v>0</v>
      </c>
      <c r="H562" s="87">
        <f t="shared" si="56"/>
        <v>0</v>
      </c>
      <c r="I562" s="418"/>
    </row>
    <row r="563" spans="1:9" x14ac:dyDescent="0.35">
      <c r="A563" s="1327"/>
      <c r="B563" s="68"/>
      <c r="C563" s="69" t="s">
        <v>146</v>
      </c>
      <c r="D563" s="70">
        <f>SUM(D564:D572)</f>
        <v>250000</v>
      </c>
      <c r="E563" s="88"/>
      <c r="F563" s="88"/>
      <c r="G563" s="91">
        <f>SUM(G564:G572)</f>
        <v>0</v>
      </c>
      <c r="H563" s="90">
        <f>SUM(H564:H572)</f>
        <v>250000</v>
      </c>
      <c r="I563" s="418"/>
    </row>
    <row r="564" spans="1:9" x14ac:dyDescent="0.35">
      <c r="A564" s="1327"/>
      <c r="B564" s="73">
        <v>53207010000000</v>
      </c>
      <c r="C564" s="74" t="s">
        <v>147</v>
      </c>
      <c r="D564" s="92">
        <v>0</v>
      </c>
      <c r="E564" s="92"/>
      <c r="F564" s="94"/>
      <c r="G564" s="86">
        <f t="shared" ref="G564:G572" si="57">E564*F564</f>
        <v>0</v>
      </c>
      <c r="H564" s="87">
        <f t="shared" ref="H564:H572" si="58">D564+G564</f>
        <v>0</v>
      </c>
      <c r="I564" s="418"/>
    </row>
    <row r="565" spans="1:9" x14ac:dyDescent="0.35">
      <c r="A565" s="1327"/>
      <c r="B565" s="73">
        <v>53207020000000</v>
      </c>
      <c r="C565" s="74" t="s">
        <v>148</v>
      </c>
      <c r="D565" s="92">
        <v>0</v>
      </c>
      <c r="E565" s="92"/>
      <c r="F565" s="94"/>
      <c r="G565" s="86">
        <f t="shared" si="57"/>
        <v>0</v>
      </c>
      <c r="H565" s="87">
        <f t="shared" si="58"/>
        <v>0</v>
      </c>
      <c r="I565" s="418"/>
    </row>
    <row r="566" spans="1:9" x14ac:dyDescent="0.35">
      <c r="A566" s="1327"/>
      <c r="B566" s="73">
        <v>53208020000000</v>
      </c>
      <c r="C566" s="74" t="s">
        <v>149</v>
      </c>
      <c r="D566" s="92">
        <v>0</v>
      </c>
      <c r="E566" s="92"/>
      <c r="F566" s="94"/>
      <c r="G566" s="86">
        <f t="shared" si="57"/>
        <v>0</v>
      </c>
      <c r="H566" s="87">
        <f t="shared" si="58"/>
        <v>0</v>
      </c>
      <c r="I566" s="418"/>
    </row>
    <row r="567" spans="1:9" x14ac:dyDescent="0.35">
      <c r="A567" s="1327"/>
      <c r="B567" s="73">
        <v>53208990000000</v>
      </c>
      <c r="C567" s="74" t="s">
        <v>150</v>
      </c>
      <c r="D567" s="92">
        <v>250000</v>
      </c>
      <c r="E567" s="92"/>
      <c r="F567" s="94"/>
      <c r="G567" s="86">
        <f t="shared" si="57"/>
        <v>0</v>
      </c>
      <c r="H567" s="87">
        <f t="shared" si="58"/>
        <v>250000</v>
      </c>
      <c r="I567" s="418"/>
    </row>
    <row r="568" spans="1:9" x14ac:dyDescent="0.35">
      <c r="A568" s="1327"/>
      <c r="B568" s="73">
        <v>53209010000000</v>
      </c>
      <c r="C568" s="74" t="s">
        <v>151</v>
      </c>
      <c r="D568" s="92">
        <v>0</v>
      </c>
      <c r="E568" s="92"/>
      <c r="F568" s="94"/>
      <c r="G568" s="86">
        <f t="shared" si="57"/>
        <v>0</v>
      </c>
      <c r="H568" s="87">
        <f t="shared" si="58"/>
        <v>0</v>
      </c>
      <c r="I568" s="418"/>
    </row>
    <row r="569" spans="1:9" x14ac:dyDescent="0.35">
      <c r="A569" s="1327"/>
      <c r="B569" s="73">
        <v>53209040000000</v>
      </c>
      <c r="C569" s="74" t="s">
        <v>152</v>
      </c>
      <c r="D569" s="92">
        <v>0</v>
      </c>
      <c r="E569" s="92"/>
      <c r="F569" s="94"/>
      <c r="G569" s="86">
        <f t="shared" si="57"/>
        <v>0</v>
      </c>
      <c r="H569" s="87">
        <f t="shared" si="58"/>
        <v>0</v>
      </c>
      <c r="I569" s="418"/>
    </row>
    <row r="570" spans="1:9" x14ac:dyDescent="0.35">
      <c r="A570" s="1327"/>
      <c r="B570" s="73">
        <v>53209050000000</v>
      </c>
      <c r="C570" s="74" t="s">
        <v>153</v>
      </c>
      <c r="D570" s="92">
        <v>0</v>
      </c>
      <c r="E570" s="92"/>
      <c r="F570" s="94"/>
      <c r="G570" s="86">
        <f t="shared" si="57"/>
        <v>0</v>
      </c>
      <c r="H570" s="87">
        <f t="shared" si="58"/>
        <v>0</v>
      </c>
      <c r="I570" s="418"/>
    </row>
    <row r="571" spans="1:9" x14ac:dyDescent="0.35">
      <c r="A571" s="1327"/>
      <c r="B571" s="73">
        <v>53209990000000</v>
      </c>
      <c r="C571" s="74" t="s">
        <v>154</v>
      </c>
      <c r="D571" s="92">
        <v>0</v>
      </c>
      <c r="E571" s="92"/>
      <c r="F571" s="94"/>
      <c r="G571" s="86">
        <f t="shared" si="57"/>
        <v>0</v>
      </c>
      <c r="H571" s="87">
        <f t="shared" si="58"/>
        <v>0</v>
      </c>
      <c r="I571" s="418"/>
    </row>
    <row r="572" spans="1:9" x14ac:dyDescent="0.35">
      <c r="A572" s="1327"/>
      <c r="B572" s="73">
        <v>53210020100000</v>
      </c>
      <c r="C572" s="74" t="s">
        <v>155</v>
      </c>
      <c r="D572" s="92">
        <v>0</v>
      </c>
      <c r="E572" s="92"/>
      <c r="F572" s="94"/>
      <c r="G572" s="86">
        <f t="shared" si="57"/>
        <v>0</v>
      </c>
      <c r="H572" s="87">
        <f t="shared" si="58"/>
        <v>0</v>
      </c>
      <c r="I572" s="418"/>
    </row>
    <row r="573" spans="1:9" x14ac:dyDescent="0.35">
      <c r="A573" s="1327"/>
      <c r="B573" s="68"/>
      <c r="C573" s="69" t="s">
        <v>156</v>
      </c>
      <c r="D573" s="70">
        <f>SUM(D574:D580)</f>
        <v>3136566.25</v>
      </c>
      <c r="E573" s="88"/>
      <c r="F573" s="88"/>
      <c r="G573" s="91">
        <f>SUM(G574:G580)</f>
        <v>0</v>
      </c>
      <c r="H573" s="90">
        <f>SUM(H574:H580)</f>
        <v>3136566.25</v>
      </c>
      <c r="I573" s="418"/>
    </row>
    <row r="574" spans="1:9" x14ac:dyDescent="0.35">
      <c r="A574" s="1327"/>
      <c r="B574" s="73">
        <v>53206030000000</v>
      </c>
      <c r="C574" s="74" t="s">
        <v>157</v>
      </c>
      <c r="D574" s="92">
        <v>0</v>
      </c>
      <c r="E574" s="92"/>
      <c r="F574" s="94"/>
      <c r="G574" s="86">
        <f t="shared" ref="G574:G580" si="59">E574*F574</f>
        <v>0</v>
      </c>
      <c r="H574" s="87">
        <f t="shared" ref="H574:H580" si="60">D574+G574</f>
        <v>0</v>
      </c>
      <c r="I574" s="418"/>
    </row>
    <row r="575" spans="1:9" x14ac:dyDescent="0.35">
      <c r="A575" s="1327"/>
      <c r="B575" s="73">
        <v>53206040000000</v>
      </c>
      <c r="C575" s="74" t="s">
        <v>158</v>
      </c>
      <c r="D575" s="92">
        <v>0</v>
      </c>
      <c r="E575" s="92"/>
      <c r="F575" s="94"/>
      <c r="G575" s="86">
        <f t="shared" si="59"/>
        <v>0</v>
      </c>
      <c r="H575" s="87">
        <f t="shared" si="60"/>
        <v>0</v>
      </c>
      <c r="I575" s="418"/>
    </row>
    <row r="576" spans="1:9" x14ac:dyDescent="0.35">
      <c r="A576" s="1327"/>
      <c r="B576" s="73">
        <v>53206060000000</v>
      </c>
      <c r="C576" s="74" t="s">
        <v>159</v>
      </c>
      <c r="D576" s="92">
        <v>0</v>
      </c>
      <c r="E576" s="92"/>
      <c r="F576" s="94"/>
      <c r="G576" s="86">
        <f t="shared" si="59"/>
        <v>0</v>
      </c>
      <c r="H576" s="87">
        <f t="shared" si="60"/>
        <v>0</v>
      </c>
      <c r="I576" s="418"/>
    </row>
    <row r="577" spans="1:9" x14ac:dyDescent="0.35">
      <c r="A577" s="1327"/>
      <c r="B577" s="73">
        <v>53206070000000</v>
      </c>
      <c r="C577" s="74" t="s">
        <v>160</v>
      </c>
      <c r="D577" s="92">
        <v>0</v>
      </c>
      <c r="E577" s="92"/>
      <c r="F577" s="94"/>
      <c r="G577" s="86">
        <f t="shared" si="59"/>
        <v>0</v>
      </c>
      <c r="H577" s="87">
        <f t="shared" si="60"/>
        <v>0</v>
      </c>
      <c r="I577" s="418"/>
    </row>
    <row r="578" spans="1:9" x14ac:dyDescent="0.35">
      <c r="A578" s="1327"/>
      <c r="B578" s="73">
        <v>53206990000000</v>
      </c>
      <c r="C578" s="74" t="s">
        <v>161</v>
      </c>
      <c r="D578" s="92">
        <f>452025+1000000</f>
        <v>1452025</v>
      </c>
      <c r="E578" s="92"/>
      <c r="F578" s="94"/>
      <c r="G578" s="86">
        <f t="shared" si="59"/>
        <v>0</v>
      </c>
      <c r="H578" s="87">
        <f t="shared" si="60"/>
        <v>1452025</v>
      </c>
      <c r="I578" s="418"/>
    </row>
    <row r="579" spans="1:9" x14ac:dyDescent="0.35">
      <c r="A579" s="1327"/>
      <c r="B579" s="73">
        <v>53208030000000</v>
      </c>
      <c r="C579" s="74" t="s">
        <v>162</v>
      </c>
      <c r="D579" s="92">
        <v>0</v>
      </c>
      <c r="E579" s="92"/>
      <c r="F579" s="94"/>
      <c r="G579" s="86">
        <f t="shared" si="59"/>
        <v>0</v>
      </c>
      <c r="H579" s="87">
        <f t="shared" si="60"/>
        <v>0</v>
      </c>
      <c r="I579" s="418"/>
    </row>
    <row r="580" spans="1:9" x14ac:dyDescent="0.35">
      <c r="A580" s="1327"/>
      <c r="B580" s="73">
        <v>53212060000000</v>
      </c>
      <c r="C580" s="74" t="s">
        <v>163</v>
      </c>
      <c r="D580" s="83">
        <v>1684541.25</v>
      </c>
      <c r="E580" s="83"/>
      <c r="F580" s="85"/>
      <c r="G580" s="86">
        <f t="shared" si="59"/>
        <v>0</v>
      </c>
      <c r="H580" s="87">
        <f t="shared" si="60"/>
        <v>1684541.25</v>
      </c>
      <c r="I580" s="418" t="s">
        <v>605</v>
      </c>
    </row>
    <row r="581" spans="1:9" x14ac:dyDescent="0.35">
      <c r="A581" s="1327"/>
      <c r="B581" s="68"/>
      <c r="C581" s="69" t="s">
        <v>164</v>
      </c>
      <c r="D581" s="70">
        <f>SUM(D582:D583)</f>
        <v>1082790.45</v>
      </c>
      <c r="E581" s="88"/>
      <c r="F581" s="88"/>
      <c r="G581" s="91">
        <f>SUM(G582:G583)</f>
        <v>0</v>
      </c>
      <c r="H581" s="90">
        <f>SUM(H582:H583)</f>
        <v>1082790.45</v>
      </c>
      <c r="I581" s="418"/>
    </row>
    <row r="582" spans="1:9" x14ac:dyDescent="0.35">
      <c r="A582" s="1327"/>
      <c r="B582" s="73">
        <v>53210020500000</v>
      </c>
      <c r="C582" s="74" t="s">
        <v>165</v>
      </c>
      <c r="D582" s="83"/>
      <c r="E582" s="83"/>
      <c r="F582" s="85"/>
      <c r="G582" s="86">
        <f>E582*F582</f>
        <v>0</v>
      </c>
      <c r="H582" s="102">
        <f>D582+G582</f>
        <v>0</v>
      </c>
      <c r="I582" s="418"/>
    </row>
    <row r="583" spans="1:9" x14ac:dyDescent="0.35">
      <c r="A583" s="1327"/>
      <c r="B583" s="103">
        <v>53204999000000</v>
      </c>
      <c r="C583" s="104" t="s">
        <v>166</v>
      </c>
      <c r="D583" s="92">
        <v>1082790.45</v>
      </c>
      <c r="E583" s="92"/>
      <c r="F583" s="94"/>
      <c r="G583" s="105">
        <f>E583*F583</f>
        <v>0</v>
      </c>
      <c r="H583" s="102">
        <f>D583+G583</f>
        <v>1082790.45</v>
      </c>
      <c r="I583" s="418"/>
    </row>
    <row r="584" spans="1:9" x14ac:dyDescent="0.35">
      <c r="A584" s="1328"/>
      <c r="B584" s="106"/>
      <c r="C584" s="107" t="s">
        <v>12</v>
      </c>
      <c r="D584" s="112">
        <f>SUM(D515,D543)</f>
        <v>44834616.585206248</v>
      </c>
      <c r="E584" s="113"/>
      <c r="F584" s="113"/>
      <c r="G584" s="112">
        <f>SUM(G515,G543)</f>
        <v>5447384.6750000007</v>
      </c>
      <c r="H584" s="114">
        <f>SUM(H515,H543)</f>
        <v>50282001.260206245</v>
      </c>
      <c r="I584" s="418"/>
    </row>
    <row r="585" spans="1:9" x14ac:dyDescent="0.35">
      <c r="A585" s="1310" t="s">
        <v>25</v>
      </c>
      <c r="B585" s="1312" t="s">
        <v>90</v>
      </c>
      <c r="C585" s="1314" t="s">
        <v>91</v>
      </c>
      <c r="D585" s="1316" t="s">
        <v>92</v>
      </c>
      <c r="E585" s="1318" t="s">
        <v>93</v>
      </c>
      <c r="F585" s="1319"/>
      <c r="G585" s="1320"/>
      <c r="H585" s="1321" t="s">
        <v>494</v>
      </c>
      <c r="I585" s="1309" t="s">
        <v>94</v>
      </c>
    </row>
    <row r="586" spans="1:9" ht="26" x14ac:dyDescent="0.35">
      <c r="A586" s="1311"/>
      <c r="B586" s="1313"/>
      <c r="C586" s="1315"/>
      <c r="D586" s="1317"/>
      <c r="E586" s="60" t="s">
        <v>95</v>
      </c>
      <c r="F586" s="61" t="s">
        <v>96</v>
      </c>
      <c r="G586" s="62" t="s">
        <v>97</v>
      </c>
      <c r="H586" s="1322"/>
      <c r="I586" s="1309"/>
    </row>
    <row r="587" spans="1:9" x14ac:dyDescent="0.35">
      <c r="A587" s="1204" t="str">
        <f>+'A) Resumen Ingresos y Egresos'!A159</f>
        <v>C.N.C. Tumbes</v>
      </c>
      <c r="B587" s="63"/>
      <c r="C587" s="64" t="s">
        <v>98</v>
      </c>
      <c r="D587" s="65">
        <f>SUM(D588,D593,D595)</f>
        <v>296464349.31249994</v>
      </c>
      <c r="E587" s="66"/>
      <c r="F587" s="66"/>
      <c r="G587" s="65">
        <f>SUM(G588,G593,G595)</f>
        <v>18388064.739890724</v>
      </c>
      <c r="H587" s="67">
        <f>SUM(H588,H593,H595)</f>
        <v>314852414.05239069</v>
      </c>
      <c r="I587" s="418"/>
    </row>
    <row r="588" spans="1:9" x14ac:dyDescent="0.35">
      <c r="A588" s="1204"/>
      <c r="B588" s="68"/>
      <c r="C588" s="69" t="s">
        <v>99</v>
      </c>
      <c r="D588" s="70">
        <f>SUM(D589:D592)</f>
        <v>134694055.93749997</v>
      </c>
      <c r="E588" s="71"/>
      <c r="F588" s="71"/>
      <c r="G588" s="70">
        <f>SUM(G589:G592)</f>
        <v>0</v>
      </c>
      <c r="H588" s="72">
        <f>SUM(H589:H592)</f>
        <v>134694055.93749997</v>
      </c>
      <c r="I588" s="418"/>
    </row>
    <row r="589" spans="1:9" x14ac:dyDescent="0.35">
      <c r="A589" s="1204"/>
      <c r="B589" s="73">
        <v>53103040100000</v>
      </c>
      <c r="C589" s="74" t="s">
        <v>100</v>
      </c>
      <c r="D589" s="75">
        <f>+'F) Remuneraciones'!M202</f>
        <v>134694055.93749997</v>
      </c>
      <c r="E589" s="76"/>
      <c r="F589" s="76"/>
      <c r="G589" s="76"/>
      <c r="H589" s="77">
        <f>D589+G589</f>
        <v>134694055.93749997</v>
      </c>
      <c r="I589" s="418"/>
    </row>
    <row r="590" spans="1:9" x14ac:dyDescent="0.35">
      <c r="A590" s="1204"/>
      <c r="B590" s="73">
        <v>53103050000000</v>
      </c>
      <c r="C590" s="74" t="s">
        <v>101</v>
      </c>
      <c r="D590" s="78"/>
      <c r="E590" s="79"/>
      <c r="F590" s="80"/>
      <c r="G590" s="81">
        <f>E590*F590</f>
        <v>0</v>
      </c>
      <c r="H590" s="82">
        <f>D590+G590</f>
        <v>0</v>
      </c>
      <c r="I590" s="418"/>
    </row>
    <row r="591" spans="1:9" x14ac:dyDescent="0.35">
      <c r="A591" s="1204"/>
      <c r="B591" s="73">
        <v>53103060000000</v>
      </c>
      <c r="C591" s="74" t="s">
        <v>102</v>
      </c>
      <c r="D591" s="83"/>
      <c r="E591" s="84"/>
      <c r="F591" s="85"/>
      <c r="G591" s="86">
        <f>E591*F591</f>
        <v>0</v>
      </c>
      <c r="H591" s="87">
        <f>D591+G591</f>
        <v>0</v>
      </c>
      <c r="I591" s="418"/>
    </row>
    <row r="592" spans="1:9" x14ac:dyDescent="0.35">
      <c r="A592" s="1204"/>
      <c r="B592" s="73">
        <v>53103080010000</v>
      </c>
      <c r="C592" s="74" t="s">
        <v>103</v>
      </c>
      <c r="D592" s="83"/>
      <c r="E592" s="84"/>
      <c r="F592" s="85"/>
      <c r="G592" s="86">
        <f>E592*F592</f>
        <v>0</v>
      </c>
      <c r="H592" s="87">
        <f>D592+G592</f>
        <v>0</v>
      </c>
      <c r="I592" s="418"/>
    </row>
    <row r="593" spans="1:9" x14ac:dyDescent="0.35">
      <c r="A593" s="1204"/>
      <c r="B593" s="68"/>
      <c r="C593" s="69" t="s">
        <v>104</v>
      </c>
      <c r="D593" s="70">
        <f>SUM(D594)</f>
        <v>151128422.55000001</v>
      </c>
      <c r="E593" s="88"/>
      <c r="F593" s="88"/>
      <c r="G593" s="89">
        <f>SUM(G594:G594)</f>
        <v>0</v>
      </c>
      <c r="H593" s="90">
        <f>SUM(H594:H594)</f>
        <v>151128422.55000001</v>
      </c>
      <c r="I593" s="418"/>
    </row>
    <row r="594" spans="1:9" x14ac:dyDescent="0.35">
      <c r="A594" s="1204"/>
      <c r="B594" s="73">
        <v>55201010100001</v>
      </c>
      <c r="C594" s="74" t="s">
        <v>105</v>
      </c>
      <c r="D594" s="83">
        <v>151128422.55000001</v>
      </c>
      <c r="E594" s="84"/>
      <c r="F594" s="85"/>
      <c r="G594" s="86">
        <f>E594*F594</f>
        <v>0</v>
      </c>
      <c r="H594" s="87">
        <f>D594+G594</f>
        <v>151128422.55000001</v>
      </c>
      <c r="I594" s="418"/>
    </row>
    <row r="595" spans="1:9" x14ac:dyDescent="0.35">
      <c r="A595" s="1204"/>
      <c r="B595" s="68"/>
      <c r="C595" s="69" t="s">
        <v>106</v>
      </c>
      <c r="D595" s="70">
        <f>SUM(D596:D614)</f>
        <v>10641870.825000001</v>
      </c>
      <c r="E595" s="88"/>
      <c r="F595" s="88"/>
      <c r="G595" s="91">
        <f>SUM(G596:G614)</f>
        <v>18388064.739890724</v>
      </c>
      <c r="H595" s="90">
        <f>SUM(H596:H614)</f>
        <v>29029935.564890724</v>
      </c>
      <c r="I595" s="418"/>
    </row>
    <row r="596" spans="1:9" x14ac:dyDescent="0.35">
      <c r="A596" s="1204"/>
      <c r="B596" s="73">
        <v>53201010100000</v>
      </c>
      <c r="C596" s="74" t="s">
        <v>107</v>
      </c>
      <c r="D596" s="83"/>
      <c r="E596" s="84">
        <v>2538</v>
      </c>
      <c r="F596" s="85">
        <v>3600</v>
      </c>
      <c r="G596" s="86">
        <f t="shared" ref="G596:G614" si="61">E596*F596</f>
        <v>9136800</v>
      </c>
      <c r="H596" s="87">
        <f t="shared" ref="H596:H614" si="62">D596+G596</f>
        <v>9136800</v>
      </c>
      <c r="I596" s="418"/>
    </row>
    <row r="597" spans="1:9" x14ac:dyDescent="0.35">
      <c r="A597" s="1204"/>
      <c r="B597" s="73">
        <v>53202010100000</v>
      </c>
      <c r="C597" s="74" t="s">
        <v>108</v>
      </c>
      <c r="D597" s="972">
        <v>600000</v>
      </c>
      <c r="E597" s="84"/>
      <c r="F597" s="85"/>
      <c r="G597" s="86">
        <f t="shared" si="61"/>
        <v>0</v>
      </c>
      <c r="H597" s="87">
        <f t="shared" si="62"/>
        <v>600000</v>
      </c>
      <c r="I597" s="418"/>
    </row>
    <row r="598" spans="1:9" x14ac:dyDescent="0.35">
      <c r="A598" s="1204"/>
      <c r="B598" s="73">
        <v>53203010100000</v>
      </c>
      <c r="C598" s="74" t="s">
        <v>109</v>
      </c>
      <c r="D598" s="92">
        <v>1387634.85</v>
      </c>
      <c r="E598" s="93"/>
      <c r="F598" s="94"/>
      <c r="G598" s="86">
        <f t="shared" si="61"/>
        <v>0</v>
      </c>
      <c r="H598" s="87">
        <f t="shared" si="62"/>
        <v>1387634.85</v>
      </c>
      <c r="I598" s="418"/>
    </row>
    <row r="599" spans="1:9" x14ac:dyDescent="0.35">
      <c r="A599" s="1204"/>
      <c r="B599" s="73">
        <v>53203030000000</v>
      </c>
      <c r="C599" s="74" t="s">
        <v>110</v>
      </c>
      <c r="D599" s="92">
        <v>0</v>
      </c>
      <c r="E599" s="93"/>
      <c r="F599" s="94"/>
      <c r="G599" s="86">
        <f t="shared" si="61"/>
        <v>0</v>
      </c>
      <c r="H599" s="87">
        <f t="shared" si="62"/>
        <v>0</v>
      </c>
      <c r="I599" s="418"/>
    </row>
    <row r="600" spans="1:9" x14ac:dyDescent="0.35">
      <c r="A600" s="1204"/>
      <c r="B600" s="73">
        <v>53204030000000</v>
      </c>
      <c r="C600" s="74" t="s">
        <v>111</v>
      </c>
      <c r="D600" s="92">
        <v>0</v>
      </c>
      <c r="E600" s="93"/>
      <c r="F600" s="94"/>
      <c r="G600" s="86">
        <f t="shared" si="61"/>
        <v>0</v>
      </c>
      <c r="H600" s="87">
        <f t="shared" si="62"/>
        <v>0</v>
      </c>
      <c r="I600" s="421"/>
    </row>
    <row r="601" spans="1:9" x14ac:dyDescent="0.35">
      <c r="A601" s="1204"/>
      <c r="B601" s="73">
        <v>53204100100001</v>
      </c>
      <c r="C601" s="74" t="s">
        <v>112</v>
      </c>
      <c r="D601" s="92">
        <v>3703267.5750000002</v>
      </c>
      <c r="E601" s="93"/>
      <c r="F601" s="94"/>
      <c r="G601" s="86">
        <f t="shared" si="61"/>
        <v>0</v>
      </c>
      <c r="H601" s="87">
        <f t="shared" si="62"/>
        <v>3703267.5750000002</v>
      </c>
      <c r="I601" s="418"/>
    </row>
    <row r="602" spans="1:9" x14ac:dyDescent="0.35">
      <c r="A602" s="1204"/>
      <c r="B602" s="73">
        <v>53204130100000</v>
      </c>
      <c r="C602" s="74" t="s">
        <v>113</v>
      </c>
      <c r="D602" s="92">
        <v>0</v>
      </c>
      <c r="E602" s="93"/>
      <c r="F602" s="94"/>
      <c r="G602" s="86">
        <f t="shared" si="61"/>
        <v>0</v>
      </c>
      <c r="H602" s="87">
        <f t="shared" si="62"/>
        <v>0</v>
      </c>
      <c r="I602" s="418"/>
    </row>
    <row r="603" spans="1:9" x14ac:dyDescent="0.35">
      <c r="A603" s="1204"/>
      <c r="B603" s="73">
        <v>53205010100000</v>
      </c>
      <c r="C603" s="95" t="s">
        <v>114</v>
      </c>
      <c r="D603" s="92">
        <v>0</v>
      </c>
      <c r="E603" s="93">
        <v>332</v>
      </c>
      <c r="F603" s="94">
        <v>8360.2405384615395</v>
      </c>
      <c r="G603" s="86">
        <f t="shared" si="61"/>
        <v>2775599.858769231</v>
      </c>
      <c r="H603" s="87">
        <f t="shared" si="62"/>
        <v>2775599.858769231</v>
      </c>
      <c r="I603" s="421"/>
    </row>
    <row r="604" spans="1:9" x14ac:dyDescent="0.35">
      <c r="A604" s="1204"/>
      <c r="B604" s="73">
        <v>53205020100000</v>
      </c>
      <c r="C604" s="95" t="s">
        <v>115</v>
      </c>
      <c r="D604" s="92">
        <v>0</v>
      </c>
      <c r="E604" s="93">
        <v>702</v>
      </c>
      <c r="F604" s="94">
        <v>1376.5340186915889</v>
      </c>
      <c r="G604" s="86">
        <f t="shared" si="61"/>
        <v>966326.88112149539</v>
      </c>
      <c r="H604" s="87">
        <f t="shared" si="62"/>
        <v>966326.88112149539</v>
      </c>
      <c r="I604" s="418"/>
    </row>
    <row r="605" spans="1:9" x14ac:dyDescent="0.35">
      <c r="A605" s="1204"/>
      <c r="B605" s="73">
        <v>53205030100000</v>
      </c>
      <c r="C605" s="95" t="s">
        <v>116</v>
      </c>
      <c r="D605" s="92">
        <v>0</v>
      </c>
      <c r="E605" s="93">
        <v>903</v>
      </c>
      <c r="F605" s="94">
        <v>4010</v>
      </c>
      <c r="G605" s="86">
        <f t="shared" si="61"/>
        <v>3621030</v>
      </c>
      <c r="H605" s="87">
        <f t="shared" si="62"/>
        <v>3621030</v>
      </c>
      <c r="I605" s="418"/>
    </row>
    <row r="606" spans="1:9" x14ac:dyDescent="0.35">
      <c r="A606" s="1204"/>
      <c r="B606" s="73">
        <v>53205050100000</v>
      </c>
      <c r="C606" s="74" t="s">
        <v>117</v>
      </c>
      <c r="D606" s="92">
        <v>0</v>
      </c>
      <c r="E606" s="93"/>
      <c r="F606" s="94"/>
      <c r="G606" s="86">
        <f t="shared" si="61"/>
        <v>0</v>
      </c>
      <c r="H606" s="87">
        <f t="shared" si="62"/>
        <v>0</v>
      </c>
      <c r="I606" s="418"/>
    </row>
    <row r="607" spans="1:9" x14ac:dyDescent="0.35">
      <c r="A607" s="1204"/>
      <c r="B607" s="73">
        <v>53205060100000</v>
      </c>
      <c r="C607" s="74" t="s">
        <v>118</v>
      </c>
      <c r="D607" s="92">
        <v>0</v>
      </c>
      <c r="E607" s="93"/>
      <c r="F607" s="94"/>
      <c r="G607" s="86">
        <f t="shared" si="61"/>
        <v>0</v>
      </c>
      <c r="H607" s="87">
        <f t="shared" si="62"/>
        <v>0</v>
      </c>
      <c r="I607" s="418"/>
    </row>
    <row r="608" spans="1:9" x14ac:dyDescent="0.35">
      <c r="A608" s="1204"/>
      <c r="B608" s="73">
        <v>53205070100000</v>
      </c>
      <c r="C608" s="95" t="s">
        <v>119</v>
      </c>
      <c r="D608" s="92">
        <v>0</v>
      </c>
      <c r="E608" s="93">
        <v>42909</v>
      </c>
      <c r="F608" s="94">
        <v>12</v>
      </c>
      <c r="G608" s="86">
        <f t="shared" si="61"/>
        <v>514908</v>
      </c>
      <c r="H608" s="87">
        <f t="shared" si="62"/>
        <v>514908</v>
      </c>
      <c r="I608" s="418"/>
    </row>
    <row r="609" spans="1:9" x14ac:dyDescent="0.35">
      <c r="A609" s="1204"/>
      <c r="B609" s="73">
        <v>53208010100000</v>
      </c>
      <c r="C609" s="95" t="s">
        <v>120</v>
      </c>
      <c r="D609" s="92">
        <v>828758.70000000019</v>
      </c>
      <c r="E609" s="93">
        <v>114450</v>
      </c>
      <c r="F609" s="94">
        <v>12</v>
      </c>
      <c r="G609" s="86">
        <f t="shared" si="61"/>
        <v>1373400</v>
      </c>
      <c r="H609" s="87">
        <f t="shared" si="62"/>
        <v>2202158.7000000002</v>
      </c>
      <c r="I609" s="418"/>
    </row>
    <row r="610" spans="1:9" x14ac:dyDescent="0.35">
      <c r="A610" s="1204"/>
      <c r="B610" s="73">
        <v>53208070100001</v>
      </c>
      <c r="C610" s="74" t="s">
        <v>121</v>
      </c>
      <c r="D610" s="92">
        <v>0</v>
      </c>
      <c r="E610" s="93"/>
      <c r="F610" s="94"/>
      <c r="G610" s="86">
        <f t="shared" si="61"/>
        <v>0</v>
      </c>
      <c r="H610" s="87">
        <f t="shared" si="62"/>
        <v>0</v>
      </c>
      <c r="I610" s="418"/>
    </row>
    <row r="611" spans="1:9" x14ac:dyDescent="0.35">
      <c r="A611" s="1204"/>
      <c r="B611" s="73">
        <v>53208100100001</v>
      </c>
      <c r="C611" s="74" t="s">
        <v>122</v>
      </c>
      <c r="D611" s="92">
        <v>0</v>
      </c>
      <c r="E611" s="93"/>
      <c r="F611" s="94"/>
      <c r="G611" s="86">
        <f t="shared" si="61"/>
        <v>0</v>
      </c>
      <c r="H611" s="87">
        <f t="shared" si="62"/>
        <v>0</v>
      </c>
      <c r="I611" s="418"/>
    </row>
    <row r="612" spans="1:9" x14ac:dyDescent="0.35">
      <c r="A612" s="1204"/>
      <c r="B612" s="73">
        <v>53211030000000</v>
      </c>
      <c r="C612" s="74" t="s">
        <v>123</v>
      </c>
      <c r="D612" s="92">
        <v>0</v>
      </c>
      <c r="E612" s="93"/>
      <c r="F612" s="94"/>
      <c r="G612" s="86">
        <f t="shared" si="61"/>
        <v>0</v>
      </c>
      <c r="H612" s="87">
        <f t="shared" si="62"/>
        <v>0</v>
      </c>
      <c r="I612" s="418"/>
    </row>
    <row r="613" spans="1:9" x14ac:dyDescent="0.35">
      <c r="A613" s="1204"/>
      <c r="B613" s="73">
        <v>53212020100000</v>
      </c>
      <c r="C613" s="74" t="s">
        <v>124</v>
      </c>
      <c r="D613" s="92">
        <v>4122209.7</v>
      </c>
      <c r="E613" s="93"/>
      <c r="F613" s="94"/>
      <c r="G613" s="86">
        <f t="shared" si="61"/>
        <v>0</v>
      </c>
      <c r="H613" s="87">
        <f>D613+G613</f>
        <v>4122209.7</v>
      </c>
      <c r="I613" s="421"/>
    </row>
    <row r="614" spans="1:9" x14ac:dyDescent="0.35">
      <c r="A614" s="1204"/>
      <c r="B614" s="73">
        <v>53214020000000</v>
      </c>
      <c r="C614" s="74" t="s">
        <v>125</v>
      </c>
      <c r="D614" s="83"/>
      <c r="E614" s="84"/>
      <c r="F614" s="85"/>
      <c r="G614" s="86">
        <f t="shared" si="61"/>
        <v>0</v>
      </c>
      <c r="H614" s="87">
        <f t="shared" si="62"/>
        <v>0</v>
      </c>
      <c r="I614" s="418"/>
    </row>
    <row r="615" spans="1:9" x14ac:dyDescent="0.35">
      <c r="A615" s="1204"/>
      <c r="B615" s="63"/>
      <c r="C615" s="64" t="s">
        <v>126</v>
      </c>
      <c r="D615" s="96">
        <f>SUM(D616,D621,D624,D635,D645,D653)</f>
        <v>19847975.175000001</v>
      </c>
      <c r="E615" s="66"/>
      <c r="F615" s="66"/>
      <c r="G615" s="97">
        <f>SUM(G616,G621,G624,G635,G645,G653)</f>
        <v>1030000</v>
      </c>
      <c r="H615" s="98">
        <f>SUM(H616,H621,H624,H635,H645,H653)</f>
        <v>20877975.174999997</v>
      </c>
      <c r="I615" s="418"/>
    </row>
    <row r="616" spans="1:9" x14ac:dyDescent="0.35">
      <c r="A616" s="1204"/>
      <c r="B616" s="68"/>
      <c r="C616" s="69" t="s">
        <v>127</v>
      </c>
      <c r="D616" s="70">
        <f>SUM(D617:D620)</f>
        <v>0</v>
      </c>
      <c r="E616" s="88"/>
      <c r="F616" s="88"/>
      <c r="G616" s="89">
        <f>SUM(G617:G620)</f>
        <v>1030000</v>
      </c>
      <c r="H616" s="99">
        <f>SUM(H617:H620)</f>
        <v>1030000</v>
      </c>
      <c r="I616" s="418"/>
    </row>
    <row r="617" spans="1:9" x14ac:dyDescent="0.35">
      <c r="A617" s="1204"/>
      <c r="B617" s="73">
        <v>53202020100000</v>
      </c>
      <c r="C617" s="74" t="s">
        <v>128</v>
      </c>
      <c r="D617" s="92">
        <v>0</v>
      </c>
      <c r="E617" s="93">
        <v>50000</v>
      </c>
      <c r="F617" s="94">
        <v>15</v>
      </c>
      <c r="G617" s="86">
        <f>E617*F617</f>
        <v>750000</v>
      </c>
      <c r="H617" s="87">
        <f>D617+G617</f>
        <v>750000</v>
      </c>
      <c r="I617" s="418"/>
    </row>
    <row r="618" spans="1:9" x14ac:dyDescent="0.35">
      <c r="A618" s="1204"/>
      <c r="B618" s="73">
        <v>53202030000000</v>
      </c>
      <c r="C618" s="74" t="s">
        <v>129</v>
      </c>
      <c r="D618" s="83">
        <v>0</v>
      </c>
      <c r="E618" s="84">
        <v>35000</v>
      </c>
      <c r="F618" s="85">
        <v>8</v>
      </c>
      <c r="G618" s="86">
        <f>E618*F618</f>
        <v>280000</v>
      </c>
      <c r="H618" s="87">
        <f>D618+G618</f>
        <v>280000</v>
      </c>
      <c r="I618" s="418"/>
    </row>
    <row r="619" spans="1:9" x14ac:dyDescent="0.35">
      <c r="A619" s="1204"/>
      <c r="B619" s="73">
        <v>53211020000000</v>
      </c>
      <c r="C619" s="74" t="s">
        <v>130</v>
      </c>
      <c r="D619" s="92">
        <v>0</v>
      </c>
      <c r="E619" s="93"/>
      <c r="F619" s="94"/>
      <c r="G619" s="86">
        <f>E619*F619</f>
        <v>0</v>
      </c>
      <c r="H619" s="87">
        <f>D619+G619</f>
        <v>0</v>
      </c>
      <c r="I619" s="418"/>
    </row>
    <row r="620" spans="1:9" x14ac:dyDescent="0.35">
      <c r="A620" s="1204"/>
      <c r="B620" s="73">
        <v>53101004030000</v>
      </c>
      <c r="C620" s="74" t="s">
        <v>131</v>
      </c>
      <c r="D620" s="83">
        <v>0</v>
      </c>
      <c r="E620" s="84"/>
      <c r="F620" s="85"/>
      <c r="G620" s="86">
        <f>E620*F620</f>
        <v>0</v>
      </c>
      <c r="H620" s="87">
        <f>D620+G620</f>
        <v>0</v>
      </c>
      <c r="I620" s="418"/>
    </row>
    <row r="621" spans="1:9" x14ac:dyDescent="0.35">
      <c r="A621" s="1204"/>
      <c r="B621" s="68"/>
      <c r="C621" s="69" t="s">
        <v>132</v>
      </c>
      <c r="D621" s="70"/>
      <c r="E621" s="88"/>
      <c r="F621" s="88"/>
      <c r="G621" s="89">
        <f>SUM(G622:G623)</f>
        <v>0</v>
      </c>
      <c r="H621" s="99">
        <f>SUM(H622:H623)</f>
        <v>0</v>
      </c>
      <c r="I621" s="418"/>
    </row>
    <row r="622" spans="1:9" x14ac:dyDescent="0.35">
      <c r="A622" s="1204"/>
      <c r="B622" s="73">
        <v>53205080000000</v>
      </c>
      <c r="C622" s="100" t="s">
        <v>133</v>
      </c>
      <c r="D622" s="83">
        <v>0</v>
      </c>
      <c r="E622" s="84"/>
      <c r="F622" s="85"/>
      <c r="G622" s="86">
        <f>E622*F622</f>
        <v>0</v>
      </c>
      <c r="H622" s="87">
        <f>D622+G622</f>
        <v>0</v>
      </c>
      <c r="I622" s="418"/>
    </row>
    <row r="623" spans="1:9" x14ac:dyDescent="0.35">
      <c r="A623" s="1204"/>
      <c r="B623" s="73">
        <v>53205990000000</v>
      </c>
      <c r="C623" s="95" t="s">
        <v>134</v>
      </c>
      <c r="D623" s="92">
        <v>0</v>
      </c>
      <c r="E623" s="93"/>
      <c r="F623" s="94"/>
      <c r="G623" s="86">
        <f>E623*F623</f>
        <v>0</v>
      </c>
      <c r="H623" s="87">
        <f>D623+G623</f>
        <v>0</v>
      </c>
      <c r="I623" s="418"/>
    </row>
    <row r="624" spans="1:9" x14ac:dyDescent="0.35">
      <c r="A624" s="1204"/>
      <c r="B624" s="68"/>
      <c r="C624" s="69" t="s">
        <v>135</v>
      </c>
      <c r="D624" s="70">
        <f>SUM(D625:D634)</f>
        <v>5048394.75</v>
      </c>
      <c r="E624" s="88"/>
      <c r="F624" s="88"/>
      <c r="G624" s="91">
        <f>SUM(G625:G634)</f>
        <v>0</v>
      </c>
      <c r="H624" s="90">
        <f>SUM(H625:H634)</f>
        <v>5048394.75</v>
      </c>
      <c r="I624" s="418"/>
    </row>
    <row r="625" spans="1:9" x14ac:dyDescent="0.35">
      <c r="A625" s="1204"/>
      <c r="B625" s="73">
        <v>53203010200000</v>
      </c>
      <c r="C625" s="74" t="s">
        <v>136</v>
      </c>
      <c r="D625" s="83"/>
      <c r="E625" s="83"/>
      <c r="F625" s="85"/>
      <c r="G625" s="86">
        <f t="shared" ref="G625:G634" si="63">E625*F625</f>
        <v>0</v>
      </c>
      <c r="H625" s="87">
        <f t="shared" ref="H625:H634" si="64">D625+G625</f>
        <v>0</v>
      </c>
      <c r="I625" s="418"/>
    </row>
    <row r="626" spans="1:9" x14ac:dyDescent="0.35">
      <c r="A626" s="1204"/>
      <c r="B626" s="73">
        <v>53204010000000</v>
      </c>
      <c r="C626" s="74" t="s">
        <v>137</v>
      </c>
      <c r="D626" s="92">
        <v>567159.07500000007</v>
      </c>
      <c r="E626" s="92"/>
      <c r="F626" s="94"/>
      <c r="G626" s="86">
        <f t="shared" si="63"/>
        <v>0</v>
      </c>
      <c r="H626" s="87">
        <f t="shared" si="64"/>
        <v>567159.07500000007</v>
      </c>
      <c r="I626" s="418"/>
    </row>
    <row r="627" spans="1:9" x14ac:dyDescent="0.35">
      <c r="A627" s="1204"/>
      <c r="B627" s="73">
        <v>53204040200000</v>
      </c>
      <c r="C627" s="100" t="s">
        <v>138</v>
      </c>
      <c r="D627" s="92"/>
      <c r="E627" s="92"/>
      <c r="F627" s="94"/>
      <c r="G627" s="86">
        <f t="shared" si="63"/>
        <v>0</v>
      </c>
      <c r="H627" s="87">
        <f t="shared" si="64"/>
        <v>0</v>
      </c>
      <c r="I627" s="418"/>
    </row>
    <row r="628" spans="1:9" x14ac:dyDescent="0.35">
      <c r="A628" s="1204"/>
      <c r="B628" s="73">
        <v>53204060000000</v>
      </c>
      <c r="C628" s="100" t="s">
        <v>139</v>
      </c>
      <c r="D628" s="92"/>
      <c r="E628" s="92"/>
      <c r="F628" s="94"/>
      <c r="G628" s="86">
        <f t="shared" si="63"/>
        <v>0</v>
      </c>
      <c r="H628" s="87">
        <f t="shared" si="64"/>
        <v>0</v>
      </c>
      <c r="I628" s="418"/>
    </row>
    <row r="629" spans="1:9" x14ac:dyDescent="0.35">
      <c r="A629" s="1204"/>
      <c r="B629" s="73">
        <v>53204070000000</v>
      </c>
      <c r="C629" s="95" t="s">
        <v>140</v>
      </c>
      <c r="D629" s="92">
        <v>4481235.6749999998</v>
      </c>
      <c r="E629" s="92"/>
      <c r="F629" s="94"/>
      <c r="G629" s="86">
        <f t="shared" si="63"/>
        <v>0</v>
      </c>
      <c r="H629" s="87">
        <f t="shared" si="64"/>
        <v>4481235.6749999998</v>
      </c>
      <c r="I629" s="418"/>
    </row>
    <row r="630" spans="1:9" x14ac:dyDescent="0.35">
      <c r="A630" s="1204"/>
      <c r="B630" s="73">
        <v>53204080000000</v>
      </c>
      <c r="C630" s="100" t="s">
        <v>141</v>
      </c>
      <c r="D630" s="92"/>
      <c r="E630" s="92"/>
      <c r="F630" s="94"/>
      <c r="G630" s="86">
        <f t="shared" si="63"/>
        <v>0</v>
      </c>
      <c r="H630" s="87">
        <f t="shared" si="64"/>
        <v>0</v>
      </c>
      <c r="I630" s="418"/>
    </row>
    <row r="631" spans="1:9" x14ac:dyDescent="0.35">
      <c r="A631" s="1204"/>
      <c r="B631" s="73">
        <v>53214010000000</v>
      </c>
      <c r="C631" s="100" t="s">
        <v>142</v>
      </c>
      <c r="D631" s="83"/>
      <c r="E631" s="83"/>
      <c r="F631" s="85"/>
      <c r="G631" s="86">
        <f t="shared" si="63"/>
        <v>0</v>
      </c>
      <c r="H631" s="87">
        <f t="shared" si="64"/>
        <v>0</v>
      </c>
      <c r="I631" s="418"/>
    </row>
    <row r="632" spans="1:9" x14ac:dyDescent="0.35">
      <c r="A632" s="1204"/>
      <c r="B632" s="73">
        <v>53214040000000</v>
      </c>
      <c r="C632" s="74" t="s">
        <v>143</v>
      </c>
      <c r="D632" s="83"/>
      <c r="E632" s="83"/>
      <c r="F632" s="85"/>
      <c r="G632" s="86">
        <f t="shared" si="63"/>
        <v>0</v>
      </c>
      <c r="H632" s="87">
        <f t="shared" si="64"/>
        <v>0</v>
      </c>
      <c r="I632" s="418"/>
    </row>
    <row r="633" spans="1:9" x14ac:dyDescent="0.35">
      <c r="A633" s="1204"/>
      <c r="B633" s="73">
        <v>55201010100004</v>
      </c>
      <c r="C633" s="74" t="s">
        <v>144</v>
      </c>
      <c r="D633" s="83"/>
      <c r="E633" s="83"/>
      <c r="F633" s="85"/>
      <c r="G633" s="86">
        <f t="shared" si="63"/>
        <v>0</v>
      </c>
      <c r="H633" s="87">
        <f t="shared" si="64"/>
        <v>0</v>
      </c>
      <c r="I633" s="418"/>
    </row>
    <row r="634" spans="1:9" x14ac:dyDescent="0.35">
      <c r="A634" s="1204"/>
      <c r="B634" s="73">
        <v>55201010100005</v>
      </c>
      <c r="C634" s="74" t="s">
        <v>145</v>
      </c>
      <c r="D634" s="83"/>
      <c r="E634" s="83"/>
      <c r="F634" s="85"/>
      <c r="G634" s="86">
        <f t="shared" si="63"/>
        <v>0</v>
      </c>
      <c r="H634" s="87">
        <f t="shared" si="64"/>
        <v>0</v>
      </c>
      <c r="I634" s="418"/>
    </row>
    <row r="635" spans="1:9" x14ac:dyDescent="0.35">
      <c r="A635" s="1204"/>
      <c r="B635" s="68"/>
      <c r="C635" s="69" t="s">
        <v>146</v>
      </c>
      <c r="D635" s="70">
        <f>SUM(D636:D644)</f>
        <v>3080923.45</v>
      </c>
      <c r="E635" s="88"/>
      <c r="F635" s="88"/>
      <c r="G635" s="91">
        <f>SUM(G636:G644)</f>
        <v>0</v>
      </c>
      <c r="H635" s="90">
        <f>SUM(H636:H644)</f>
        <v>3080923.45</v>
      </c>
      <c r="I635" s="418"/>
    </row>
    <row r="636" spans="1:9" x14ac:dyDescent="0.35">
      <c r="A636" s="1204"/>
      <c r="B636" s="73">
        <v>53207010000000</v>
      </c>
      <c r="C636" s="74" t="s">
        <v>147</v>
      </c>
      <c r="D636" s="92">
        <v>708750</v>
      </c>
      <c r="E636" s="92"/>
      <c r="F636" s="94"/>
      <c r="G636" s="86">
        <f t="shared" ref="G636:G644" si="65">E636*F636</f>
        <v>0</v>
      </c>
      <c r="H636" s="87">
        <f t="shared" ref="H636:H644" si="66">D636+G636</f>
        <v>708750</v>
      </c>
      <c r="I636" s="418"/>
    </row>
    <row r="637" spans="1:9" x14ac:dyDescent="0.35">
      <c r="A637" s="1204"/>
      <c r="B637" s="73">
        <v>53207020000000</v>
      </c>
      <c r="C637" s="74" t="s">
        <v>148</v>
      </c>
      <c r="D637" s="92">
        <v>1337175</v>
      </c>
      <c r="E637" s="92"/>
      <c r="F637" s="94"/>
      <c r="G637" s="86">
        <f t="shared" si="65"/>
        <v>0</v>
      </c>
      <c r="H637" s="87">
        <f t="shared" si="66"/>
        <v>1337175</v>
      </c>
      <c r="I637" s="418"/>
    </row>
    <row r="638" spans="1:9" x14ac:dyDescent="0.35">
      <c r="A638" s="1204"/>
      <c r="B638" s="73">
        <v>53208020000000</v>
      </c>
      <c r="C638" s="74" t="s">
        <v>149</v>
      </c>
      <c r="D638" s="92"/>
      <c r="E638" s="92"/>
      <c r="F638" s="94"/>
      <c r="G638" s="86">
        <f t="shared" si="65"/>
        <v>0</v>
      </c>
      <c r="H638" s="87">
        <f t="shared" si="66"/>
        <v>0</v>
      </c>
      <c r="I638" s="418"/>
    </row>
    <row r="639" spans="1:9" x14ac:dyDescent="0.35">
      <c r="A639" s="1204"/>
      <c r="B639" s="73">
        <v>53208990000000</v>
      </c>
      <c r="C639" s="74" t="s">
        <v>150</v>
      </c>
      <c r="D639" s="92">
        <v>738583.45000000019</v>
      </c>
      <c r="E639" s="92"/>
      <c r="F639" s="94"/>
      <c r="G639" s="86">
        <f t="shared" si="65"/>
        <v>0</v>
      </c>
      <c r="H639" s="87">
        <f t="shared" si="66"/>
        <v>738583.45000000019</v>
      </c>
      <c r="I639" s="418"/>
    </row>
    <row r="640" spans="1:9" x14ac:dyDescent="0.35">
      <c r="A640" s="1204"/>
      <c r="B640" s="73">
        <v>53209010000000</v>
      </c>
      <c r="C640" s="74" t="s">
        <v>151</v>
      </c>
      <c r="D640" s="92">
        <v>0</v>
      </c>
      <c r="E640" s="92"/>
      <c r="F640" s="94"/>
      <c r="G640" s="86">
        <f t="shared" si="65"/>
        <v>0</v>
      </c>
      <c r="H640" s="87">
        <f t="shared" si="66"/>
        <v>0</v>
      </c>
      <c r="I640" s="418"/>
    </row>
    <row r="641" spans="1:9" x14ac:dyDescent="0.35">
      <c r="A641" s="1204"/>
      <c r="B641" s="73">
        <v>53209040000000</v>
      </c>
      <c r="C641" s="74" t="s">
        <v>152</v>
      </c>
      <c r="D641" s="92">
        <v>0</v>
      </c>
      <c r="E641" s="92"/>
      <c r="F641" s="94"/>
      <c r="G641" s="86">
        <f t="shared" si="65"/>
        <v>0</v>
      </c>
      <c r="H641" s="87">
        <f t="shared" si="66"/>
        <v>0</v>
      </c>
      <c r="I641" s="418"/>
    </row>
    <row r="642" spans="1:9" x14ac:dyDescent="0.35">
      <c r="A642" s="1204"/>
      <c r="B642" s="73">
        <v>53209050000000</v>
      </c>
      <c r="C642" s="74" t="s">
        <v>153</v>
      </c>
      <c r="D642" s="92">
        <v>0</v>
      </c>
      <c r="E642" s="92"/>
      <c r="F642" s="94"/>
      <c r="G642" s="86">
        <f t="shared" si="65"/>
        <v>0</v>
      </c>
      <c r="H642" s="87">
        <f t="shared" si="66"/>
        <v>0</v>
      </c>
      <c r="I642" s="418"/>
    </row>
    <row r="643" spans="1:9" x14ac:dyDescent="0.35">
      <c r="A643" s="1204"/>
      <c r="B643" s="73">
        <v>53209990000000</v>
      </c>
      <c r="C643" s="74" t="s">
        <v>154</v>
      </c>
      <c r="D643" s="92">
        <v>296415</v>
      </c>
      <c r="E643" s="92"/>
      <c r="F643" s="94"/>
      <c r="G643" s="86">
        <f t="shared" si="65"/>
        <v>0</v>
      </c>
      <c r="H643" s="87">
        <f t="shared" si="66"/>
        <v>296415</v>
      </c>
      <c r="I643" s="418"/>
    </row>
    <row r="644" spans="1:9" x14ac:dyDescent="0.35">
      <c r="A644" s="1204"/>
      <c r="B644" s="73">
        <v>53210020100000</v>
      </c>
      <c r="C644" s="74" t="s">
        <v>155</v>
      </c>
      <c r="D644" s="92">
        <v>0</v>
      </c>
      <c r="E644" s="92"/>
      <c r="F644" s="94"/>
      <c r="G644" s="86">
        <f t="shared" si="65"/>
        <v>0</v>
      </c>
      <c r="H644" s="87">
        <f t="shared" si="66"/>
        <v>0</v>
      </c>
      <c r="I644" s="418"/>
    </row>
    <row r="645" spans="1:9" x14ac:dyDescent="0.35">
      <c r="A645" s="1204"/>
      <c r="B645" s="68"/>
      <c r="C645" s="69" t="s">
        <v>156</v>
      </c>
      <c r="D645" s="70">
        <f>SUM(D646:D652)</f>
        <v>555727.72499999998</v>
      </c>
      <c r="E645" s="88"/>
      <c r="F645" s="88"/>
      <c r="G645" s="91">
        <f>SUM(G646:G652)</f>
        <v>0</v>
      </c>
      <c r="H645" s="90">
        <f>SUM(H646:H652)</f>
        <v>555727.72499999998</v>
      </c>
      <c r="I645" s="418"/>
    </row>
    <row r="646" spans="1:9" x14ac:dyDescent="0.35">
      <c r="A646" s="1204"/>
      <c r="B646" s="73">
        <v>53206030000000</v>
      </c>
      <c r="C646" s="74" t="s">
        <v>157</v>
      </c>
      <c r="D646" s="92">
        <v>0</v>
      </c>
      <c r="E646" s="92"/>
      <c r="F646" s="94"/>
      <c r="G646" s="86">
        <f t="shared" ref="G646:G652" si="67">E646*F646</f>
        <v>0</v>
      </c>
      <c r="H646" s="87">
        <f t="shared" ref="H646:H652" si="68">D646+G646</f>
        <v>0</v>
      </c>
      <c r="I646" s="418"/>
    </row>
    <row r="647" spans="1:9" x14ac:dyDescent="0.35">
      <c r="A647" s="1204"/>
      <c r="B647" s="73">
        <v>53206040000000</v>
      </c>
      <c r="C647" s="74" t="s">
        <v>158</v>
      </c>
      <c r="D647" s="92">
        <v>0</v>
      </c>
      <c r="E647" s="92"/>
      <c r="F647" s="94"/>
      <c r="G647" s="86">
        <f t="shared" si="67"/>
        <v>0</v>
      </c>
      <c r="H647" s="87">
        <f t="shared" si="68"/>
        <v>0</v>
      </c>
      <c r="I647" s="418"/>
    </row>
    <row r="648" spans="1:9" x14ac:dyDescent="0.35">
      <c r="A648" s="1204"/>
      <c r="B648" s="73">
        <v>53206060000000</v>
      </c>
      <c r="C648" s="74" t="s">
        <v>159</v>
      </c>
      <c r="D648" s="92">
        <v>0</v>
      </c>
      <c r="E648" s="92"/>
      <c r="F648" s="94"/>
      <c r="G648" s="86">
        <f t="shared" si="67"/>
        <v>0</v>
      </c>
      <c r="H648" s="87">
        <f t="shared" si="68"/>
        <v>0</v>
      </c>
      <c r="I648" s="418"/>
    </row>
    <row r="649" spans="1:9" x14ac:dyDescent="0.35">
      <c r="A649" s="1204"/>
      <c r="B649" s="73">
        <v>53206070000000</v>
      </c>
      <c r="C649" s="74" t="s">
        <v>160</v>
      </c>
      <c r="D649" s="92">
        <v>0</v>
      </c>
      <c r="E649" s="92"/>
      <c r="F649" s="94"/>
      <c r="G649" s="86">
        <f t="shared" si="67"/>
        <v>0</v>
      </c>
      <c r="H649" s="87">
        <f t="shared" si="68"/>
        <v>0</v>
      </c>
      <c r="I649" s="418"/>
    </row>
    <row r="650" spans="1:9" x14ac:dyDescent="0.35">
      <c r="A650" s="1204"/>
      <c r="B650" s="73">
        <v>53206990000000</v>
      </c>
      <c r="C650" s="74" t="s">
        <v>161</v>
      </c>
      <c r="D650" s="92">
        <v>0</v>
      </c>
      <c r="E650" s="92"/>
      <c r="F650" s="94"/>
      <c r="G650" s="86">
        <f t="shared" si="67"/>
        <v>0</v>
      </c>
      <c r="H650" s="87">
        <f t="shared" si="68"/>
        <v>0</v>
      </c>
      <c r="I650" s="418"/>
    </row>
    <row r="651" spans="1:9" x14ac:dyDescent="0.35">
      <c r="A651" s="1204"/>
      <c r="B651" s="73">
        <v>53208030000000</v>
      </c>
      <c r="C651" s="74" t="s">
        <v>162</v>
      </c>
      <c r="D651" s="92">
        <v>0</v>
      </c>
      <c r="E651" s="92"/>
      <c r="F651" s="94"/>
      <c r="G651" s="86">
        <f t="shared" si="67"/>
        <v>0</v>
      </c>
      <c r="H651" s="87">
        <f t="shared" si="68"/>
        <v>0</v>
      </c>
      <c r="I651" s="418"/>
    </row>
    <row r="652" spans="1:9" x14ac:dyDescent="0.35">
      <c r="A652" s="1204"/>
      <c r="B652" s="73">
        <v>53212060000000</v>
      </c>
      <c r="C652" s="74" t="s">
        <v>163</v>
      </c>
      <c r="D652" s="83">
        <v>555727.72499999998</v>
      </c>
      <c r="E652" s="83"/>
      <c r="F652" s="85"/>
      <c r="G652" s="86">
        <f t="shared" si="67"/>
        <v>0</v>
      </c>
      <c r="H652" s="87">
        <f t="shared" si="68"/>
        <v>555727.72499999998</v>
      </c>
      <c r="I652" s="418" t="s">
        <v>605</v>
      </c>
    </row>
    <row r="653" spans="1:9" x14ac:dyDescent="0.35">
      <c r="A653" s="1204"/>
      <c r="B653" s="68"/>
      <c r="C653" s="69" t="s">
        <v>164</v>
      </c>
      <c r="D653" s="70">
        <f>SUM(D654:D655)</f>
        <v>11162929.25</v>
      </c>
      <c r="E653" s="88"/>
      <c r="F653" s="88"/>
      <c r="G653" s="91">
        <f>SUM(G654:G655)</f>
        <v>0</v>
      </c>
      <c r="H653" s="90">
        <f>SUM(H654:H655)</f>
        <v>11162929.25</v>
      </c>
      <c r="I653" s="418"/>
    </row>
    <row r="654" spans="1:9" x14ac:dyDescent="0.35">
      <c r="A654" s="1204"/>
      <c r="B654" s="73">
        <v>53210020500000</v>
      </c>
      <c r="C654" s="74" t="s">
        <v>165</v>
      </c>
      <c r="D654" s="83">
        <v>2977355</v>
      </c>
      <c r="E654" s="83"/>
      <c r="F654" s="85"/>
      <c r="G654" s="86">
        <f>E654*F654</f>
        <v>0</v>
      </c>
      <c r="H654" s="102">
        <f>D654+G654</f>
        <v>2977355</v>
      </c>
      <c r="I654" s="418"/>
    </row>
    <row r="655" spans="1:9" x14ac:dyDescent="0.35">
      <c r="A655" s="1204"/>
      <c r="B655" s="103">
        <v>53204999000000</v>
      </c>
      <c r="C655" s="104" t="s">
        <v>166</v>
      </c>
      <c r="D655" s="92">
        <v>8185574.25</v>
      </c>
      <c r="E655" s="92"/>
      <c r="F655" s="94"/>
      <c r="G655" s="105">
        <f>E655*F655</f>
        <v>0</v>
      </c>
      <c r="H655" s="102">
        <f>D655+G655</f>
        <v>8185574.25</v>
      </c>
      <c r="I655" s="419"/>
    </row>
    <row r="656" spans="1:9" x14ac:dyDescent="0.35">
      <c r="A656" s="1204"/>
      <c r="B656" s="106"/>
      <c r="C656" s="107" t="s">
        <v>12</v>
      </c>
      <c r="D656" s="108">
        <f>SUM(D587,D615)</f>
        <v>316312324.48749995</v>
      </c>
      <c r="E656" s="109"/>
      <c r="F656" s="109"/>
      <c r="G656" s="108">
        <f>SUM(G587,G615)</f>
        <v>19418064.739890724</v>
      </c>
      <c r="H656" s="110">
        <f>SUM(H587,H615)</f>
        <v>335730389.22739071</v>
      </c>
      <c r="I656" s="418"/>
    </row>
    <row r="657" spans="1:9" x14ac:dyDescent="0.35">
      <c r="A657" s="1310" t="s">
        <v>25</v>
      </c>
      <c r="B657" s="1312" t="s">
        <v>90</v>
      </c>
      <c r="C657" s="1314" t="s">
        <v>91</v>
      </c>
      <c r="D657" s="1316" t="s">
        <v>92</v>
      </c>
      <c r="E657" s="1318" t="s">
        <v>93</v>
      </c>
      <c r="F657" s="1319"/>
      <c r="G657" s="1320"/>
      <c r="H657" s="1321" t="str">
        <f>+H585</f>
        <v>COSTO DIRECTO ESTIMADO 2026</v>
      </c>
      <c r="I657" s="1309" t="s">
        <v>94</v>
      </c>
    </row>
    <row r="658" spans="1:9" ht="26" x14ac:dyDescent="0.35">
      <c r="A658" s="1311"/>
      <c r="B658" s="1313"/>
      <c r="C658" s="1315"/>
      <c r="D658" s="1317"/>
      <c r="E658" s="60" t="s">
        <v>95</v>
      </c>
      <c r="F658" s="61" t="s">
        <v>96</v>
      </c>
      <c r="G658" s="62" t="s">
        <v>97</v>
      </c>
      <c r="H658" s="1322"/>
      <c r="I658" s="1309"/>
    </row>
    <row r="659" spans="1:9" x14ac:dyDescent="0.35">
      <c r="A659" s="1204" t="str">
        <f>+'A) Resumen Ingresos y Egresos'!A164</f>
        <v>C.R. Faro Tumbes</v>
      </c>
      <c r="B659" s="63"/>
      <c r="C659" s="64" t="s">
        <v>98</v>
      </c>
      <c r="D659" s="65">
        <f>SUM(D660,D665,D667)</f>
        <v>30833850.689999998</v>
      </c>
      <c r="E659" s="66"/>
      <c r="F659" s="66"/>
      <c r="G659" s="65">
        <f>SUM(G660,G665,G667)</f>
        <v>5372910.7999999998</v>
      </c>
      <c r="H659" s="67">
        <f>SUM(H660,H665,H667)</f>
        <v>36206761.490000002</v>
      </c>
      <c r="I659" s="418"/>
    </row>
    <row r="660" spans="1:9" x14ac:dyDescent="0.35">
      <c r="A660" s="1204"/>
      <c r="B660" s="68"/>
      <c r="C660" s="69" t="s">
        <v>99</v>
      </c>
      <c r="D660" s="70">
        <f>SUM(D661:D664)</f>
        <v>29667298.289999999</v>
      </c>
      <c r="E660" s="71"/>
      <c r="F660" s="71"/>
      <c r="G660" s="70">
        <f>SUM(G661:G664)</f>
        <v>0</v>
      </c>
      <c r="H660" s="72">
        <f>SUM(H661:H664)</f>
        <v>29667298.289999999</v>
      </c>
      <c r="I660" s="418"/>
    </row>
    <row r="661" spans="1:9" x14ac:dyDescent="0.35">
      <c r="A661" s="1204"/>
      <c r="B661" s="73">
        <v>53103040100000</v>
      </c>
      <c r="C661" s="74" t="s">
        <v>100</v>
      </c>
      <c r="D661" s="75">
        <f>+'F) Remuneraciones'!M230</f>
        <v>29667298.289999999</v>
      </c>
      <c r="E661" s="76"/>
      <c r="F661" s="76"/>
      <c r="G661" s="76"/>
      <c r="H661" s="77">
        <f>D661+G661</f>
        <v>29667298.289999999</v>
      </c>
      <c r="I661" s="418"/>
    </row>
    <row r="662" spans="1:9" x14ac:dyDescent="0.35">
      <c r="A662" s="1204"/>
      <c r="B662" s="73">
        <v>53103050000000</v>
      </c>
      <c r="C662" s="74" t="s">
        <v>101</v>
      </c>
      <c r="D662" s="78">
        <v>0</v>
      </c>
      <c r="E662" s="79"/>
      <c r="F662" s="80"/>
      <c r="G662" s="81">
        <f>E662*F662</f>
        <v>0</v>
      </c>
      <c r="H662" s="82">
        <f>D662+G662</f>
        <v>0</v>
      </c>
      <c r="I662" s="418"/>
    </row>
    <row r="663" spans="1:9" x14ac:dyDescent="0.35">
      <c r="A663" s="1204"/>
      <c r="B663" s="73">
        <v>53103060000000</v>
      </c>
      <c r="C663" s="74" t="s">
        <v>102</v>
      </c>
      <c r="D663" s="83">
        <v>0</v>
      </c>
      <c r="E663" s="84"/>
      <c r="F663" s="85"/>
      <c r="G663" s="86">
        <f>E663*F663</f>
        <v>0</v>
      </c>
      <c r="H663" s="87">
        <f>D663+G663</f>
        <v>0</v>
      </c>
      <c r="I663" s="418"/>
    </row>
    <row r="664" spans="1:9" x14ac:dyDescent="0.35">
      <c r="A664" s="1204"/>
      <c r="B664" s="73">
        <v>53103080010000</v>
      </c>
      <c r="C664" s="74" t="s">
        <v>103</v>
      </c>
      <c r="D664" s="83">
        <v>0</v>
      </c>
      <c r="E664" s="84"/>
      <c r="F664" s="85"/>
      <c r="G664" s="86">
        <f>E664*F664</f>
        <v>0</v>
      </c>
      <c r="H664" s="87">
        <f>D664+G664</f>
        <v>0</v>
      </c>
      <c r="I664" s="418"/>
    </row>
    <row r="665" spans="1:9" x14ac:dyDescent="0.35">
      <c r="A665" s="1204"/>
      <c r="B665" s="68"/>
      <c r="C665" s="69" t="s">
        <v>104</v>
      </c>
      <c r="D665" s="70">
        <f>SUM(D666)</f>
        <v>0</v>
      </c>
      <c r="E665" s="88"/>
      <c r="F665" s="88"/>
      <c r="G665" s="89">
        <f>SUM(G666:G666)</f>
        <v>0</v>
      </c>
      <c r="H665" s="90">
        <f>SUM(H666:H666)</f>
        <v>0</v>
      </c>
      <c r="I665" s="418"/>
    </row>
    <row r="666" spans="1:9" x14ac:dyDescent="0.35">
      <c r="A666" s="1204"/>
      <c r="B666" s="73">
        <v>55201010100001</v>
      </c>
      <c r="C666" s="74" t="s">
        <v>105</v>
      </c>
      <c r="D666" s="83"/>
      <c r="E666" s="84"/>
      <c r="F666" s="85"/>
      <c r="G666" s="86">
        <f>E666*F666</f>
        <v>0</v>
      </c>
      <c r="H666" s="87">
        <f>D666+G666</f>
        <v>0</v>
      </c>
      <c r="I666" s="418"/>
    </row>
    <row r="667" spans="1:9" x14ac:dyDescent="0.35">
      <c r="A667" s="1204"/>
      <c r="B667" s="68"/>
      <c r="C667" s="69" t="s">
        <v>106</v>
      </c>
      <c r="D667" s="70">
        <f>SUM(D668:D686)</f>
        <v>1166552.3999999999</v>
      </c>
      <c r="E667" s="88"/>
      <c r="F667" s="88"/>
      <c r="G667" s="91">
        <f>SUM(G668:G686)</f>
        <v>5372910.7999999998</v>
      </c>
      <c r="H667" s="90">
        <f>SUM(H668:H686)</f>
        <v>6539463.2000000002</v>
      </c>
      <c r="I667" s="418"/>
    </row>
    <row r="668" spans="1:9" x14ac:dyDescent="0.35">
      <c r="A668" s="1204"/>
      <c r="B668" s="73">
        <v>53201010100000</v>
      </c>
      <c r="C668" s="74" t="s">
        <v>107</v>
      </c>
      <c r="D668" s="83"/>
      <c r="E668" s="84">
        <v>2538</v>
      </c>
      <c r="F668" s="85">
        <v>440</v>
      </c>
      <c r="G668" s="86">
        <f t="shared" ref="G668:G686" si="69">E668*F668</f>
        <v>1116720</v>
      </c>
      <c r="H668" s="87">
        <f t="shared" ref="H668:H686" si="70">D668+G668</f>
        <v>1116720</v>
      </c>
      <c r="I668" s="418"/>
    </row>
    <row r="669" spans="1:9" x14ac:dyDescent="0.35">
      <c r="A669" s="1204"/>
      <c r="B669" s="73">
        <v>53202010100000</v>
      </c>
      <c r="C669" s="74" t="s">
        <v>108</v>
      </c>
      <c r="D669" s="83">
        <v>300000</v>
      </c>
      <c r="E669" s="84"/>
      <c r="F669" s="85"/>
      <c r="G669" s="86">
        <f t="shared" si="69"/>
        <v>0</v>
      </c>
      <c r="H669" s="87">
        <f t="shared" si="70"/>
        <v>300000</v>
      </c>
      <c r="I669" s="418"/>
    </row>
    <row r="670" spans="1:9" x14ac:dyDescent="0.35">
      <c r="A670" s="1204"/>
      <c r="B670" s="73">
        <v>53203010100000</v>
      </c>
      <c r="C670" s="74" t="s">
        <v>109</v>
      </c>
      <c r="D670" s="92">
        <v>50396.85</v>
      </c>
      <c r="E670" s="93"/>
      <c r="F670" s="94"/>
      <c r="G670" s="86">
        <f t="shared" si="69"/>
        <v>0</v>
      </c>
      <c r="H670" s="87">
        <f t="shared" si="70"/>
        <v>50396.85</v>
      </c>
      <c r="I670" s="418"/>
    </row>
    <row r="671" spans="1:9" x14ac:dyDescent="0.35">
      <c r="A671" s="1204"/>
      <c r="B671" s="73">
        <v>53203030000000</v>
      </c>
      <c r="C671" s="74" t="s">
        <v>110</v>
      </c>
      <c r="D671" s="92">
        <v>0</v>
      </c>
      <c r="E671" s="93"/>
      <c r="F671" s="94"/>
      <c r="G671" s="86">
        <f t="shared" si="69"/>
        <v>0</v>
      </c>
      <c r="H671" s="87">
        <f t="shared" si="70"/>
        <v>0</v>
      </c>
      <c r="I671" s="418"/>
    </row>
    <row r="672" spans="1:9" x14ac:dyDescent="0.35">
      <c r="A672" s="1204"/>
      <c r="B672" s="73">
        <v>53204030000000</v>
      </c>
      <c r="C672" s="74" t="s">
        <v>111</v>
      </c>
      <c r="D672" s="92">
        <v>0</v>
      </c>
      <c r="E672" s="93"/>
      <c r="F672" s="94"/>
      <c r="G672" s="86">
        <f t="shared" si="69"/>
        <v>0</v>
      </c>
      <c r="H672" s="87">
        <f t="shared" si="70"/>
        <v>0</v>
      </c>
      <c r="I672" s="421"/>
    </row>
    <row r="673" spans="1:9" x14ac:dyDescent="0.35">
      <c r="A673" s="1204"/>
      <c r="B673" s="73">
        <v>53204100100001</v>
      </c>
      <c r="C673" s="74" t="s">
        <v>112</v>
      </c>
      <c r="D673" s="92">
        <v>422515.80000000005</v>
      </c>
      <c r="E673" s="93"/>
      <c r="F673" s="94"/>
      <c r="G673" s="86">
        <f t="shared" si="69"/>
        <v>0</v>
      </c>
      <c r="H673" s="87">
        <f t="shared" si="70"/>
        <v>422515.80000000005</v>
      </c>
      <c r="I673" s="418"/>
    </row>
    <row r="674" spans="1:9" x14ac:dyDescent="0.35">
      <c r="A674" s="1204"/>
      <c r="B674" s="73">
        <v>53204130100000</v>
      </c>
      <c r="C674" s="74" t="s">
        <v>113</v>
      </c>
      <c r="D674" s="92">
        <v>0</v>
      </c>
      <c r="E674" s="93"/>
      <c r="F674" s="94"/>
      <c r="G674" s="86">
        <f t="shared" si="69"/>
        <v>0</v>
      </c>
      <c r="H674" s="87">
        <f t="shared" si="70"/>
        <v>0</v>
      </c>
      <c r="I674" s="418"/>
    </row>
    <row r="675" spans="1:9" x14ac:dyDescent="0.35">
      <c r="A675" s="1204"/>
      <c r="B675" s="73">
        <v>53205010100000</v>
      </c>
      <c r="C675" s="95" t="s">
        <v>114</v>
      </c>
      <c r="D675" s="92">
        <v>0</v>
      </c>
      <c r="E675" s="93">
        <v>332</v>
      </c>
      <c r="F675" s="94">
        <v>4732</v>
      </c>
      <c r="G675" s="86">
        <f t="shared" si="69"/>
        <v>1571024</v>
      </c>
      <c r="H675" s="87">
        <f t="shared" si="70"/>
        <v>1571024</v>
      </c>
      <c r="I675" s="421"/>
    </row>
    <row r="676" spans="1:9" x14ac:dyDescent="0.35">
      <c r="A676" s="1204"/>
      <c r="B676" s="73">
        <v>53205020100000</v>
      </c>
      <c r="C676" s="95" t="s">
        <v>115</v>
      </c>
      <c r="D676" s="92">
        <v>0</v>
      </c>
      <c r="E676" s="93">
        <v>702</v>
      </c>
      <c r="F676" s="94">
        <v>913</v>
      </c>
      <c r="G676" s="86">
        <f t="shared" si="69"/>
        <v>640926</v>
      </c>
      <c r="H676" s="87">
        <f t="shared" si="70"/>
        <v>640926</v>
      </c>
      <c r="I676" s="418"/>
    </row>
    <row r="677" spans="1:9" x14ac:dyDescent="0.35">
      <c r="A677" s="1204"/>
      <c r="B677" s="73">
        <v>53205030100000</v>
      </c>
      <c r="C677" s="74" t="s">
        <v>116</v>
      </c>
      <c r="D677" s="92">
        <v>0</v>
      </c>
      <c r="E677" s="93">
        <v>903</v>
      </c>
      <c r="F677" s="94">
        <v>569</v>
      </c>
      <c r="G677" s="86">
        <f t="shared" si="69"/>
        <v>513807</v>
      </c>
      <c r="H677" s="87">
        <f t="shared" si="70"/>
        <v>513807</v>
      </c>
      <c r="I677" s="418"/>
    </row>
    <row r="678" spans="1:9" x14ac:dyDescent="0.35">
      <c r="A678" s="1204"/>
      <c r="B678" s="73">
        <v>53205050100000</v>
      </c>
      <c r="C678" s="74" t="s">
        <v>117</v>
      </c>
      <c r="D678" s="92">
        <v>0</v>
      </c>
      <c r="E678" s="93"/>
      <c r="F678" s="94"/>
      <c r="G678" s="86">
        <f t="shared" si="69"/>
        <v>0</v>
      </c>
      <c r="H678" s="87">
        <f t="shared" si="70"/>
        <v>0</v>
      </c>
      <c r="I678" s="418"/>
    </row>
    <row r="679" spans="1:9" x14ac:dyDescent="0.35">
      <c r="A679" s="1204"/>
      <c r="B679" s="73">
        <v>53205060100000</v>
      </c>
      <c r="C679" s="74" t="s">
        <v>118</v>
      </c>
      <c r="D679" s="92">
        <v>0</v>
      </c>
      <c r="E679" s="93"/>
      <c r="F679" s="94"/>
      <c r="G679" s="86">
        <f t="shared" si="69"/>
        <v>0</v>
      </c>
      <c r="H679" s="87">
        <f t="shared" si="70"/>
        <v>0</v>
      </c>
      <c r="I679" s="418"/>
    </row>
    <row r="680" spans="1:9" x14ac:dyDescent="0.35">
      <c r="A680" s="1204"/>
      <c r="B680" s="73">
        <v>53205070100000</v>
      </c>
      <c r="C680" s="95" t="s">
        <v>119</v>
      </c>
      <c r="D680" s="92">
        <v>0</v>
      </c>
      <c r="E680" s="93"/>
      <c r="F680" s="94"/>
      <c r="G680" s="86">
        <f t="shared" si="69"/>
        <v>0</v>
      </c>
      <c r="H680" s="87">
        <f t="shared" si="70"/>
        <v>0</v>
      </c>
      <c r="I680" s="418"/>
    </row>
    <row r="681" spans="1:9" x14ac:dyDescent="0.35">
      <c r="A681" s="1204"/>
      <c r="B681" s="73">
        <v>53208010100000</v>
      </c>
      <c r="C681" s="74" t="s">
        <v>120</v>
      </c>
      <c r="D681" s="92">
        <v>0</v>
      </c>
      <c r="E681" s="93">
        <v>127536.15000000001</v>
      </c>
      <c r="F681" s="94">
        <v>12</v>
      </c>
      <c r="G681" s="86">
        <f t="shared" si="69"/>
        <v>1530433.8</v>
      </c>
      <c r="H681" s="87">
        <f t="shared" si="70"/>
        <v>1530433.8</v>
      </c>
      <c r="I681" s="418"/>
    </row>
    <row r="682" spans="1:9" x14ac:dyDescent="0.35">
      <c r="A682" s="1204"/>
      <c r="B682" s="73">
        <v>53208070100001</v>
      </c>
      <c r="C682" s="74" t="s">
        <v>121</v>
      </c>
      <c r="D682" s="92">
        <v>0</v>
      </c>
      <c r="E682" s="93"/>
      <c r="F682" s="94"/>
      <c r="G682" s="86">
        <f t="shared" si="69"/>
        <v>0</v>
      </c>
      <c r="H682" s="87">
        <f t="shared" si="70"/>
        <v>0</v>
      </c>
      <c r="I682" s="418"/>
    </row>
    <row r="683" spans="1:9" x14ac:dyDescent="0.35">
      <c r="A683" s="1204"/>
      <c r="B683" s="73">
        <v>53208100100001</v>
      </c>
      <c r="C683" s="74" t="s">
        <v>122</v>
      </c>
      <c r="D683" s="92">
        <v>0</v>
      </c>
      <c r="E683" s="93"/>
      <c r="F683" s="94"/>
      <c r="G683" s="86">
        <f t="shared" si="69"/>
        <v>0</v>
      </c>
      <c r="H683" s="87">
        <f t="shared" si="70"/>
        <v>0</v>
      </c>
      <c r="I683" s="418"/>
    </row>
    <row r="684" spans="1:9" x14ac:dyDescent="0.35">
      <c r="A684" s="1204"/>
      <c r="B684" s="73">
        <v>53211030000000</v>
      </c>
      <c r="C684" s="74" t="s">
        <v>123</v>
      </c>
      <c r="D684" s="92">
        <v>0</v>
      </c>
      <c r="E684" s="93"/>
      <c r="F684" s="94"/>
      <c r="G684" s="86">
        <f t="shared" si="69"/>
        <v>0</v>
      </c>
      <c r="H684" s="87">
        <f t="shared" si="70"/>
        <v>0</v>
      </c>
      <c r="I684" s="418"/>
    </row>
    <row r="685" spans="1:9" x14ac:dyDescent="0.35">
      <c r="A685" s="1204"/>
      <c r="B685" s="73">
        <v>53212020100000</v>
      </c>
      <c r="C685" s="74" t="s">
        <v>124</v>
      </c>
      <c r="D685" s="92">
        <v>393639.75</v>
      </c>
      <c r="E685" s="93"/>
      <c r="F685" s="94"/>
      <c r="G685" s="86">
        <f t="shared" si="69"/>
        <v>0</v>
      </c>
      <c r="H685" s="87">
        <f t="shared" si="70"/>
        <v>393639.75</v>
      </c>
      <c r="I685" s="421"/>
    </row>
    <row r="686" spans="1:9" x14ac:dyDescent="0.35">
      <c r="A686" s="1204"/>
      <c r="B686" s="73">
        <v>53214020000000</v>
      </c>
      <c r="C686" s="74" t="s">
        <v>125</v>
      </c>
      <c r="D686" s="83">
        <v>0</v>
      </c>
      <c r="E686" s="84"/>
      <c r="F686" s="85"/>
      <c r="G686" s="86">
        <f t="shared" si="69"/>
        <v>0</v>
      </c>
      <c r="H686" s="87">
        <f t="shared" si="70"/>
        <v>0</v>
      </c>
      <c r="I686" s="418"/>
    </row>
    <row r="687" spans="1:9" x14ac:dyDescent="0.35">
      <c r="A687" s="1204"/>
      <c r="B687" s="63"/>
      <c r="C687" s="64" t="s">
        <v>126</v>
      </c>
      <c r="D687" s="96">
        <f>SUM(D688,D693,D696,D707,D717,D725)</f>
        <v>2338879.7250000001</v>
      </c>
      <c r="E687" s="66"/>
      <c r="F687" s="66"/>
      <c r="G687" s="97">
        <f>SUM(G688,G693,G696,G707,G717,G725)</f>
        <v>85000</v>
      </c>
      <c r="H687" s="98">
        <f>SUM(H688,H693,H696,H707,H717,H725)</f>
        <v>3090265.375</v>
      </c>
      <c r="I687" s="418"/>
    </row>
    <row r="688" spans="1:9" x14ac:dyDescent="0.35">
      <c r="A688" s="1204"/>
      <c r="B688" s="68"/>
      <c r="C688" s="69" t="s">
        <v>127</v>
      </c>
      <c r="D688" s="70">
        <f>SUM(D689:D692)</f>
        <v>0</v>
      </c>
      <c r="E688" s="88"/>
      <c r="F688" s="88"/>
      <c r="G688" s="89">
        <f>SUM(G689:G692)</f>
        <v>85000</v>
      </c>
      <c r="H688" s="99">
        <f>SUM(H689:H692)</f>
        <v>85000</v>
      </c>
      <c r="I688" s="418"/>
    </row>
    <row r="689" spans="1:9" x14ac:dyDescent="0.35">
      <c r="A689" s="1204"/>
      <c r="B689" s="73">
        <v>53202020100000</v>
      </c>
      <c r="C689" s="74" t="s">
        <v>128</v>
      </c>
      <c r="D689" s="92">
        <v>0</v>
      </c>
      <c r="E689" s="93">
        <v>50000</v>
      </c>
      <c r="F689" s="94">
        <v>1</v>
      </c>
      <c r="G689" s="86">
        <f>E689*F689</f>
        <v>50000</v>
      </c>
      <c r="H689" s="87">
        <f>D689+G689</f>
        <v>50000</v>
      </c>
      <c r="I689" s="418"/>
    </row>
    <row r="690" spans="1:9" x14ac:dyDescent="0.35">
      <c r="A690" s="1204"/>
      <c r="B690" s="73">
        <v>53202030000000</v>
      </c>
      <c r="C690" s="74" t="s">
        <v>129</v>
      </c>
      <c r="D690" s="83">
        <v>0</v>
      </c>
      <c r="E690" s="84">
        <v>35000</v>
      </c>
      <c r="F690" s="85">
        <v>1</v>
      </c>
      <c r="G690" s="86">
        <f>E690*F690</f>
        <v>35000</v>
      </c>
      <c r="H690" s="87">
        <f>D690+G690</f>
        <v>35000</v>
      </c>
      <c r="I690" s="418"/>
    </row>
    <row r="691" spans="1:9" x14ac:dyDescent="0.35">
      <c r="A691" s="1204"/>
      <c r="B691" s="73">
        <v>53211020000000</v>
      </c>
      <c r="C691" s="74" t="s">
        <v>130</v>
      </c>
      <c r="D691" s="92">
        <v>0</v>
      </c>
      <c r="E691" s="93"/>
      <c r="F691" s="94"/>
      <c r="G691" s="86">
        <f>E691*F691</f>
        <v>0</v>
      </c>
      <c r="H691" s="87">
        <f>D691+G691</f>
        <v>0</v>
      </c>
      <c r="I691" s="418"/>
    </row>
    <row r="692" spans="1:9" x14ac:dyDescent="0.35">
      <c r="A692" s="1204"/>
      <c r="B692" s="73">
        <v>53101004030000</v>
      </c>
      <c r="C692" s="74" t="s">
        <v>131</v>
      </c>
      <c r="D692" s="83">
        <v>0</v>
      </c>
      <c r="E692" s="84"/>
      <c r="F692" s="85"/>
      <c r="G692" s="86">
        <f>E692*F692</f>
        <v>0</v>
      </c>
      <c r="H692" s="87">
        <f>D692+G692</f>
        <v>0</v>
      </c>
      <c r="I692" s="418"/>
    </row>
    <row r="693" spans="1:9" x14ac:dyDescent="0.35">
      <c r="A693" s="1204"/>
      <c r="B693" s="68"/>
      <c r="C693" s="69" t="s">
        <v>132</v>
      </c>
      <c r="D693" s="70"/>
      <c r="E693" s="88"/>
      <c r="F693" s="88"/>
      <c r="G693" s="89">
        <f>SUM(G694:G695)</f>
        <v>0</v>
      </c>
      <c r="H693" s="99">
        <f>SUM(H694:H695)</f>
        <v>0</v>
      </c>
      <c r="I693" s="418"/>
    </row>
    <row r="694" spans="1:9" x14ac:dyDescent="0.35">
      <c r="A694" s="1204"/>
      <c r="B694" s="73">
        <v>53205080000000</v>
      </c>
      <c r="C694" s="100" t="s">
        <v>133</v>
      </c>
      <c r="D694" s="83">
        <v>0</v>
      </c>
      <c r="E694" s="84"/>
      <c r="F694" s="85"/>
      <c r="G694" s="86">
        <f>E694*F694</f>
        <v>0</v>
      </c>
      <c r="H694" s="87">
        <f>D694+G694</f>
        <v>0</v>
      </c>
      <c r="I694" s="418"/>
    </row>
    <row r="695" spans="1:9" x14ac:dyDescent="0.35">
      <c r="A695" s="1204"/>
      <c r="B695" s="73">
        <v>53205990000000</v>
      </c>
      <c r="C695" s="95" t="s">
        <v>134</v>
      </c>
      <c r="D695" s="92">
        <v>0</v>
      </c>
      <c r="E695" s="93"/>
      <c r="F695" s="94"/>
      <c r="G695" s="86">
        <f>E695*F695</f>
        <v>0</v>
      </c>
      <c r="H695" s="87">
        <f>D695+G695</f>
        <v>0</v>
      </c>
      <c r="I695" s="418"/>
    </row>
    <row r="696" spans="1:9" x14ac:dyDescent="0.35">
      <c r="A696" s="1204"/>
      <c r="B696" s="68"/>
      <c r="C696" s="69" t="s">
        <v>135</v>
      </c>
      <c r="D696" s="70"/>
      <c r="E696" s="88"/>
      <c r="F696" s="88"/>
      <c r="G696" s="91">
        <f>SUM(G697:G706)</f>
        <v>0</v>
      </c>
      <c r="H696" s="90">
        <f>SUM(H697:H706)</f>
        <v>666385.65</v>
      </c>
      <c r="I696" s="418"/>
    </row>
    <row r="697" spans="1:9" x14ac:dyDescent="0.35">
      <c r="A697" s="1204"/>
      <c r="B697" s="73">
        <v>53203010200000</v>
      </c>
      <c r="C697" s="74" t="s">
        <v>136</v>
      </c>
      <c r="D697" s="83">
        <v>0</v>
      </c>
      <c r="E697" s="83"/>
      <c r="F697" s="85"/>
      <c r="G697" s="86">
        <f t="shared" ref="G697:G706" si="71">E697*F697</f>
        <v>0</v>
      </c>
      <c r="H697" s="87">
        <f t="shared" ref="H697:H706" si="72">D697+G697</f>
        <v>0</v>
      </c>
      <c r="I697" s="418"/>
    </row>
    <row r="698" spans="1:9" x14ac:dyDescent="0.35">
      <c r="A698" s="1204"/>
      <c r="B698" s="73">
        <v>53204010000000</v>
      </c>
      <c r="C698" s="74" t="s">
        <v>137</v>
      </c>
      <c r="D698" s="92">
        <v>24179.4</v>
      </c>
      <c r="E698" s="92"/>
      <c r="F698" s="94"/>
      <c r="G698" s="86">
        <f t="shared" si="71"/>
        <v>0</v>
      </c>
      <c r="H698" s="87">
        <f t="shared" si="72"/>
        <v>24179.4</v>
      </c>
      <c r="I698" s="418"/>
    </row>
    <row r="699" spans="1:9" x14ac:dyDescent="0.35">
      <c r="A699" s="1204"/>
      <c r="B699" s="73">
        <v>53204040200000</v>
      </c>
      <c r="C699" s="100" t="s">
        <v>138</v>
      </c>
      <c r="D699" s="92">
        <v>0</v>
      </c>
      <c r="E699" s="92"/>
      <c r="F699" s="94"/>
      <c r="G699" s="86">
        <f t="shared" si="71"/>
        <v>0</v>
      </c>
      <c r="H699" s="87">
        <f t="shared" si="72"/>
        <v>0</v>
      </c>
      <c r="I699" s="418"/>
    </row>
    <row r="700" spans="1:9" x14ac:dyDescent="0.35">
      <c r="A700" s="1204"/>
      <c r="B700" s="73">
        <v>53204060000000</v>
      </c>
      <c r="C700" s="100" t="s">
        <v>139</v>
      </c>
      <c r="D700" s="92">
        <v>0</v>
      </c>
      <c r="E700" s="92"/>
      <c r="F700" s="94"/>
      <c r="G700" s="86">
        <f t="shared" si="71"/>
        <v>0</v>
      </c>
      <c r="H700" s="87">
        <f t="shared" si="72"/>
        <v>0</v>
      </c>
      <c r="I700" s="418"/>
    </row>
    <row r="701" spans="1:9" x14ac:dyDescent="0.35">
      <c r="A701" s="1204"/>
      <c r="B701" s="73">
        <v>53204070000000</v>
      </c>
      <c r="C701" s="95" t="s">
        <v>140</v>
      </c>
      <c r="D701" s="92">
        <v>642206.25</v>
      </c>
      <c r="E701" s="92"/>
      <c r="F701" s="94"/>
      <c r="G701" s="86">
        <f t="shared" si="71"/>
        <v>0</v>
      </c>
      <c r="H701" s="87">
        <f t="shared" si="72"/>
        <v>642206.25</v>
      </c>
      <c r="I701" s="418"/>
    </row>
    <row r="702" spans="1:9" x14ac:dyDescent="0.35">
      <c r="A702" s="1204"/>
      <c r="B702" s="73">
        <v>53204080000000</v>
      </c>
      <c r="C702" s="100" t="s">
        <v>141</v>
      </c>
      <c r="D702" s="92">
        <v>0</v>
      </c>
      <c r="E702" s="92"/>
      <c r="F702" s="94"/>
      <c r="G702" s="86">
        <f t="shared" si="71"/>
        <v>0</v>
      </c>
      <c r="H702" s="87">
        <f t="shared" si="72"/>
        <v>0</v>
      </c>
      <c r="I702" s="418"/>
    </row>
    <row r="703" spans="1:9" x14ac:dyDescent="0.35">
      <c r="A703" s="1204"/>
      <c r="B703" s="73">
        <v>53214010000000</v>
      </c>
      <c r="C703" s="100" t="s">
        <v>142</v>
      </c>
      <c r="D703" s="83">
        <v>0</v>
      </c>
      <c r="E703" s="83"/>
      <c r="F703" s="85"/>
      <c r="G703" s="86">
        <f t="shared" si="71"/>
        <v>0</v>
      </c>
      <c r="H703" s="87">
        <f t="shared" si="72"/>
        <v>0</v>
      </c>
      <c r="I703" s="418"/>
    </row>
    <row r="704" spans="1:9" x14ac:dyDescent="0.35">
      <c r="A704" s="1204"/>
      <c r="B704" s="73">
        <v>53214040000000</v>
      </c>
      <c r="C704" s="74" t="s">
        <v>143</v>
      </c>
      <c r="D704" s="83">
        <v>0</v>
      </c>
      <c r="E704" s="83"/>
      <c r="F704" s="85"/>
      <c r="G704" s="86">
        <f t="shared" si="71"/>
        <v>0</v>
      </c>
      <c r="H704" s="87">
        <f t="shared" si="72"/>
        <v>0</v>
      </c>
      <c r="I704" s="418"/>
    </row>
    <row r="705" spans="1:9" x14ac:dyDescent="0.35">
      <c r="A705" s="1204"/>
      <c r="B705" s="73">
        <v>55201010100004</v>
      </c>
      <c r="C705" s="74" t="s">
        <v>144</v>
      </c>
      <c r="D705" s="83">
        <v>0</v>
      </c>
      <c r="E705" s="83"/>
      <c r="F705" s="85"/>
      <c r="G705" s="86">
        <f t="shared" si="71"/>
        <v>0</v>
      </c>
      <c r="H705" s="87">
        <f t="shared" si="72"/>
        <v>0</v>
      </c>
      <c r="I705" s="418"/>
    </row>
    <row r="706" spans="1:9" x14ac:dyDescent="0.35">
      <c r="A706" s="1204"/>
      <c r="B706" s="73">
        <v>55201010100005</v>
      </c>
      <c r="C706" s="74" t="s">
        <v>145</v>
      </c>
      <c r="D706" s="83">
        <v>0</v>
      </c>
      <c r="E706" s="83"/>
      <c r="F706" s="85"/>
      <c r="G706" s="86">
        <f t="shared" si="71"/>
        <v>0</v>
      </c>
      <c r="H706" s="87">
        <f t="shared" si="72"/>
        <v>0</v>
      </c>
      <c r="I706" s="418"/>
    </row>
    <row r="707" spans="1:9" x14ac:dyDescent="0.35">
      <c r="A707" s="1204"/>
      <c r="B707" s="68"/>
      <c r="C707" s="69" t="s">
        <v>146</v>
      </c>
      <c r="D707" s="70">
        <f>SUM(D708:D716)</f>
        <v>1048483.8</v>
      </c>
      <c r="E707" s="88"/>
      <c r="F707" s="88"/>
      <c r="G707" s="91">
        <f>SUM(G708:G716)</f>
        <v>0</v>
      </c>
      <c r="H707" s="90">
        <f>SUM(H708:H716)</f>
        <v>1048483.8</v>
      </c>
      <c r="I707" s="418"/>
    </row>
    <row r="708" spans="1:9" x14ac:dyDescent="0.35">
      <c r="A708" s="1204"/>
      <c r="B708" s="73">
        <v>53207010000000</v>
      </c>
      <c r="C708" s="74" t="s">
        <v>147</v>
      </c>
      <c r="D708" s="92">
        <v>0</v>
      </c>
      <c r="E708" s="92"/>
      <c r="F708" s="94"/>
      <c r="G708" s="86">
        <f t="shared" ref="G708:G716" si="73">E708*F708</f>
        <v>0</v>
      </c>
      <c r="H708" s="87">
        <f t="shared" ref="H708:H716" si="74">D708+G708</f>
        <v>0</v>
      </c>
      <c r="I708" s="418"/>
    </row>
    <row r="709" spans="1:9" x14ac:dyDescent="0.35">
      <c r="A709" s="1204"/>
      <c r="B709" s="73">
        <v>53207020000000</v>
      </c>
      <c r="C709" s="74" t="s">
        <v>148</v>
      </c>
      <c r="D709" s="92">
        <v>0</v>
      </c>
      <c r="E709" s="92"/>
      <c r="F709" s="94"/>
      <c r="G709" s="86">
        <f t="shared" si="73"/>
        <v>0</v>
      </c>
      <c r="H709" s="87">
        <f t="shared" si="74"/>
        <v>0</v>
      </c>
      <c r="I709" s="418"/>
    </row>
    <row r="710" spans="1:9" x14ac:dyDescent="0.35">
      <c r="A710" s="1204"/>
      <c r="B710" s="73">
        <v>53208020000000</v>
      </c>
      <c r="C710" s="74" t="s">
        <v>149</v>
      </c>
      <c r="D710" s="92">
        <v>0</v>
      </c>
      <c r="E710" s="92"/>
      <c r="F710" s="94"/>
      <c r="G710" s="86">
        <f t="shared" si="73"/>
        <v>0</v>
      </c>
      <c r="H710" s="87">
        <f t="shared" si="74"/>
        <v>0</v>
      </c>
      <c r="I710" s="418"/>
    </row>
    <row r="711" spans="1:9" x14ac:dyDescent="0.35">
      <c r="A711" s="1204"/>
      <c r="B711" s="73">
        <v>53208990000000</v>
      </c>
      <c r="C711" s="74" t="s">
        <v>150</v>
      </c>
      <c r="D711" s="92">
        <v>1048483.8</v>
      </c>
      <c r="E711" s="92"/>
      <c r="F711" s="94"/>
      <c r="G711" s="86">
        <f t="shared" si="73"/>
        <v>0</v>
      </c>
      <c r="H711" s="87">
        <f t="shared" si="74"/>
        <v>1048483.8</v>
      </c>
      <c r="I711" s="418"/>
    </row>
    <row r="712" spans="1:9" x14ac:dyDescent="0.35">
      <c r="A712" s="1204"/>
      <c r="B712" s="73">
        <v>53209010000000</v>
      </c>
      <c r="C712" s="74" t="s">
        <v>151</v>
      </c>
      <c r="D712" s="92">
        <v>0</v>
      </c>
      <c r="E712" s="92"/>
      <c r="F712" s="94"/>
      <c r="G712" s="86">
        <f t="shared" si="73"/>
        <v>0</v>
      </c>
      <c r="H712" s="87">
        <f t="shared" si="74"/>
        <v>0</v>
      </c>
      <c r="I712" s="418"/>
    </row>
    <row r="713" spans="1:9" x14ac:dyDescent="0.35">
      <c r="A713" s="1204"/>
      <c r="B713" s="73">
        <v>53209040000000</v>
      </c>
      <c r="C713" s="74" t="s">
        <v>152</v>
      </c>
      <c r="D713" s="92">
        <v>0</v>
      </c>
      <c r="E713" s="92"/>
      <c r="F713" s="94"/>
      <c r="G713" s="86">
        <f t="shared" si="73"/>
        <v>0</v>
      </c>
      <c r="H713" s="87">
        <f t="shared" si="74"/>
        <v>0</v>
      </c>
      <c r="I713" s="418"/>
    </row>
    <row r="714" spans="1:9" x14ac:dyDescent="0.35">
      <c r="A714" s="1204"/>
      <c r="B714" s="73">
        <v>53209050000000</v>
      </c>
      <c r="C714" s="74" t="s">
        <v>153</v>
      </c>
      <c r="D714" s="92">
        <v>0</v>
      </c>
      <c r="E714" s="92"/>
      <c r="F714" s="94"/>
      <c r="G714" s="86">
        <f t="shared" si="73"/>
        <v>0</v>
      </c>
      <c r="H714" s="87">
        <f t="shared" si="74"/>
        <v>0</v>
      </c>
      <c r="I714" s="418"/>
    </row>
    <row r="715" spans="1:9" x14ac:dyDescent="0.35">
      <c r="A715" s="1204"/>
      <c r="B715" s="73">
        <v>53209990000000</v>
      </c>
      <c r="C715" s="74" t="s">
        <v>154</v>
      </c>
      <c r="D715" s="92">
        <v>0</v>
      </c>
      <c r="E715" s="92"/>
      <c r="F715" s="94"/>
      <c r="G715" s="86">
        <f t="shared" si="73"/>
        <v>0</v>
      </c>
      <c r="H715" s="87">
        <f t="shared" si="74"/>
        <v>0</v>
      </c>
      <c r="I715" s="418"/>
    </row>
    <row r="716" spans="1:9" x14ac:dyDescent="0.35">
      <c r="A716" s="1204"/>
      <c r="B716" s="73">
        <v>53210020100000</v>
      </c>
      <c r="C716" s="74" t="s">
        <v>155</v>
      </c>
      <c r="D716" s="92">
        <v>0</v>
      </c>
      <c r="E716" s="92"/>
      <c r="F716" s="94"/>
      <c r="G716" s="86">
        <f t="shared" si="73"/>
        <v>0</v>
      </c>
      <c r="H716" s="87">
        <f t="shared" si="74"/>
        <v>0</v>
      </c>
      <c r="I716" s="418"/>
    </row>
    <row r="717" spans="1:9" x14ac:dyDescent="0.35">
      <c r="A717" s="1204"/>
      <c r="B717" s="68"/>
      <c r="C717" s="69" t="s">
        <v>156</v>
      </c>
      <c r="D717" s="70">
        <f>SUM(D718:D724)</f>
        <v>1063910.925</v>
      </c>
      <c r="E717" s="88"/>
      <c r="F717" s="88"/>
      <c r="G717" s="91">
        <f>SUM(G718:G724)</f>
        <v>0</v>
      </c>
      <c r="H717" s="90">
        <f>SUM(H718:H724)</f>
        <v>1063910.925</v>
      </c>
      <c r="I717" s="418"/>
    </row>
    <row r="718" spans="1:9" x14ac:dyDescent="0.35">
      <c r="A718" s="1204"/>
      <c r="B718" s="73">
        <v>53206030000000</v>
      </c>
      <c r="C718" s="74" t="s">
        <v>157</v>
      </c>
      <c r="D718" s="92"/>
      <c r="E718" s="92"/>
      <c r="F718" s="94"/>
      <c r="G718" s="86">
        <f t="shared" ref="G718:G724" si="75">E718*F718</f>
        <v>0</v>
      </c>
      <c r="H718" s="87">
        <f t="shared" ref="H718:H724" si="76">D718+G718</f>
        <v>0</v>
      </c>
      <c r="I718" s="418"/>
    </row>
    <row r="719" spans="1:9" x14ac:dyDescent="0.35">
      <c r="A719" s="1204"/>
      <c r="B719" s="73">
        <v>53206040000000</v>
      </c>
      <c r="C719" s="74" t="s">
        <v>158</v>
      </c>
      <c r="D719" s="92"/>
      <c r="E719" s="92"/>
      <c r="F719" s="94"/>
      <c r="G719" s="86">
        <f t="shared" si="75"/>
        <v>0</v>
      </c>
      <c r="H719" s="87">
        <f t="shared" si="76"/>
        <v>0</v>
      </c>
      <c r="I719" s="418"/>
    </row>
    <row r="720" spans="1:9" x14ac:dyDescent="0.35">
      <c r="A720" s="1204"/>
      <c r="B720" s="73">
        <v>53206060000000</v>
      </c>
      <c r="C720" s="74" t="s">
        <v>159</v>
      </c>
      <c r="D720" s="92"/>
      <c r="E720" s="92"/>
      <c r="F720" s="94"/>
      <c r="G720" s="86">
        <f t="shared" si="75"/>
        <v>0</v>
      </c>
      <c r="H720" s="87">
        <f t="shared" si="76"/>
        <v>0</v>
      </c>
      <c r="I720" s="418"/>
    </row>
    <row r="721" spans="1:9" x14ac:dyDescent="0.35">
      <c r="A721" s="1204"/>
      <c r="B721" s="73">
        <v>53206070000000</v>
      </c>
      <c r="C721" s="74" t="s">
        <v>160</v>
      </c>
      <c r="D721" s="92"/>
      <c r="E721" s="92"/>
      <c r="F721" s="94"/>
      <c r="G721" s="86">
        <f t="shared" si="75"/>
        <v>0</v>
      </c>
      <c r="H721" s="87">
        <f t="shared" si="76"/>
        <v>0</v>
      </c>
      <c r="I721" s="418"/>
    </row>
    <row r="722" spans="1:9" x14ac:dyDescent="0.35">
      <c r="A722" s="1204"/>
      <c r="B722" s="73">
        <v>53206990000000</v>
      </c>
      <c r="C722" s="74" t="s">
        <v>161</v>
      </c>
      <c r="D722" s="92">
        <v>898874.55</v>
      </c>
      <c r="E722" s="92"/>
      <c r="F722" s="94"/>
      <c r="G722" s="86">
        <f t="shared" si="75"/>
        <v>0</v>
      </c>
      <c r="H722" s="87">
        <f t="shared" si="76"/>
        <v>898874.55</v>
      </c>
      <c r="I722" s="418"/>
    </row>
    <row r="723" spans="1:9" x14ac:dyDescent="0.35">
      <c r="A723" s="1204"/>
      <c r="B723" s="73">
        <v>53208030000000</v>
      </c>
      <c r="C723" s="74" t="s">
        <v>162</v>
      </c>
      <c r="D723" s="92"/>
      <c r="E723" s="92"/>
      <c r="F723" s="94"/>
      <c r="G723" s="86">
        <f t="shared" si="75"/>
        <v>0</v>
      </c>
      <c r="H723" s="87">
        <f t="shared" si="76"/>
        <v>0</v>
      </c>
      <c r="I723" s="418"/>
    </row>
    <row r="724" spans="1:9" x14ac:dyDescent="0.35">
      <c r="A724" s="1204"/>
      <c r="B724" s="73">
        <v>53212060000000</v>
      </c>
      <c r="C724" s="74" t="s">
        <v>163</v>
      </c>
      <c r="D724" s="83">
        <v>165036.375</v>
      </c>
      <c r="E724" s="83"/>
      <c r="F724" s="85"/>
      <c r="G724" s="86">
        <f t="shared" si="75"/>
        <v>0</v>
      </c>
      <c r="H724" s="87">
        <f t="shared" si="76"/>
        <v>165036.375</v>
      </c>
      <c r="I724" s="418" t="s">
        <v>605</v>
      </c>
    </row>
    <row r="725" spans="1:9" x14ac:dyDescent="0.35">
      <c r="A725" s="1204"/>
      <c r="B725" s="68"/>
      <c r="C725" s="69" t="s">
        <v>164</v>
      </c>
      <c r="D725" s="70">
        <f>SUM(D726:D727)</f>
        <v>226485</v>
      </c>
      <c r="E725" s="88"/>
      <c r="F725" s="88"/>
      <c r="G725" s="91">
        <f>SUM(G726:G727)</f>
        <v>0</v>
      </c>
      <c r="H725" s="90">
        <f>SUM(H726:H727)</f>
        <v>226485</v>
      </c>
      <c r="I725" s="418"/>
    </row>
    <row r="726" spans="1:9" x14ac:dyDescent="0.35">
      <c r="A726" s="1204"/>
      <c r="B726" s="73">
        <v>53210020500000</v>
      </c>
      <c r="C726" s="74" t="s">
        <v>165</v>
      </c>
      <c r="D726" s="83"/>
      <c r="E726" s="83"/>
      <c r="F726" s="85"/>
      <c r="G726" s="86">
        <f>E726*F726</f>
        <v>0</v>
      </c>
      <c r="H726" s="102">
        <f>D726+G726</f>
        <v>0</v>
      </c>
      <c r="I726" s="418"/>
    </row>
    <row r="727" spans="1:9" ht="18" x14ac:dyDescent="0.35">
      <c r="A727" s="1204"/>
      <c r="B727" s="103">
        <v>53204999000000</v>
      </c>
      <c r="C727" s="104" t="s">
        <v>166</v>
      </c>
      <c r="D727" s="92">
        <v>226485</v>
      </c>
      <c r="E727" s="92"/>
      <c r="F727" s="94"/>
      <c r="G727" s="105">
        <f>E727*F727</f>
        <v>0</v>
      </c>
      <c r="H727" s="102">
        <f>D727+G727</f>
        <v>226485</v>
      </c>
      <c r="I727" s="495"/>
    </row>
    <row r="728" spans="1:9" x14ac:dyDescent="0.35">
      <c r="A728" s="1204"/>
      <c r="B728" s="106"/>
      <c r="C728" s="107" t="s">
        <v>12</v>
      </c>
      <c r="D728" s="108">
        <f>SUM(D659,D687)</f>
        <v>33172730.414999999</v>
      </c>
      <c r="E728" s="109"/>
      <c r="F728" s="109"/>
      <c r="G728" s="108">
        <f>SUM(G659,G687)</f>
        <v>5457910.7999999998</v>
      </c>
      <c r="H728" s="110">
        <f>SUM(H659,H687)</f>
        <v>39297026.865000002</v>
      </c>
      <c r="I728" s="418"/>
    </row>
    <row r="729" spans="1:9" x14ac:dyDescent="0.35">
      <c r="A729" s="1310" t="s">
        <v>25</v>
      </c>
      <c r="B729" s="1312" t="s">
        <v>90</v>
      </c>
      <c r="C729" s="1314" t="s">
        <v>91</v>
      </c>
      <c r="D729" s="1316" t="s">
        <v>92</v>
      </c>
      <c r="E729" s="1318" t="s">
        <v>93</v>
      </c>
      <c r="F729" s="1319"/>
      <c r="G729" s="1320"/>
      <c r="H729" s="1321" t="str">
        <f>+H657</f>
        <v>COSTO DIRECTO ESTIMADO 2026</v>
      </c>
      <c r="I729" s="1309" t="s">
        <v>94</v>
      </c>
    </row>
    <row r="730" spans="1:9" ht="26" x14ac:dyDescent="0.35">
      <c r="A730" s="1311"/>
      <c r="B730" s="1313"/>
      <c r="C730" s="1315"/>
      <c r="D730" s="1317"/>
      <c r="E730" s="60" t="s">
        <v>95</v>
      </c>
      <c r="F730" s="61" t="s">
        <v>96</v>
      </c>
      <c r="G730" s="62" t="s">
        <v>97</v>
      </c>
      <c r="H730" s="1322"/>
      <c r="I730" s="1309"/>
    </row>
    <row r="731" spans="1:9" x14ac:dyDescent="0.35">
      <c r="A731" s="1204" t="str">
        <f>+'A) Resumen Ingresos y Egresos'!A169</f>
        <v>Cancha de Golf Tumbes</v>
      </c>
      <c r="B731" s="63"/>
      <c r="C731" s="64" t="s">
        <v>98</v>
      </c>
      <c r="D731" s="65">
        <f>SUM(D732,D737,D739)</f>
        <v>38341834.379999995</v>
      </c>
      <c r="E731" s="66"/>
      <c r="F731" s="66"/>
      <c r="G731" s="65">
        <f>SUM(G732,G737,G739)</f>
        <v>5880785.519232207</v>
      </c>
      <c r="H731" s="67">
        <f>SUM(H732,H737,H739)</f>
        <v>44222619.899232201</v>
      </c>
      <c r="I731" s="418"/>
    </row>
    <row r="732" spans="1:9" x14ac:dyDescent="0.35">
      <c r="A732" s="1204"/>
      <c r="B732" s="68"/>
      <c r="C732" s="69" t="s">
        <v>99</v>
      </c>
      <c r="D732" s="70">
        <f>SUM(D733:D736)</f>
        <v>37019708.504999995</v>
      </c>
      <c r="E732" s="71"/>
      <c r="F732" s="71"/>
      <c r="G732" s="70">
        <f>SUM(G733:G736)</f>
        <v>0</v>
      </c>
      <c r="H732" s="72">
        <f>SUM(H733:H736)</f>
        <v>37019708.504999995</v>
      </c>
      <c r="I732" s="418"/>
    </row>
    <row r="733" spans="1:9" x14ac:dyDescent="0.35">
      <c r="A733" s="1204"/>
      <c r="B733" s="73">
        <v>53103040100000</v>
      </c>
      <c r="C733" s="74" t="s">
        <v>100</v>
      </c>
      <c r="D733" s="75">
        <f>+'F) Remuneraciones'!M252</f>
        <v>37019708.504999995</v>
      </c>
      <c r="E733" s="76"/>
      <c r="F733" s="76"/>
      <c r="G733" s="76"/>
      <c r="H733" s="77">
        <f>D733+G733</f>
        <v>37019708.504999995</v>
      </c>
      <c r="I733" s="418"/>
    </row>
    <row r="734" spans="1:9" x14ac:dyDescent="0.35">
      <c r="A734" s="1204"/>
      <c r="B734" s="73">
        <v>53103050000000</v>
      </c>
      <c r="C734" s="74" t="s">
        <v>101</v>
      </c>
      <c r="D734" s="78">
        <v>0</v>
      </c>
      <c r="E734" s="79"/>
      <c r="F734" s="80"/>
      <c r="G734" s="81">
        <f>E734*F734</f>
        <v>0</v>
      </c>
      <c r="H734" s="82">
        <f>D734+G734</f>
        <v>0</v>
      </c>
      <c r="I734" s="418"/>
    </row>
    <row r="735" spans="1:9" x14ac:dyDescent="0.35">
      <c r="A735" s="1204"/>
      <c r="B735" s="73">
        <v>53103060000000</v>
      </c>
      <c r="C735" s="74" t="s">
        <v>102</v>
      </c>
      <c r="D735" s="83">
        <v>0</v>
      </c>
      <c r="E735" s="84"/>
      <c r="F735" s="85"/>
      <c r="G735" s="86">
        <f>E735*F735</f>
        <v>0</v>
      </c>
      <c r="H735" s="87">
        <f>D735+G735</f>
        <v>0</v>
      </c>
      <c r="I735" s="418"/>
    </row>
    <row r="736" spans="1:9" x14ac:dyDescent="0.35">
      <c r="A736" s="1204"/>
      <c r="B736" s="73">
        <v>53103080010000</v>
      </c>
      <c r="C736" s="74" t="s">
        <v>103</v>
      </c>
      <c r="D736" s="83">
        <v>0</v>
      </c>
      <c r="E736" s="84"/>
      <c r="F736" s="85"/>
      <c r="G736" s="86">
        <f>E736*F736</f>
        <v>0</v>
      </c>
      <c r="H736" s="87">
        <f>D736+G736</f>
        <v>0</v>
      </c>
      <c r="I736" s="418"/>
    </row>
    <row r="737" spans="1:9" x14ac:dyDescent="0.35">
      <c r="A737" s="1204"/>
      <c r="B737" s="68"/>
      <c r="C737" s="69" t="s">
        <v>104</v>
      </c>
      <c r="D737" s="70">
        <f>SUM(D738)</f>
        <v>0</v>
      </c>
      <c r="E737" s="88"/>
      <c r="F737" s="88"/>
      <c r="G737" s="89">
        <f>SUM(G738:G738)</f>
        <v>0</v>
      </c>
      <c r="H737" s="90">
        <f>SUM(H738:H738)</f>
        <v>0</v>
      </c>
      <c r="I737" s="418"/>
    </row>
    <row r="738" spans="1:9" x14ac:dyDescent="0.35">
      <c r="A738" s="1204"/>
      <c r="B738" s="73">
        <v>55201010100001</v>
      </c>
      <c r="C738" s="74" t="s">
        <v>105</v>
      </c>
      <c r="D738" s="83">
        <v>0</v>
      </c>
      <c r="E738" s="84"/>
      <c r="F738" s="85"/>
      <c r="G738" s="86">
        <f>E738*F738</f>
        <v>0</v>
      </c>
      <c r="H738" s="87">
        <f>D738+G738</f>
        <v>0</v>
      </c>
      <c r="I738" s="418"/>
    </row>
    <row r="739" spans="1:9" x14ac:dyDescent="0.35">
      <c r="A739" s="1204"/>
      <c r="B739" s="68"/>
      <c r="C739" s="69" t="s">
        <v>106</v>
      </c>
      <c r="D739" s="70">
        <f>SUM(D740:D758)</f>
        <v>1322125.875</v>
      </c>
      <c r="E739" s="88"/>
      <c r="F739" s="88"/>
      <c r="G739" s="91">
        <f>SUM(G740:G758)</f>
        <v>5880785.519232207</v>
      </c>
      <c r="H739" s="90">
        <f>SUM(H740:H758)</f>
        <v>7202911.394232207</v>
      </c>
      <c r="I739" s="418"/>
    </row>
    <row r="740" spans="1:9" x14ac:dyDescent="0.35">
      <c r="A740" s="1204"/>
      <c r="B740" s="73">
        <v>53201010100000</v>
      </c>
      <c r="C740" s="74" t="s">
        <v>107</v>
      </c>
      <c r="D740" s="83">
        <v>0</v>
      </c>
      <c r="E740" s="84">
        <v>2538</v>
      </c>
      <c r="F740" s="85">
        <v>960</v>
      </c>
      <c r="G740" s="86">
        <f t="shared" ref="G740:G758" si="77">E740*F740</f>
        <v>2436480</v>
      </c>
      <c r="H740" s="87">
        <f t="shared" ref="H740:H758" si="78">D740+G740</f>
        <v>2436480</v>
      </c>
      <c r="I740" s="418"/>
    </row>
    <row r="741" spans="1:9" x14ac:dyDescent="0.35">
      <c r="A741" s="1204"/>
      <c r="B741" s="73">
        <v>53202010100000</v>
      </c>
      <c r="C741" s="74" t="s">
        <v>108</v>
      </c>
      <c r="D741" s="83">
        <v>0</v>
      </c>
      <c r="E741" s="84"/>
      <c r="F741" s="85"/>
      <c r="G741" s="86">
        <f t="shared" si="77"/>
        <v>0</v>
      </c>
      <c r="H741" s="87">
        <f t="shared" si="78"/>
        <v>0</v>
      </c>
      <c r="I741" s="418"/>
    </row>
    <row r="742" spans="1:9" x14ac:dyDescent="0.35">
      <c r="A742" s="1204"/>
      <c r="B742" s="73">
        <v>53203010100000</v>
      </c>
      <c r="C742" s="74" t="s">
        <v>109</v>
      </c>
      <c r="D742" s="92">
        <v>1322125.875</v>
      </c>
      <c r="E742" s="93"/>
      <c r="F742" s="94"/>
      <c r="G742" s="86">
        <f t="shared" si="77"/>
        <v>0</v>
      </c>
      <c r="H742" s="87">
        <f t="shared" si="78"/>
        <v>1322125.875</v>
      </c>
      <c r="I742" s="418"/>
    </row>
    <row r="743" spans="1:9" x14ac:dyDescent="0.35">
      <c r="A743" s="1204"/>
      <c r="B743" s="73">
        <v>53203030000000</v>
      </c>
      <c r="C743" s="74" t="s">
        <v>110</v>
      </c>
      <c r="D743" s="92">
        <v>0</v>
      </c>
      <c r="E743" s="93"/>
      <c r="F743" s="94"/>
      <c r="G743" s="86">
        <f t="shared" si="77"/>
        <v>0</v>
      </c>
      <c r="H743" s="87">
        <f t="shared" si="78"/>
        <v>0</v>
      </c>
      <c r="I743" s="418"/>
    </row>
    <row r="744" spans="1:9" x14ac:dyDescent="0.35">
      <c r="A744" s="1204"/>
      <c r="B744" s="73">
        <v>53204030000000</v>
      </c>
      <c r="C744" s="74" t="s">
        <v>111</v>
      </c>
      <c r="D744" s="92">
        <v>0</v>
      </c>
      <c r="E744" s="93"/>
      <c r="F744" s="94"/>
      <c r="G744" s="86">
        <f t="shared" si="77"/>
        <v>0</v>
      </c>
      <c r="H744" s="87">
        <f t="shared" si="78"/>
        <v>0</v>
      </c>
      <c r="I744" s="421"/>
    </row>
    <row r="745" spans="1:9" x14ac:dyDescent="0.35">
      <c r="A745" s="1204"/>
      <c r="B745" s="73">
        <v>53204100100001</v>
      </c>
      <c r="C745" s="74" t="s">
        <v>112</v>
      </c>
      <c r="D745" s="92">
        <v>0</v>
      </c>
      <c r="E745" s="93"/>
      <c r="F745" s="94"/>
      <c r="G745" s="86">
        <f t="shared" si="77"/>
        <v>0</v>
      </c>
      <c r="H745" s="87">
        <f t="shared" si="78"/>
        <v>0</v>
      </c>
      <c r="I745" s="418"/>
    </row>
    <row r="746" spans="1:9" x14ac:dyDescent="0.35">
      <c r="A746" s="1204"/>
      <c r="B746" s="73">
        <v>53204130100000</v>
      </c>
      <c r="C746" s="74" t="s">
        <v>113</v>
      </c>
      <c r="D746" s="92">
        <v>0</v>
      </c>
      <c r="E746" s="93"/>
      <c r="F746" s="94"/>
      <c r="G746" s="86">
        <f t="shared" si="77"/>
        <v>0</v>
      </c>
      <c r="H746" s="87">
        <f t="shared" si="78"/>
        <v>0</v>
      </c>
      <c r="I746" s="418"/>
    </row>
    <row r="747" spans="1:9" x14ac:dyDescent="0.35">
      <c r="A747" s="1204"/>
      <c r="B747" s="73">
        <v>53205010100000</v>
      </c>
      <c r="C747" s="95" t="s">
        <v>114</v>
      </c>
      <c r="D747" s="92">
        <v>0</v>
      </c>
      <c r="E747" s="93">
        <v>332</v>
      </c>
      <c r="F747" s="94">
        <v>3582.9602307692312</v>
      </c>
      <c r="G747" s="86">
        <f t="shared" si="77"/>
        <v>1189542.7966153848</v>
      </c>
      <c r="H747" s="87">
        <f t="shared" si="78"/>
        <v>1189542.7966153848</v>
      </c>
      <c r="I747" s="421"/>
    </row>
    <row r="748" spans="1:9" x14ac:dyDescent="0.35">
      <c r="A748" s="1204"/>
      <c r="B748" s="73">
        <v>53205020100000</v>
      </c>
      <c r="C748" s="74" t="s">
        <v>115</v>
      </c>
      <c r="D748" s="92">
        <v>0</v>
      </c>
      <c r="E748" s="93">
        <v>702</v>
      </c>
      <c r="F748" s="94">
        <v>3211.9127102803741</v>
      </c>
      <c r="G748" s="86">
        <f t="shared" si="77"/>
        <v>2254762.7226168225</v>
      </c>
      <c r="H748" s="87">
        <f t="shared" si="78"/>
        <v>2254762.7226168225</v>
      </c>
      <c r="I748" s="418"/>
    </row>
    <row r="749" spans="1:9" x14ac:dyDescent="0.35">
      <c r="A749" s="1204"/>
      <c r="B749" s="73">
        <v>53205030100000</v>
      </c>
      <c r="C749" s="74" t="s">
        <v>116</v>
      </c>
      <c r="D749" s="92">
        <v>0</v>
      </c>
      <c r="E749" s="93"/>
      <c r="F749" s="94"/>
      <c r="G749" s="86">
        <f t="shared" si="77"/>
        <v>0</v>
      </c>
      <c r="H749" s="87">
        <f t="shared" si="78"/>
        <v>0</v>
      </c>
      <c r="I749" s="418"/>
    </row>
    <row r="750" spans="1:9" x14ac:dyDescent="0.35">
      <c r="A750" s="1204"/>
      <c r="B750" s="73">
        <v>53205050100000</v>
      </c>
      <c r="C750" s="74" t="s">
        <v>117</v>
      </c>
      <c r="D750" s="92">
        <v>0</v>
      </c>
      <c r="E750" s="93"/>
      <c r="F750" s="94"/>
      <c r="G750" s="86">
        <f t="shared" si="77"/>
        <v>0</v>
      </c>
      <c r="H750" s="87">
        <f t="shared" si="78"/>
        <v>0</v>
      </c>
      <c r="I750" s="418"/>
    </row>
    <row r="751" spans="1:9" x14ac:dyDescent="0.35">
      <c r="A751" s="1204"/>
      <c r="B751" s="73">
        <v>53205060100000</v>
      </c>
      <c r="C751" s="74" t="s">
        <v>118</v>
      </c>
      <c r="D751" s="92">
        <v>0</v>
      </c>
      <c r="E751" s="93"/>
      <c r="F751" s="94"/>
      <c r="G751" s="86">
        <f t="shared" si="77"/>
        <v>0</v>
      </c>
      <c r="H751" s="87">
        <f t="shared" si="78"/>
        <v>0</v>
      </c>
      <c r="I751" s="418"/>
    </row>
    <row r="752" spans="1:9" x14ac:dyDescent="0.35">
      <c r="A752" s="1204"/>
      <c r="B752" s="73">
        <v>53205070100000</v>
      </c>
      <c r="C752" s="74" t="s">
        <v>119</v>
      </c>
      <c r="D752" s="92">
        <v>0</v>
      </c>
      <c r="E752" s="93"/>
      <c r="F752" s="94"/>
      <c r="G752" s="86">
        <f t="shared" si="77"/>
        <v>0</v>
      </c>
      <c r="H752" s="87">
        <f t="shared" si="78"/>
        <v>0</v>
      </c>
      <c r="I752" s="418"/>
    </row>
    <row r="753" spans="1:9" x14ac:dyDescent="0.35">
      <c r="A753" s="1204"/>
      <c r="B753" s="73">
        <v>53208010100000</v>
      </c>
      <c r="C753" s="74" t="s">
        <v>120</v>
      </c>
      <c r="D753" s="92">
        <v>0</v>
      </c>
      <c r="E753" s="93"/>
      <c r="F753" s="94"/>
      <c r="G753" s="86">
        <f t="shared" si="77"/>
        <v>0</v>
      </c>
      <c r="H753" s="87">
        <f t="shared" si="78"/>
        <v>0</v>
      </c>
      <c r="I753" s="418"/>
    </row>
    <row r="754" spans="1:9" x14ac:dyDescent="0.35">
      <c r="A754" s="1204"/>
      <c r="B754" s="73">
        <v>53208070100001</v>
      </c>
      <c r="C754" s="74" t="s">
        <v>121</v>
      </c>
      <c r="D754" s="92">
        <v>0</v>
      </c>
      <c r="E754" s="93"/>
      <c r="F754" s="94"/>
      <c r="G754" s="86">
        <f t="shared" si="77"/>
        <v>0</v>
      </c>
      <c r="H754" s="87">
        <f t="shared" si="78"/>
        <v>0</v>
      </c>
      <c r="I754" s="418"/>
    </row>
    <row r="755" spans="1:9" x14ac:dyDescent="0.35">
      <c r="A755" s="1204"/>
      <c r="B755" s="73">
        <v>53208100100001</v>
      </c>
      <c r="C755" s="74" t="s">
        <v>122</v>
      </c>
      <c r="D755" s="92">
        <v>0</v>
      </c>
      <c r="E755" s="93"/>
      <c r="F755" s="94"/>
      <c r="G755" s="86">
        <f t="shared" si="77"/>
        <v>0</v>
      </c>
      <c r="H755" s="87">
        <f t="shared" si="78"/>
        <v>0</v>
      </c>
      <c r="I755" s="418"/>
    </row>
    <row r="756" spans="1:9" x14ac:dyDescent="0.35">
      <c r="A756" s="1204"/>
      <c r="B756" s="73">
        <v>53211030000000</v>
      </c>
      <c r="C756" s="74" t="s">
        <v>123</v>
      </c>
      <c r="D756" s="92">
        <v>0</v>
      </c>
      <c r="E756" s="93"/>
      <c r="F756" s="94"/>
      <c r="G756" s="86">
        <f t="shared" si="77"/>
        <v>0</v>
      </c>
      <c r="H756" s="87">
        <f t="shared" si="78"/>
        <v>0</v>
      </c>
      <c r="I756" s="418"/>
    </row>
    <row r="757" spans="1:9" x14ac:dyDescent="0.35">
      <c r="A757" s="1204"/>
      <c r="B757" s="73">
        <v>53212020100000</v>
      </c>
      <c r="C757" s="74" t="s">
        <v>124</v>
      </c>
      <c r="D757" s="92">
        <v>0</v>
      </c>
      <c r="E757" s="93"/>
      <c r="F757" s="94"/>
      <c r="G757" s="86">
        <f t="shared" si="77"/>
        <v>0</v>
      </c>
      <c r="H757" s="87">
        <f t="shared" si="78"/>
        <v>0</v>
      </c>
      <c r="I757" s="421"/>
    </row>
    <row r="758" spans="1:9" x14ac:dyDescent="0.35">
      <c r="A758" s="1204"/>
      <c r="B758" s="73">
        <v>53214020000000</v>
      </c>
      <c r="C758" s="74" t="s">
        <v>125</v>
      </c>
      <c r="D758" s="83">
        <v>0</v>
      </c>
      <c r="E758" s="84"/>
      <c r="F758" s="85"/>
      <c r="G758" s="86">
        <f t="shared" si="77"/>
        <v>0</v>
      </c>
      <c r="H758" s="87">
        <f t="shared" si="78"/>
        <v>0</v>
      </c>
      <c r="I758" s="418"/>
    </row>
    <row r="759" spans="1:9" x14ac:dyDescent="0.35">
      <c r="A759" s="1204"/>
      <c r="B759" s="63"/>
      <c r="C759" s="64" t="s">
        <v>126</v>
      </c>
      <c r="D759" s="96">
        <f>SUM(D760,D765,D768,D779,D789,D797)</f>
        <v>634455.77500000002</v>
      </c>
      <c r="E759" s="66"/>
      <c r="F759" s="66"/>
      <c r="G759" s="97">
        <f>SUM(G760,G765,G768,G779,G789,G797)</f>
        <v>340000</v>
      </c>
      <c r="H759" s="98">
        <f>SUM(H760,H765,H768,H779,H789,H797)</f>
        <v>974455.77500000002</v>
      </c>
      <c r="I759" s="418"/>
    </row>
    <row r="760" spans="1:9" x14ac:dyDescent="0.35">
      <c r="A760" s="1204"/>
      <c r="B760" s="68"/>
      <c r="C760" s="69" t="s">
        <v>127</v>
      </c>
      <c r="D760" s="70">
        <f>SUM(D761:D764)</f>
        <v>0</v>
      </c>
      <c r="E760" s="88"/>
      <c r="F760" s="88"/>
      <c r="G760" s="89">
        <f>SUM(G761:G764)</f>
        <v>340000</v>
      </c>
      <c r="H760" s="99">
        <f>SUM(H761:H764)</f>
        <v>340000</v>
      </c>
      <c r="I760" s="418"/>
    </row>
    <row r="761" spans="1:9" x14ac:dyDescent="0.35">
      <c r="A761" s="1204"/>
      <c r="B761" s="73">
        <v>53202020100000</v>
      </c>
      <c r="C761" s="74" t="s">
        <v>128</v>
      </c>
      <c r="D761" s="92">
        <v>0</v>
      </c>
      <c r="E761" s="93">
        <v>50000</v>
      </c>
      <c r="F761" s="94">
        <v>4</v>
      </c>
      <c r="G761" s="86">
        <f>E761*F761</f>
        <v>200000</v>
      </c>
      <c r="H761" s="87">
        <f>D761+G761</f>
        <v>200000</v>
      </c>
      <c r="I761" s="418"/>
    </row>
    <row r="762" spans="1:9" x14ac:dyDescent="0.35">
      <c r="A762" s="1204"/>
      <c r="B762" s="73">
        <v>53202030000000</v>
      </c>
      <c r="C762" s="74" t="s">
        <v>129</v>
      </c>
      <c r="D762" s="83">
        <v>0</v>
      </c>
      <c r="E762" s="84">
        <v>35000</v>
      </c>
      <c r="F762" s="85">
        <v>4</v>
      </c>
      <c r="G762" s="86">
        <f>E762*F762</f>
        <v>140000</v>
      </c>
      <c r="H762" s="87">
        <f>D762+G762</f>
        <v>140000</v>
      </c>
      <c r="I762" s="418"/>
    </row>
    <row r="763" spans="1:9" x14ac:dyDescent="0.35">
      <c r="A763" s="1204"/>
      <c r="B763" s="73">
        <v>53211020000000</v>
      </c>
      <c r="C763" s="74" t="s">
        <v>130</v>
      </c>
      <c r="D763" s="92">
        <v>0</v>
      </c>
      <c r="E763" s="93"/>
      <c r="F763" s="94"/>
      <c r="G763" s="86">
        <f>E763*F763</f>
        <v>0</v>
      </c>
      <c r="H763" s="87">
        <f>D763+G763</f>
        <v>0</v>
      </c>
      <c r="I763" s="418"/>
    </row>
    <row r="764" spans="1:9" x14ac:dyDescent="0.35">
      <c r="A764" s="1204"/>
      <c r="B764" s="73">
        <v>53101004030000</v>
      </c>
      <c r="C764" s="74" t="s">
        <v>131</v>
      </c>
      <c r="D764" s="83">
        <v>0</v>
      </c>
      <c r="E764" s="84"/>
      <c r="F764" s="85"/>
      <c r="G764" s="86">
        <f>E764*F764</f>
        <v>0</v>
      </c>
      <c r="H764" s="87">
        <f>D764+G764</f>
        <v>0</v>
      </c>
      <c r="I764" s="418"/>
    </row>
    <row r="765" spans="1:9" x14ac:dyDescent="0.35">
      <c r="A765" s="1204"/>
      <c r="B765" s="68"/>
      <c r="C765" s="69" t="s">
        <v>132</v>
      </c>
      <c r="D765" s="70"/>
      <c r="E765" s="88"/>
      <c r="F765" s="88"/>
      <c r="G765" s="89">
        <f>SUM(G766:G767)</f>
        <v>0</v>
      </c>
      <c r="H765" s="99">
        <f>SUM(H766:H767)</f>
        <v>0</v>
      </c>
      <c r="I765" s="418"/>
    </row>
    <row r="766" spans="1:9" x14ac:dyDescent="0.35">
      <c r="A766" s="1204"/>
      <c r="B766" s="73">
        <v>53205080000000</v>
      </c>
      <c r="C766" s="100" t="s">
        <v>133</v>
      </c>
      <c r="D766" s="83">
        <v>0</v>
      </c>
      <c r="E766" s="84"/>
      <c r="F766" s="85"/>
      <c r="G766" s="86">
        <f>E766*F766</f>
        <v>0</v>
      </c>
      <c r="H766" s="87">
        <f>D766+G766</f>
        <v>0</v>
      </c>
      <c r="I766" s="418"/>
    </row>
    <row r="767" spans="1:9" x14ac:dyDescent="0.35">
      <c r="A767" s="1204"/>
      <c r="B767" s="73">
        <v>53205990000000</v>
      </c>
      <c r="C767" s="74" t="s">
        <v>134</v>
      </c>
      <c r="D767" s="92">
        <v>0</v>
      </c>
      <c r="E767" s="93"/>
      <c r="F767" s="94"/>
      <c r="G767" s="86">
        <f>E767*F767</f>
        <v>0</v>
      </c>
      <c r="H767" s="87">
        <f>D767+G767</f>
        <v>0</v>
      </c>
      <c r="I767" s="418"/>
    </row>
    <row r="768" spans="1:9" x14ac:dyDescent="0.35">
      <c r="A768" s="1204"/>
      <c r="B768" s="68"/>
      <c r="C768" s="69" t="s">
        <v>135</v>
      </c>
      <c r="D768" s="70">
        <f>SUM(D769:D778)</f>
        <v>0</v>
      </c>
      <c r="E768" s="88"/>
      <c r="F768" s="88"/>
      <c r="G768" s="91">
        <f>SUM(G769:G778)</f>
        <v>0</v>
      </c>
      <c r="H768" s="90">
        <f>SUM(H769:H778)</f>
        <v>0</v>
      </c>
      <c r="I768" s="418"/>
    </row>
    <row r="769" spans="1:9" x14ac:dyDescent="0.35">
      <c r="A769" s="1204"/>
      <c r="B769" s="73">
        <v>53203010200000</v>
      </c>
      <c r="C769" s="74" t="s">
        <v>136</v>
      </c>
      <c r="D769" s="83"/>
      <c r="E769" s="83"/>
      <c r="F769" s="85"/>
      <c r="G769" s="86">
        <f t="shared" ref="G769:G778" si="79">E769*F769</f>
        <v>0</v>
      </c>
      <c r="H769" s="87">
        <f t="shared" ref="H769:H778" si="80">D769+G769</f>
        <v>0</v>
      </c>
      <c r="I769" s="417"/>
    </row>
    <row r="770" spans="1:9" x14ac:dyDescent="0.35">
      <c r="A770" s="1204"/>
      <c r="B770" s="73">
        <v>53204010000000</v>
      </c>
      <c r="C770" s="74" t="s">
        <v>137</v>
      </c>
      <c r="D770" s="92">
        <v>0</v>
      </c>
      <c r="E770" s="92"/>
      <c r="F770" s="94"/>
      <c r="G770" s="86">
        <f t="shared" si="79"/>
        <v>0</v>
      </c>
      <c r="H770" s="87">
        <f t="shared" si="80"/>
        <v>0</v>
      </c>
      <c r="I770" s="418"/>
    </row>
    <row r="771" spans="1:9" x14ac:dyDescent="0.35">
      <c r="A771" s="1204"/>
      <c r="B771" s="73">
        <v>53204040200000</v>
      </c>
      <c r="C771" s="100" t="s">
        <v>138</v>
      </c>
      <c r="D771" s="92">
        <v>0</v>
      </c>
      <c r="E771" s="92"/>
      <c r="F771" s="94"/>
      <c r="G771" s="86">
        <f t="shared" si="79"/>
        <v>0</v>
      </c>
      <c r="H771" s="87">
        <f t="shared" si="80"/>
        <v>0</v>
      </c>
      <c r="I771" s="418"/>
    </row>
    <row r="772" spans="1:9" x14ac:dyDescent="0.35">
      <c r="A772" s="1204"/>
      <c r="B772" s="73">
        <v>53204060000000</v>
      </c>
      <c r="C772" s="100" t="s">
        <v>139</v>
      </c>
      <c r="D772" s="92">
        <v>0</v>
      </c>
      <c r="E772" s="92"/>
      <c r="F772" s="94"/>
      <c r="G772" s="86">
        <f t="shared" si="79"/>
        <v>0</v>
      </c>
      <c r="H772" s="87">
        <f t="shared" si="80"/>
        <v>0</v>
      </c>
      <c r="I772" s="418"/>
    </row>
    <row r="773" spans="1:9" x14ac:dyDescent="0.35">
      <c r="A773" s="1204"/>
      <c r="B773" s="73">
        <v>53204070000000</v>
      </c>
      <c r="C773" s="95" t="s">
        <v>140</v>
      </c>
      <c r="D773" s="92">
        <v>0</v>
      </c>
      <c r="E773" s="92"/>
      <c r="F773" s="94"/>
      <c r="G773" s="86">
        <f t="shared" si="79"/>
        <v>0</v>
      </c>
      <c r="H773" s="87">
        <f t="shared" si="80"/>
        <v>0</v>
      </c>
      <c r="I773" s="418"/>
    </row>
    <row r="774" spans="1:9" x14ac:dyDescent="0.35">
      <c r="A774" s="1204"/>
      <c r="B774" s="73">
        <v>53204080000000</v>
      </c>
      <c r="C774" s="100" t="s">
        <v>141</v>
      </c>
      <c r="D774" s="92">
        <v>0</v>
      </c>
      <c r="E774" s="92"/>
      <c r="F774" s="94"/>
      <c r="G774" s="86">
        <f t="shared" si="79"/>
        <v>0</v>
      </c>
      <c r="H774" s="87">
        <f t="shared" si="80"/>
        <v>0</v>
      </c>
      <c r="I774" s="418"/>
    </row>
    <row r="775" spans="1:9" x14ac:dyDescent="0.35">
      <c r="A775" s="1204"/>
      <c r="B775" s="73">
        <v>53214010000000</v>
      </c>
      <c r="C775" s="100" t="s">
        <v>142</v>
      </c>
      <c r="D775" s="83">
        <v>0</v>
      </c>
      <c r="E775" s="83"/>
      <c r="F775" s="85"/>
      <c r="G775" s="86">
        <f t="shared" si="79"/>
        <v>0</v>
      </c>
      <c r="H775" s="87">
        <f t="shared" si="80"/>
        <v>0</v>
      </c>
      <c r="I775" s="418"/>
    </row>
    <row r="776" spans="1:9" x14ac:dyDescent="0.35">
      <c r="A776" s="1204"/>
      <c r="B776" s="73">
        <v>53214040000000</v>
      </c>
      <c r="C776" s="74" t="s">
        <v>143</v>
      </c>
      <c r="D776" s="83">
        <v>0</v>
      </c>
      <c r="E776" s="83"/>
      <c r="F776" s="85"/>
      <c r="G776" s="86">
        <f t="shared" si="79"/>
        <v>0</v>
      </c>
      <c r="H776" s="87">
        <f t="shared" si="80"/>
        <v>0</v>
      </c>
      <c r="I776" s="418"/>
    </row>
    <row r="777" spans="1:9" x14ac:dyDescent="0.35">
      <c r="A777" s="1204"/>
      <c r="B777" s="73">
        <v>55201010100004</v>
      </c>
      <c r="C777" s="74" t="s">
        <v>144</v>
      </c>
      <c r="D777" s="83">
        <v>0</v>
      </c>
      <c r="E777" s="83"/>
      <c r="F777" s="85"/>
      <c r="G777" s="86">
        <f t="shared" si="79"/>
        <v>0</v>
      </c>
      <c r="H777" s="87">
        <f t="shared" si="80"/>
        <v>0</v>
      </c>
      <c r="I777" s="418"/>
    </row>
    <row r="778" spans="1:9" x14ac:dyDescent="0.35">
      <c r="A778" s="1204"/>
      <c r="B778" s="73">
        <v>55201010100005</v>
      </c>
      <c r="C778" s="74" t="s">
        <v>145</v>
      </c>
      <c r="D778" s="83">
        <v>0</v>
      </c>
      <c r="E778" s="83"/>
      <c r="F778" s="85"/>
      <c r="G778" s="86">
        <f t="shared" si="79"/>
        <v>0</v>
      </c>
      <c r="H778" s="87">
        <f t="shared" si="80"/>
        <v>0</v>
      </c>
      <c r="I778" s="418"/>
    </row>
    <row r="779" spans="1:9" x14ac:dyDescent="0.35">
      <c r="A779" s="1204"/>
      <c r="B779" s="68"/>
      <c r="C779" s="69" t="s">
        <v>146</v>
      </c>
      <c r="D779" s="70">
        <f>SUM(D780:D788)</f>
        <v>0</v>
      </c>
      <c r="E779" s="88"/>
      <c r="F779" s="88"/>
      <c r="G779" s="91">
        <f>SUM(G780:G788)</f>
        <v>0</v>
      </c>
      <c r="H779" s="90">
        <f>SUM(H780:H788)</f>
        <v>0</v>
      </c>
      <c r="I779" s="418"/>
    </row>
    <row r="780" spans="1:9" x14ac:dyDescent="0.35">
      <c r="A780" s="1204"/>
      <c r="B780" s="73">
        <v>53207010000000</v>
      </c>
      <c r="C780" s="74" t="s">
        <v>147</v>
      </c>
      <c r="D780" s="92">
        <v>0</v>
      </c>
      <c r="E780" s="92"/>
      <c r="F780" s="94"/>
      <c r="G780" s="86">
        <f t="shared" ref="G780:G788" si="81">E780*F780</f>
        <v>0</v>
      </c>
      <c r="H780" s="87">
        <f t="shared" ref="H780:H788" si="82">D780+G780</f>
        <v>0</v>
      </c>
      <c r="I780" s="418"/>
    </row>
    <row r="781" spans="1:9" x14ac:dyDescent="0.35">
      <c r="A781" s="1204"/>
      <c r="B781" s="73">
        <v>53207020000000</v>
      </c>
      <c r="C781" s="74" t="s">
        <v>148</v>
      </c>
      <c r="D781" s="92">
        <v>0</v>
      </c>
      <c r="E781" s="92"/>
      <c r="F781" s="94"/>
      <c r="G781" s="86">
        <f t="shared" si="81"/>
        <v>0</v>
      </c>
      <c r="H781" s="87">
        <f t="shared" si="82"/>
        <v>0</v>
      </c>
      <c r="I781" s="418"/>
    </row>
    <row r="782" spans="1:9" x14ac:dyDescent="0.35">
      <c r="A782" s="1204"/>
      <c r="B782" s="73">
        <v>53208020000000</v>
      </c>
      <c r="C782" s="74" t="s">
        <v>149</v>
      </c>
      <c r="D782" s="92">
        <v>0</v>
      </c>
      <c r="E782" s="92"/>
      <c r="F782" s="94"/>
      <c r="G782" s="86">
        <f t="shared" si="81"/>
        <v>0</v>
      </c>
      <c r="H782" s="87">
        <f t="shared" si="82"/>
        <v>0</v>
      </c>
      <c r="I782" s="418"/>
    </row>
    <row r="783" spans="1:9" x14ac:dyDescent="0.35">
      <c r="A783" s="1204"/>
      <c r="B783" s="73">
        <v>53208990000000</v>
      </c>
      <c r="C783" s="74" t="s">
        <v>150</v>
      </c>
      <c r="D783" s="92">
        <v>0</v>
      </c>
      <c r="E783" s="92"/>
      <c r="F783" s="94"/>
      <c r="G783" s="86">
        <f t="shared" si="81"/>
        <v>0</v>
      </c>
      <c r="H783" s="87">
        <f t="shared" si="82"/>
        <v>0</v>
      </c>
      <c r="I783" s="417"/>
    </row>
    <row r="784" spans="1:9" x14ac:dyDescent="0.35">
      <c r="A784" s="1204"/>
      <c r="B784" s="73">
        <v>53209010000000</v>
      </c>
      <c r="C784" s="74" t="s">
        <v>151</v>
      </c>
      <c r="D784" s="92">
        <v>0</v>
      </c>
      <c r="E784" s="92"/>
      <c r="F784" s="94"/>
      <c r="G784" s="86">
        <f t="shared" si="81"/>
        <v>0</v>
      </c>
      <c r="H784" s="87">
        <f t="shared" si="82"/>
        <v>0</v>
      </c>
      <c r="I784" s="418"/>
    </row>
    <row r="785" spans="1:9" x14ac:dyDescent="0.35">
      <c r="A785" s="1204"/>
      <c r="B785" s="73">
        <v>53209040000000</v>
      </c>
      <c r="C785" s="74" t="s">
        <v>152</v>
      </c>
      <c r="D785" s="92">
        <v>0</v>
      </c>
      <c r="E785" s="92"/>
      <c r="F785" s="94"/>
      <c r="G785" s="86">
        <f t="shared" si="81"/>
        <v>0</v>
      </c>
      <c r="H785" s="87">
        <f t="shared" si="82"/>
        <v>0</v>
      </c>
      <c r="I785" s="418"/>
    </row>
    <row r="786" spans="1:9" x14ac:dyDescent="0.35">
      <c r="A786" s="1204"/>
      <c r="B786" s="73">
        <v>53209050000000</v>
      </c>
      <c r="C786" s="74" t="s">
        <v>153</v>
      </c>
      <c r="D786" s="92">
        <v>0</v>
      </c>
      <c r="E786" s="92"/>
      <c r="F786" s="94"/>
      <c r="G786" s="86">
        <f t="shared" si="81"/>
        <v>0</v>
      </c>
      <c r="H786" s="87">
        <f t="shared" si="82"/>
        <v>0</v>
      </c>
      <c r="I786" s="418"/>
    </row>
    <row r="787" spans="1:9" x14ac:dyDescent="0.35">
      <c r="A787" s="1204"/>
      <c r="B787" s="73">
        <v>53209990000000</v>
      </c>
      <c r="C787" s="74" t="s">
        <v>154</v>
      </c>
      <c r="D787" s="92">
        <v>0</v>
      </c>
      <c r="E787" s="92"/>
      <c r="F787" s="94"/>
      <c r="G787" s="86">
        <f t="shared" si="81"/>
        <v>0</v>
      </c>
      <c r="H787" s="87">
        <f t="shared" si="82"/>
        <v>0</v>
      </c>
      <c r="I787" s="418"/>
    </row>
    <row r="788" spans="1:9" x14ac:dyDescent="0.35">
      <c r="A788" s="1204"/>
      <c r="B788" s="73">
        <v>53210020100000</v>
      </c>
      <c r="C788" s="74" t="s">
        <v>155</v>
      </c>
      <c r="D788" s="92">
        <v>0</v>
      </c>
      <c r="E788" s="92"/>
      <c r="F788" s="94"/>
      <c r="G788" s="86">
        <f t="shared" si="81"/>
        <v>0</v>
      </c>
      <c r="H788" s="87">
        <f t="shared" si="82"/>
        <v>0</v>
      </c>
      <c r="I788" s="418"/>
    </row>
    <row r="789" spans="1:9" x14ac:dyDescent="0.35">
      <c r="A789" s="1204"/>
      <c r="B789" s="68"/>
      <c r="C789" s="69" t="s">
        <v>156</v>
      </c>
      <c r="D789" s="70">
        <f>SUM(D790:D796)</f>
        <v>490600</v>
      </c>
      <c r="E789" s="88"/>
      <c r="F789" s="88"/>
      <c r="G789" s="91">
        <f>SUM(G790:G796)</f>
        <v>0</v>
      </c>
      <c r="H789" s="90">
        <f>SUM(H790:H796)</f>
        <v>490600</v>
      </c>
      <c r="I789" s="418"/>
    </row>
    <row r="790" spans="1:9" x14ac:dyDescent="0.35">
      <c r="A790" s="1204"/>
      <c r="B790" s="73">
        <v>53206030000000</v>
      </c>
      <c r="C790" s="74" t="s">
        <v>157</v>
      </c>
      <c r="D790" s="92">
        <v>0</v>
      </c>
      <c r="E790" s="92"/>
      <c r="F790" s="94"/>
      <c r="G790" s="86">
        <f t="shared" ref="G790:G796" si="83">E790*F790</f>
        <v>0</v>
      </c>
      <c r="H790" s="87">
        <f t="shared" ref="H790:H796" si="84">D790+G790</f>
        <v>0</v>
      </c>
      <c r="I790" s="418"/>
    </row>
    <row r="791" spans="1:9" x14ac:dyDescent="0.35">
      <c r="A791" s="1204"/>
      <c r="B791" s="73">
        <v>53206040000000</v>
      </c>
      <c r="C791" s="74" t="s">
        <v>158</v>
      </c>
      <c r="D791" s="92">
        <v>0</v>
      </c>
      <c r="E791" s="92"/>
      <c r="F791" s="94"/>
      <c r="G791" s="86">
        <f t="shared" si="83"/>
        <v>0</v>
      </c>
      <c r="H791" s="87">
        <f t="shared" si="84"/>
        <v>0</v>
      </c>
      <c r="I791" s="418"/>
    </row>
    <row r="792" spans="1:9" x14ac:dyDescent="0.35">
      <c r="A792" s="1204"/>
      <c r="B792" s="73">
        <v>53206060000000</v>
      </c>
      <c r="C792" s="74" t="s">
        <v>159</v>
      </c>
      <c r="D792" s="92">
        <v>0</v>
      </c>
      <c r="E792" s="92"/>
      <c r="F792" s="94"/>
      <c r="G792" s="86">
        <f t="shared" si="83"/>
        <v>0</v>
      </c>
      <c r="H792" s="87">
        <f t="shared" si="84"/>
        <v>0</v>
      </c>
      <c r="I792" s="418"/>
    </row>
    <row r="793" spans="1:9" x14ac:dyDescent="0.35">
      <c r="A793" s="1204"/>
      <c r="B793" s="73">
        <v>53206070000000</v>
      </c>
      <c r="C793" s="74" t="s">
        <v>160</v>
      </c>
      <c r="D793" s="92">
        <v>0</v>
      </c>
      <c r="E793" s="92"/>
      <c r="F793" s="94"/>
      <c r="G793" s="86">
        <f t="shared" si="83"/>
        <v>0</v>
      </c>
      <c r="H793" s="87">
        <f t="shared" si="84"/>
        <v>0</v>
      </c>
      <c r="I793" s="418"/>
    </row>
    <row r="794" spans="1:9" x14ac:dyDescent="0.35">
      <c r="A794" s="1204"/>
      <c r="B794" s="73">
        <v>53206990000000</v>
      </c>
      <c r="C794" s="74" t="s">
        <v>161</v>
      </c>
      <c r="D794" s="92">
        <v>0</v>
      </c>
      <c r="E794" s="92"/>
      <c r="F794" s="94"/>
      <c r="G794" s="86">
        <f t="shared" si="83"/>
        <v>0</v>
      </c>
      <c r="H794" s="87">
        <f t="shared" si="84"/>
        <v>0</v>
      </c>
      <c r="I794" s="418"/>
    </row>
    <row r="795" spans="1:9" x14ac:dyDescent="0.35">
      <c r="A795" s="1204"/>
      <c r="B795" s="73">
        <v>53208030000000</v>
      </c>
      <c r="C795" s="74" t="s">
        <v>162</v>
      </c>
      <c r="D795" s="92">
        <v>100000</v>
      </c>
      <c r="E795" s="92"/>
      <c r="F795" s="94"/>
      <c r="G795" s="86">
        <f t="shared" si="83"/>
        <v>0</v>
      </c>
      <c r="H795" s="87">
        <f t="shared" si="84"/>
        <v>100000</v>
      </c>
      <c r="I795" s="418" t="s">
        <v>638</v>
      </c>
    </row>
    <row r="796" spans="1:9" x14ac:dyDescent="0.35">
      <c r="A796" s="1204"/>
      <c r="B796" s="73">
        <v>53212060000000</v>
      </c>
      <c r="C796" s="74" t="s">
        <v>163</v>
      </c>
      <c r="D796" s="83">
        <v>390600</v>
      </c>
      <c r="E796" s="83"/>
      <c r="F796" s="85"/>
      <c r="G796" s="86">
        <f t="shared" si="83"/>
        <v>0</v>
      </c>
      <c r="H796" s="87">
        <f t="shared" si="84"/>
        <v>390600</v>
      </c>
      <c r="I796" s="418" t="s">
        <v>639</v>
      </c>
    </row>
    <row r="797" spans="1:9" x14ac:dyDescent="0.35">
      <c r="A797" s="1204"/>
      <c r="B797" s="68"/>
      <c r="C797" s="69" t="s">
        <v>164</v>
      </c>
      <c r="D797" s="70">
        <f>SUM(D798:D799)</f>
        <v>143855.77499999999</v>
      </c>
      <c r="E797" s="88"/>
      <c r="F797" s="88"/>
      <c r="G797" s="91">
        <f>SUM(G798:G799)</f>
        <v>0</v>
      </c>
      <c r="H797" s="90">
        <f>SUM(H798:H799)</f>
        <v>143855.77499999999</v>
      </c>
      <c r="I797" s="418"/>
    </row>
    <row r="798" spans="1:9" x14ac:dyDescent="0.35">
      <c r="A798" s="1204"/>
      <c r="B798" s="73">
        <v>53210020500000</v>
      </c>
      <c r="C798" s="74" t="s">
        <v>165</v>
      </c>
      <c r="D798" s="83"/>
      <c r="E798" s="83"/>
      <c r="F798" s="85"/>
      <c r="G798" s="86">
        <f>E798*F798</f>
        <v>0</v>
      </c>
      <c r="H798" s="102">
        <f>D798+G798</f>
        <v>0</v>
      </c>
      <c r="I798" s="418"/>
    </row>
    <row r="799" spans="1:9" x14ac:dyDescent="0.35">
      <c r="A799" s="1204"/>
      <c r="B799" s="103">
        <v>53204999000000</v>
      </c>
      <c r="C799" s="104" t="s">
        <v>166</v>
      </c>
      <c r="D799" s="92">
        <v>143855.77499999999</v>
      </c>
      <c r="E799" s="92"/>
      <c r="F799" s="94"/>
      <c r="G799" s="105">
        <f>E799*F799</f>
        <v>0</v>
      </c>
      <c r="H799" s="102">
        <f>D799+G799</f>
        <v>143855.77499999999</v>
      </c>
      <c r="I799" s="419"/>
    </row>
    <row r="800" spans="1:9" x14ac:dyDescent="0.35">
      <c r="A800" s="1204"/>
      <c r="B800" s="106"/>
      <c r="C800" s="107" t="s">
        <v>12</v>
      </c>
      <c r="D800" s="108">
        <f>SUM(D731,D759)</f>
        <v>38976290.154999994</v>
      </c>
      <c r="E800" s="109"/>
      <c r="F800" s="109"/>
      <c r="G800" s="108">
        <f>SUM(G731,G759)</f>
        <v>6220785.519232207</v>
      </c>
      <c r="H800" s="110">
        <f>SUM(H731,H759)</f>
        <v>45197075.6742322</v>
      </c>
      <c r="I800" s="418"/>
    </row>
    <row r="801" spans="1:9" x14ac:dyDescent="0.35">
      <c r="A801" s="1310" t="s">
        <v>25</v>
      </c>
      <c r="B801" s="1312" t="s">
        <v>90</v>
      </c>
      <c r="C801" s="1314" t="s">
        <v>91</v>
      </c>
      <c r="D801" s="1316" t="s">
        <v>92</v>
      </c>
      <c r="E801" s="1318" t="s">
        <v>93</v>
      </c>
      <c r="F801" s="1319"/>
      <c r="G801" s="1320"/>
      <c r="H801" s="1321" t="str">
        <f>+H729</f>
        <v>COSTO DIRECTO ESTIMADO 2026</v>
      </c>
      <c r="I801" s="1309" t="s">
        <v>94</v>
      </c>
    </row>
    <row r="802" spans="1:9" ht="26" x14ac:dyDescent="0.35">
      <c r="A802" s="1311"/>
      <c r="B802" s="1313"/>
      <c r="C802" s="1315"/>
      <c r="D802" s="1317"/>
      <c r="E802" s="60" t="s">
        <v>95</v>
      </c>
      <c r="F802" s="61" t="s">
        <v>96</v>
      </c>
      <c r="G802" s="62" t="s">
        <v>97</v>
      </c>
      <c r="H802" s="1322"/>
      <c r="I802" s="1309"/>
    </row>
    <row r="803" spans="1:9" x14ac:dyDescent="0.35">
      <c r="A803" s="1204" t="s">
        <v>339</v>
      </c>
      <c r="B803" s="63"/>
      <c r="C803" s="64" t="s">
        <v>98</v>
      </c>
      <c r="D803" s="65">
        <f>SUM(D804,D809,D811)</f>
        <v>96315005.055000007</v>
      </c>
      <c r="E803" s="66"/>
      <c r="F803" s="66"/>
      <c r="G803" s="65">
        <f>SUM(G804,G809,G811)</f>
        <v>3245400</v>
      </c>
      <c r="H803" s="67">
        <f>SUM(H804,H809,H811)</f>
        <v>99560405.055000007</v>
      </c>
      <c r="I803" s="418"/>
    </row>
    <row r="804" spans="1:9" x14ac:dyDescent="0.35">
      <c r="A804" s="1204"/>
      <c r="B804" s="68"/>
      <c r="C804" s="69" t="s">
        <v>99</v>
      </c>
      <c r="D804" s="70">
        <f>SUM(D805:D808)</f>
        <v>53499219.880000003</v>
      </c>
      <c r="E804" s="71"/>
      <c r="F804" s="71"/>
      <c r="G804" s="70">
        <f>SUM(G805:G808)</f>
        <v>0</v>
      </c>
      <c r="H804" s="72">
        <f>SUM(H805:H808)</f>
        <v>53499219.880000003</v>
      </c>
      <c r="I804" s="418"/>
    </row>
    <row r="805" spans="1:9" x14ac:dyDescent="0.35">
      <c r="A805" s="1204"/>
      <c r="B805" s="73">
        <v>53307736137466.797</v>
      </c>
      <c r="C805" s="74" t="s">
        <v>100</v>
      </c>
      <c r="D805" s="75">
        <f>'F) Remuneraciones'!M274</f>
        <v>53499219.880000003</v>
      </c>
      <c r="E805" s="76"/>
      <c r="F805" s="76"/>
      <c r="G805" s="76"/>
      <c r="H805" s="77">
        <f>D805+G805</f>
        <v>53499219.880000003</v>
      </c>
      <c r="I805" s="418"/>
    </row>
    <row r="806" spans="1:9" x14ac:dyDescent="0.35">
      <c r="A806" s="1204"/>
      <c r="B806" s="73">
        <v>53307937918254.703</v>
      </c>
      <c r="C806" s="74" t="s">
        <v>101</v>
      </c>
      <c r="D806" s="78">
        <v>0</v>
      </c>
      <c r="E806" s="79"/>
      <c r="F806" s="80"/>
      <c r="G806" s="81">
        <f>E806*F806</f>
        <v>0</v>
      </c>
      <c r="H806" s="82">
        <f>D806+G806</f>
        <v>0</v>
      </c>
      <c r="I806" s="418"/>
    </row>
    <row r="807" spans="1:9" x14ac:dyDescent="0.35">
      <c r="A807" s="1204"/>
      <c r="B807" s="73">
        <v>53308139699042.703</v>
      </c>
      <c r="C807" s="74" t="s">
        <v>102</v>
      </c>
      <c r="D807" s="83">
        <v>0</v>
      </c>
      <c r="E807" s="84"/>
      <c r="F807" s="85"/>
      <c r="G807" s="86">
        <f>E807*F807</f>
        <v>0</v>
      </c>
      <c r="H807" s="87">
        <f>D807+G807</f>
        <v>0</v>
      </c>
      <c r="I807" s="418"/>
    </row>
    <row r="808" spans="1:9" x14ac:dyDescent="0.35">
      <c r="A808" s="1204"/>
      <c r="B808" s="73">
        <v>53308341479830.602</v>
      </c>
      <c r="C808" s="74" t="s">
        <v>103</v>
      </c>
      <c r="D808" s="83">
        <v>0</v>
      </c>
      <c r="E808" s="84"/>
      <c r="F808" s="85"/>
      <c r="G808" s="86">
        <f>E808*F808</f>
        <v>0</v>
      </c>
      <c r="H808" s="87">
        <f>D808+G808</f>
        <v>0</v>
      </c>
      <c r="I808" s="418"/>
    </row>
    <row r="809" spans="1:9" x14ac:dyDescent="0.35">
      <c r="A809" s="1204"/>
      <c r="B809" s="68">
        <v>53308543260618.602</v>
      </c>
      <c r="C809" s="69" t="s">
        <v>104</v>
      </c>
      <c r="D809" s="70">
        <f>SUM(D810)</f>
        <v>40114451.475000001</v>
      </c>
      <c r="E809" s="88"/>
      <c r="F809" s="88"/>
      <c r="G809" s="89">
        <f>SUM(G810:G810)</f>
        <v>0</v>
      </c>
      <c r="H809" s="90">
        <f>SUM(H810:H810)</f>
        <v>40114451.475000001</v>
      </c>
      <c r="I809" s="418"/>
    </row>
    <row r="810" spans="1:9" x14ac:dyDescent="0.35">
      <c r="A810" s="1204"/>
      <c r="B810" s="73">
        <v>53308745041406.5</v>
      </c>
      <c r="C810" s="74" t="s">
        <v>105</v>
      </c>
      <c r="D810" s="83">
        <v>40114451.475000001</v>
      </c>
      <c r="E810" s="84"/>
      <c r="F810" s="85"/>
      <c r="G810" s="86">
        <f>E810*F810</f>
        <v>0</v>
      </c>
      <c r="H810" s="87">
        <f>D810+G810</f>
        <v>40114451.475000001</v>
      </c>
      <c r="I810" s="418"/>
    </row>
    <row r="811" spans="1:9" x14ac:dyDescent="0.35">
      <c r="A811" s="1204"/>
      <c r="B811" s="68">
        <v>53308946822194.5</v>
      </c>
      <c r="C811" s="69" t="s">
        <v>106</v>
      </c>
      <c r="D811" s="70">
        <f>SUM(D812:D830)</f>
        <v>2701333.7</v>
      </c>
      <c r="E811" s="88"/>
      <c r="F811" s="88"/>
      <c r="G811" s="91">
        <f>SUM(G812:G830)</f>
        <v>3245400</v>
      </c>
      <c r="H811" s="90">
        <f>SUM(H812:H830)</f>
        <v>5946733.7000000002</v>
      </c>
      <c r="I811" s="418"/>
    </row>
    <row r="812" spans="1:9" x14ac:dyDescent="0.35">
      <c r="A812" s="1204"/>
      <c r="B812" s="73">
        <v>53309148602982.5</v>
      </c>
      <c r="C812" s="74" t="s">
        <v>107</v>
      </c>
      <c r="D812" s="83">
        <v>0</v>
      </c>
      <c r="E812" s="84">
        <v>2538</v>
      </c>
      <c r="F812" s="85">
        <v>1100</v>
      </c>
      <c r="G812" s="86">
        <f t="shared" ref="G812:G830" si="85">E812*F812</f>
        <v>2791800</v>
      </c>
      <c r="H812" s="87">
        <f t="shared" ref="H812:H830" si="86">D812+G812</f>
        <v>2791800</v>
      </c>
      <c r="I812" s="418"/>
    </row>
    <row r="813" spans="1:9" x14ac:dyDescent="0.35">
      <c r="A813" s="1204"/>
      <c r="B813" s="73">
        <v>53309350383770.398</v>
      </c>
      <c r="C813" s="74" t="s">
        <v>108</v>
      </c>
      <c r="D813" s="83">
        <v>600000</v>
      </c>
      <c r="E813" s="84"/>
      <c r="F813" s="85"/>
      <c r="G813" s="86">
        <f t="shared" si="85"/>
        <v>0</v>
      </c>
      <c r="H813" s="87">
        <f t="shared" si="86"/>
        <v>600000</v>
      </c>
      <c r="I813" s="418"/>
    </row>
    <row r="814" spans="1:9" x14ac:dyDescent="0.35">
      <c r="A814" s="1204"/>
      <c r="B814" s="73">
        <v>53309552164558.398</v>
      </c>
      <c r="C814" s="74" t="s">
        <v>109</v>
      </c>
      <c r="D814" s="92">
        <v>192981.6</v>
      </c>
      <c r="E814" s="93"/>
      <c r="F814" s="94"/>
      <c r="G814" s="86">
        <f t="shared" si="85"/>
        <v>0</v>
      </c>
      <c r="H814" s="87">
        <f t="shared" si="86"/>
        <v>192981.6</v>
      </c>
      <c r="I814" s="418"/>
    </row>
    <row r="815" spans="1:9" x14ac:dyDescent="0.35">
      <c r="A815" s="1204"/>
      <c r="B815" s="73">
        <v>53309753945346.297</v>
      </c>
      <c r="C815" s="74" t="s">
        <v>110</v>
      </c>
      <c r="D815" s="92">
        <v>0</v>
      </c>
      <c r="E815" s="93"/>
      <c r="F815" s="94"/>
      <c r="G815" s="86">
        <f t="shared" si="85"/>
        <v>0</v>
      </c>
      <c r="H815" s="87">
        <f t="shared" si="86"/>
        <v>0</v>
      </c>
      <c r="I815" s="418"/>
    </row>
    <row r="816" spans="1:9" x14ac:dyDescent="0.35">
      <c r="A816" s="1204"/>
      <c r="B816" s="73">
        <v>53309955726134.297</v>
      </c>
      <c r="C816" s="74" t="s">
        <v>111</v>
      </c>
      <c r="D816" s="92">
        <v>0</v>
      </c>
      <c r="E816" s="93"/>
      <c r="F816" s="94"/>
      <c r="G816" s="86">
        <f t="shared" si="85"/>
        <v>0</v>
      </c>
      <c r="H816" s="87">
        <f t="shared" si="86"/>
        <v>0</v>
      </c>
      <c r="I816" s="421"/>
    </row>
    <row r="817" spans="1:9" x14ac:dyDescent="0.35">
      <c r="A817" s="1204"/>
      <c r="B817" s="73">
        <v>53310157506922.203</v>
      </c>
      <c r="C817" s="74" t="s">
        <v>112</v>
      </c>
      <c r="D817" s="92">
        <v>1140895.3500000001</v>
      </c>
      <c r="E817" s="93"/>
      <c r="F817" s="94"/>
      <c r="G817" s="86">
        <f t="shared" si="85"/>
        <v>0</v>
      </c>
      <c r="H817" s="87">
        <f t="shared" si="86"/>
        <v>1140895.3500000001</v>
      </c>
      <c r="I817" s="418"/>
    </row>
    <row r="818" spans="1:9" x14ac:dyDescent="0.35">
      <c r="A818" s="1204"/>
      <c r="B818" s="73">
        <v>53310359287710.203</v>
      </c>
      <c r="C818" s="74" t="s">
        <v>113</v>
      </c>
      <c r="D818" s="92">
        <v>0</v>
      </c>
      <c r="E818" s="93"/>
      <c r="F818" s="94"/>
      <c r="G818" s="86">
        <f t="shared" si="85"/>
        <v>0</v>
      </c>
      <c r="H818" s="87">
        <f t="shared" si="86"/>
        <v>0</v>
      </c>
      <c r="I818" s="418"/>
    </row>
    <row r="819" spans="1:9" x14ac:dyDescent="0.35">
      <c r="A819" s="1204"/>
      <c r="B819" s="73">
        <v>53310561068498.102</v>
      </c>
      <c r="C819" s="95" t="s">
        <v>114</v>
      </c>
      <c r="D819" s="92">
        <v>0</v>
      </c>
      <c r="E819" s="93"/>
      <c r="F819" s="94"/>
      <c r="G819" s="86">
        <f t="shared" si="85"/>
        <v>0</v>
      </c>
      <c r="H819" s="87">
        <f t="shared" si="86"/>
        <v>0</v>
      </c>
      <c r="I819" s="421"/>
    </row>
    <row r="820" spans="1:9" x14ac:dyDescent="0.35">
      <c r="A820" s="1204"/>
      <c r="B820" s="73">
        <v>53310762849286.102</v>
      </c>
      <c r="C820" s="74" t="s">
        <v>115</v>
      </c>
      <c r="D820" s="92">
        <v>0</v>
      </c>
      <c r="E820" s="93"/>
      <c r="F820" s="94"/>
      <c r="G820" s="86">
        <f t="shared" si="85"/>
        <v>0</v>
      </c>
      <c r="H820" s="87">
        <f t="shared" si="86"/>
        <v>0</v>
      </c>
      <c r="I820" s="418"/>
    </row>
    <row r="821" spans="1:9" x14ac:dyDescent="0.35">
      <c r="A821" s="1204"/>
      <c r="B821" s="73">
        <v>53310964630074</v>
      </c>
      <c r="C821" s="74" t="s">
        <v>116</v>
      </c>
      <c r="D821" s="92">
        <v>0</v>
      </c>
      <c r="E821" s="93"/>
      <c r="F821" s="94"/>
      <c r="G821" s="86">
        <f t="shared" si="85"/>
        <v>0</v>
      </c>
      <c r="H821" s="87">
        <f t="shared" si="86"/>
        <v>0</v>
      </c>
      <c r="I821" s="418"/>
    </row>
    <row r="822" spans="1:9" x14ac:dyDescent="0.35">
      <c r="A822" s="1204"/>
      <c r="B822" s="73">
        <v>53311166410862</v>
      </c>
      <c r="C822" s="74" t="s">
        <v>117</v>
      </c>
      <c r="D822" s="92">
        <v>0</v>
      </c>
      <c r="E822" s="93"/>
      <c r="F822" s="94"/>
      <c r="G822" s="86">
        <f t="shared" si="85"/>
        <v>0</v>
      </c>
      <c r="H822" s="87">
        <f t="shared" si="86"/>
        <v>0</v>
      </c>
      <c r="I822" s="418"/>
    </row>
    <row r="823" spans="1:9" x14ac:dyDescent="0.35">
      <c r="A823" s="1204"/>
      <c r="B823" s="73">
        <v>53311368191650</v>
      </c>
      <c r="C823" s="74" t="s">
        <v>118</v>
      </c>
      <c r="D823" s="92">
        <v>0</v>
      </c>
      <c r="E823" s="93"/>
      <c r="F823" s="94"/>
      <c r="G823" s="86">
        <f t="shared" si="85"/>
        <v>0</v>
      </c>
      <c r="H823" s="87">
        <f t="shared" si="86"/>
        <v>0</v>
      </c>
      <c r="I823" s="418"/>
    </row>
    <row r="824" spans="1:9" x14ac:dyDescent="0.35">
      <c r="A824" s="1204"/>
      <c r="B824" s="73">
        <v>53311569972437.898</v>
      </c>
      <c r="C824" s="74" t="s">
        <v>119</v>
      </c>
      <c r="D824" s="92">
        <v>0</v>
      </c>
      <c r="E824" s="93"/>
      <c r="F824" s="94"/>
      <c r="G824" s="86">
        <f t="shared" si="85"/>
        <v>0</v>
      </c>
      <c r="H824" s="87">
        <f t="shared" si="86"/>
        <v>0</v>
      </c>
      <c r="I824" s="418"/>
    </row>
    <row r="825" spans="1:9" x14ac:dyDescent="0.35">
      <c r="A825" s="1204"/>
      <c r="B825" s="73">
        <v>53311771753225.898</v>
      </c>
      <c r="C825" s="74" t="s">
        <v>120</v>
      </c>
      <c r="D825" s="92">
        <v>200000</v>
      </c>
      <c r="E825" s="93">
        <f>36000*1.05</f>
        <v>37800</v>
      </c>
      <c r="F825" s="94">
        <v>12</v>
      </c>
      <c r="G825" s="86">
        <f t="shared" si="85"/>
        <v>453600</v>
      </c>
      <c r="H825" s="87">
        <f t="shared" si="86"/>
        <v>653600</v>
      </c>
      <c r="I825" s="418"/>
    </row>
    <row r="826" spans="1:9" x14ac:dyDescent="0.35">
      <c r="A826" s="1204"/>
      <c r="B826" s="73">
        <v>53311973534013.797</v>
      </c>
      <c r="C826" s="74" t="s">
        <v>121</v>
      </c>
      <c r="D826" s="92">
        <v>0</v>
      </c>
      <c r="E826" s="93"/>
      <c r="F826" s="94"/>
      <c r="G826" s="86">
        <f t="shared" si="85"/>
        <v>0</v>
      </c>
      <c r="H826" s="87">
        <f t="shared" si="86"/>
        <v>0</v>
      </c>
      <c r="I826" s="418"/>
    </row>
    <row r="827" spans="1:9" x14ac:dyDescent="0.35">
      <c r="A827" s="1204"/>
      <c r="B827" s="73">
        <v>53312175314801.797</v>
      </c>
      <c r="C827" s="74" t="s">
        <v>122</v>
      </c>
      <c r="D827" s="92">
        <v>0</v>
      </c>
      <c r="E827" s="93"/>
      <c r="F827" s="94"/>
      <c r="G827" s="86">
        <f t="shared" si="85"/>
        <v>0</v>
      </c>
      <c r="H827" s="87">
        <f t="shared" si="86"/>
        <v>0</v>
      </c>
      <c r="I827" s="418"/>
    </row>
    <row r="828" spans="1:9" x14ac:dyDescent="0.35">
      <c r="A828" s="1204"/>
      <c r="B828" s="73">
        <v>53312377095589.703</v>
      </c>
      <c r="C828" s="74" t="s">
        <v>123</v>
      </c>
      <c r="D828" s="92">
        <v>0</v>
      </c>
      <c r="E828" s="93"/>
      <c r="F828" s="94"/>
      <c r="G828" s="86">
        <f t="shared" si="85"/>
        <v>0</v>
      </c>
      <c r="H828" s="87">
        <f t="shared" si="86"/>
        <v>0</v>
      </c>
      <c r="I828" s="418"/>
    </row>
    <row r="829" spans="1:9" x14ac:dyDescent="0.35">
      <c r="A829" s="1204"/>
      <c r="B829" s="73">
        <v>53312578876377.703</v>
      </c>
      <c r="C829" s="74" t="s">
        <v>124</v>
      </c>
      <c r="D829" s="92">
        <v>567456.75</v>
      </c>
      <c r="E829" s="93"/>
      <c r="F829" s="94"/>
      <c r="G829" s="86">
        <f t="shared" si="85"/>
        <v>0</v>
      </c>
      <c r="H829" s="87">
        <f t="shared" si="86"/>
        <v>567456.75</v>
      </c>
      <c r="I829" s="421"/>
    </row>
    <row r="830" spans="1:9" x14ac:dyDescent="0.35">
      <c r="A830" s="1204"/>
      <c r="B830" s="73">
        <v>53312780657165.602</v>
      </c>
      <c r="C830" s="74" t="s">
        <v>125</v>
      </c>
      <c r="D830" s="83">
        <v>0</v>
      </c>
      <c r="E830" s="84"/>
      <c r="F830" s="85"/>
      <c r="G830" s="86">
        <f t="shared" si="85"/>
        <v>0</v>
      </c>
      <c r="H830" s="87">
        <f t="shared" si="86"/>
        <v>0</v>
      </c>
      <c r="I830" s="418"/>
    </row>
    <row r="831" spans="1:9" x14ac:dyDescent="0.35">
      <c r="A831" s="1204"/>
      <c r="B831" s="63">
        <v>53312982437953.602</v>
      </c>
      <c r="C831" s="64" t="s">
        <v>126</v>
      </c>
      <c r="D831" s="96">
        <f>SUM(D832,D837,D840,D851,D861,D869)</f>
        <v>2303993.7250000001</v>
      </c>
      <c r="E831" s="66"/>
      <c r="F831" s="66"/>
      <c r="G831" s="97">
        <f>SUM(G832,G837,G840,G851,G861,G869)</f>
        <v>320000</v>
      </c>
      <c r="H831" s="98">
        <f>SUM(H832,H837,H840,H851,H861,H869)</f>
        <v>3904697.1</v>
      </c>
      <c r="I831" s="418"/>
    </row>
    <row r="832" spans="1:9" x14ac:dyDescent="0.35">
      <c r="A832" s="1204"/>
      <c r="B832" s="68">
        <v>53313184218741.602</v>
      </c>
      <c r="C832" s="69" t="s">
        <v>127</v>
      </c>
      <c r="D832" s="70">
        <f>SUM(D833:D836)</f>
        <v>0</v>
      </c>
      <c r="E832" s="88"/>
      <c r="F832" s="88"/>
      <c r="G832" s="89">
        <f>SUM(G833:G836)</f>
        <v>320000</v>
      </c>
      <c r="H832" s="99">
        <f>SUM(H833:H836)</f>
        <v>320000</v>
      </c>
      <c r="I832" s="418"/>
    </row>
    <row r="833" spans="1:9" x14ac:dyDescent="0.35">
      <c r="A833" s="1204"/>
      <c r="B833" s="73">
        <v>53313385999529.5</v>
      </c>
      <c r="C833" s="74" t="s">
        <v>128</v>
      </c>
      <c r="D833" s="92">
        <v>0</v>
      </c>
      <c r="E833" s="93">
        <v>50000</v>
      </c>
      <c r="F833" s="94">
        <v>5</v>
      </c>
      <c r="G833" s="86">
        <f>E833*F833</f>
        <v>250000</v>
      </c>
      <c r="H833" s="87">
        <f>D833+G833</f>
        <v>250000</v>
      </c>
      <c r="I833" s="418"/>
    </row>
    <row r="834" spans="1:9" x14ac:dyDescent="0.35">
      <c r="A834" s="1204"/>
      <c r="B834" s="73">
        <v>53313587780317.5</v>
      </c>
      <c r="C834" s="74" t="s">
        <v>129</v>
      </c>
      <c r="D834" s="83">
        <v>0</v>
      </c>
      <c r="E834" s="84">
        <v>35000</v>
      </c>
      <c r="F834" s="85">
        <v>2</v>
      </c>
      <c r="G834" s="86">
        <f>E834*F834</f>
        <v>70000</v>
      </c>
      <c r="H834" s="87">
        <f>D834+G834</f>
        <v>70000</v>
      </c>
      <c r="I834" s="418"/>
    </row>
    <row r="835" spans="1:9" x14ac:dyDescent="0.35">
      <c r="A835" s="1204"/>
      <c r="B835" s="73">
        <v>53313789561105.398</v>
      </c>
      <c r="C835" s="74" t="s">
        <v>130</v>
      </c>
      <c r="D835" s="92">
        <v>0</v>
      </c>
      <c r="E835" s="93"/>
      <c r="F835" s="94"/>
      <c r="G835" s="86">
        <f>E835*F835</f>
        <v>0</v>
      </c>
      <c r="H835" s="87">
        <f>D835+G835</f>
        <v>0</v>
      </c>
      <c r="I835" s="418"/>
    </row>
    <row r="836" spans="1:9" x14ac:dyDescent="0.35">
      <c r="A836" s="1204"/>
      <c r="B836" s="73">
        <v>53313991341893.398</v>
      </c>
      <c r="C836" s="74" t="s">
        <v>131</v>
      </c>
      <c r="D836" s="83"/>
      <c r="E836" s="84"/>
      <c r="F836" s="85"/>
      <c r="G836" s="86">
        <f>E836*F836</f>
        <v>0</v>
      </c>
      <c r="H836" s="87">
        <f>D836+G836</f>
        <v>0</v>
      </c>
      <c r="I836" s="418"/>
    </row>
    <row r="837" spans="1:9" x14ac:dyDescent="0.35">
      <c r="A837" s="1204"/>
      <c r="B837" s="68">
        <v>53314193122681.297</v>
      </c>
      <c r="C837" s="69" t="s">
        <v>132</v>
      </c>
      <c r="D837" s="70"/>
      <c r="E837" s="88"/>
      <c r="F837" s="88"/>
      <c r="G837" s="89">
        <f>SUM(G838:G839)</f>
        <v>0</v>
      </c>
      <c r="H837" s="99">
        <f>SUM(H838:H839)</f>
        <v>0</v>
      </c>
      <c r="I837" s="418"/>
    </row>
    <row r="838" spans="1:9" x14ac:dyDescent="0.35">
      <c r="A838" s="1204"/>
      <c r="B838" s="73">
        <v>53314394903469.297</v>
      </c>
      <c r="C838" s="100" t="s">
        <v>133</v>
      </c>
      <c r="D838" s="83">
        <v>0</v>
      </c>
      <c r="E838" s="84"/>
      <c r="F838" s="85"/>
      <c r="G838" s="86">
        <f>E838*F838</f>
        <v>0</v>
      </c>
      <c r="H838" s="87">
        <f>D838+G838</f>
        <v>0</v>
      </c>
      <c r="I838" s="418"/>
    </row>
    <row r="839" spans="1:9" x14ac:dyDescent="0.35">
      <c r="A839" s="1204"/>
      <c r="B839" s="73">
        <v>53314596684257.203</v>
      </c>
      <c r="C839" s="74" t="s">
        <v>134</v>
      </c>
      <c r="D839" s="92">
        <v>0</v>
      </c>
      <c r="E839" s="93"/>
      <c r="F839" s="94"/>
      <c r="G839" s="86">
        <f>E839*F839</f>
        <v>0</v>
      </c>
      <c r="H839" s="87">
        <f>D839+G839</f>
        <v>0</v>
      </c>
      <c r="I839" s="418"/>
    </row>
    <row r="840" spans="1:9" x14ac:dyDescent="0.35">
      <c r="A840" s="1204"/>
      <c r="B840" s="68">
        <v>53314798465045.203</v>
      </c>
      <c r="C840" s="69" t="s">
        <v>135</v>
      </c>
      <c r="D840" s="70"/>
      <c r="E840" s="88"/>
      <c r="F840" s="88"/>
      <c r="G840" s="91">
        <f>SUM(G841:G850)</f>
        <v>0</v>
      </c>
      <c r="H840" s="90">
        <f>SUM(H841:H850)</f>
        <v>1280703.3750000002</v>
      </c>
      <c r="I840" s="418"/>
    </row>
    <row r="841" spans="1:9" x14ac:dyDescent="0.35">
      <c r="A841" s="1204"/>
      <c r="B841" s="73">
        <v>53315000245833.102</v>
      </c>
      <c r="C841" s="74" t="s">
        <v>136</v>
      </c>
      <c r="D841" s="83">
        <v>0</v>
      </c>
      <c r="E841" s="83"/>
      <c r="F841" s="85"/>
      <c r="G841" s="86">
        <f t="shared" ref="G841:G850" si="87">E841*F841</f>
        <v>0</v>
      </c>
      <c r="H841" s="87">
        <f t="shared" ref="H841:H850" si="88">D841+G841</f>
        <v>0</v>
      </c>
      <c r="I841" s="417"/>
    </row>
    <row r="842" spans="1:9" x14ac:dyDescent="0.35">
      <c r="A842" s="1204"/>
      <c r="B842" s="73">
        <v>53315202026621.102</v>
      </c>
      <c r="C842" s="74" t="s">
        <v>137</v>
      </c>
      <c r="D842" s="92">
        <v>27173.475000000002</v>
      </c>
      <c r="E842" s="92"/>
      <c r="F842" s="94"/>
      <c r="G842" s="86">
        <f t="shared" si="87"/>
        <v>0</v>
      </c>
      <c r="H842" s="87">
        <f t="shared" si="88"/>
        <v>27173.475000000002</v>
      </c>
      <c r="I842" s="418"/>
    </row>
    <row r="843" spans="1:9" x14ac:dyDescent="0.35">
      <c r="A843" s="1204"/>
      <c r="B843" s="73">
        <v>53315403807409.102</v>
      </c>
      <c r="C843" s="100" t="s">
        <v>138</v>
      </c>
      <c r="D843" s="92">
        <v>0</v>
      </c>
      <c r="E843" s="92"/>
      <c r="F843" s="94"/>
      <c r="G843" s="86">
        <f t="shared" si="87"/>
        <v>0</v>
      </c>
      <c r="H843" s="87">
        <f t="shared" si="88"/>
        <v>0</v>
      </c>
      <c r="I843" s="418"/>
    </row>
    <row r="844" spans="1:9" x14ac:dyDescent="0.35">
      <c r="A844" s="1204"/>
      <c r="B844" s="73">
        <v>53315605588197</v>
      </c>
      <c r="C844" s="100" t="s">
        <v>139</v>
      </c>
      <c r="D844" s="92">
        <v>0</v>
      </c>
      <c r="E844" s="92"/>
      <c r="F844" s="94"/>
      <c r="G844" s="86">
        <f t="shared" si="87"/>
        <v>0</v>
      </c>
      <c r="H844" s="87">
        <f t="shared" si="88"/>
        <v>0</v>
      </c>
      <c r="I844" s="418"/>
    </row>
    <row r="845" spans="1:9" x14ac:dyDescent="0.35">
      <c r="A845" s="1204"/>
      <c r="B845" s="73">
        <v>53315807368985</v>
      </c>
      <c r="C845" s="95" t="s">
        <v>140</v>
      </c>
      <c r="D845" s="92">
        <v>1253529.9000000001</v>
      </c>
      <c r="E845" s="92"/>
      <c r="F845" s="94"/>
      <c r="G845" s="86">
        <f t="shared" si="87"/>
        <v>0</v>
      </c>
      <c r="H845" s="87">
        <f t="shared" si="88"/>
        <v>1253529.9000000001</v>
      </c>
      <c r="I845" s="418"/>
    </row>
    <row r="846" spans="1:9" x14ac:dyDescent="0.35">
      <c r="A846" s="1204"/>
      <c r="B846" s="73">
        <v>53316009149772.898</v>
      </c>
      <c r="C846" s="100" t="s">
        <v>141</v>
      </c>
      <c r="D846" s="92">
        <v>0</v>
      </c>
      <c r="E846" s="92"/>
      <c r="F846" s="94"/>
      <c r="G846" s="86">
        <f t="shared" si="87"/>
        <v>0</v>
      </c>
      <c r="H846" s="87">
        <f t="shared" si="88"/>
        <v>0</v>
      </c>
      <c r="I846" s="418"/>
    </row>
    <row r="847" spans="1:9" x14ac:dyDescent="0.35">
      <c r="A847" s="1204"/>
      <c r="B847" s="73">
        <v>53316210930560.898</v>
      </c>
      <c r="C847" s="100" t="s">
        <v>142</v>
      </c>
      <c r="D847" s="83">
        <v>0</v>
      </c>
      <c r="E847" s="83"/>
      <c r="F847" s="85"/>
      <c r="G847" s="86">
        <f t="shared" si="87"/>
        <v>0</v>
      </c>
      <c r="H847" s="87">
        <f t="shared" si="88"/>
        <v>0</v>
      </c>
      <c r="I847" s="418"/>
    </row>
    <row r="848" spans="1:9" x14ac:dyDescent="0.35">
      <c r="A848" s="1204"/>
      <c r="B848" s="73">
        <v>53316412711348.797</v>
      </c>
      <c r="C848" s="74" t="s">
        <v>143</v>
      </c>
      <c r="D848" s="83">
        <v>0</v>
      </c>
      <c r="E848" s="83"/>
      <c r="F848" s="85"/>
      <c r="G848" s="86">
        <f t="shared" si="87"/>
        <v>0</v>
      </c>
      <c r="H848" s="87">
        <f t="shared" si="88"/>
        <v>0</v>
      </c>
      <c r="I848" s="418"/>
    </row>
    <row r="849" spans="1:9" x14ac:dyDescent="0.35">
      <c r="A849" s="1204"/>
      <c r="B849" s="73">
        <v>53316614492136.797</v>
      </c>
      <c r="C849" s="74" t="s">
        <v>144</v>
      </c>
      <c r="D849" s="83">
        <v>0</v>
      </c>
      <c r="E849" s="83"/>
      <c r="F849" s="85"/>
      <c r="G849" s="86">
        <f t="shared" si="87"/>
        <v>0</v>
      </c>
      <c r="H849" s="87">
        <f t="shared" si="88"/>
        <v>0</v>
      </c>
      <c r="I849" s="418"/>
    </row>
    <row r="850" spans="1:9" x14ac:dyDescent="0.35">
      <c r="A850" s="1204"/>
      <c r="B850" s="73">
        <v>53316816272924.703</v>
      </c>
      <c r="C850" s="74" t="s">
        <v>145</v>
      </c>
      <c r="D850" s="83">
        <v>0</v>
      </c>
      <c r="E850" s="83"/>
      <c r="F850" s="85"/>
      <c r="G850" s="86">
        <f t="shared" si="87"/>
        <v>0</v>
      </c>
      <c r="H850" s="87">
        <f t="shared" si="88"/>
        <v>0</v>
      </c>
      <c r="I850" s="418"/>
    </row>
    <row r="851" spans="1:9" x14ac:dyDescent="0.35">
      <c r="A851" s="1204"/>
      <c r="B851" s="68">
        <v>53317018053712.703</v>
      </c>
      <c r="C851" s="69" t="s">
        <v>146</v>
      </c>
      <c r="D851" s="70">
        <f>SUM(D852:D860)</f>
        <v>541532.5</v>
      </c>
      <c r="E851" s="88"/>
      <c r="F851" s="88"/>
      <c r="G851" s="91">
        <f>SUM(G852:G860)</f>
        <v>0</v>
      </c>
      <c r="H851" s="90">
        <f>SUM(H852:H860)</f>
        <v>541532.5</v>
      </c>
      <c r="I851" s="418"/>
    </row>
    <row r="852" spans="1:9" x14ac:dyDescent="0.35">
      <c r="A852" s="1204"/>
      <c r="B852" s="73">
        <v>53317219834500.703</v>
      </c>
      <c r="C852" s="74" t="s">
        <v>147</v>
      </c>
      <c r="D852" s="92">
        <v>0</v>
      </c>
      <c r="E852" s="92"/>
      <c r="F852" s="94"/>
      <c r="G852" s="86">
        <f t="shared" ref="G852:G860" si="89">E852*F852</f>
        <v>0</v>
      </c>
      <c r="H852" s="87">
        <f t="shared" ref="H852:H860" si="90">D852+G852</f>
        <v>0</v>
      </c>
      <c r="I852" s="418"/>
    </row>
    <row r="853" spans="1:9" x14ac:dyDescent="0.35">
      <c r="A853" s="1204"/>
      <c r="B853" s="73">
        <v>53317421615288.602</v>
      </c>
      <c r="C853" s="74" t="s">
        <v>148</v>
      </c>
      <c r="D853" s="92">
        <v>0</v>
      </c>
      <c r="E853" s="92"/>
      <c r="F853" s="94"/>
      <c r="G853" s="86">
        <f t="shared" si="89"/>
        <v>0</v>
      </c>
      <c r="H853" s="87">
        <f t="shared" si="90"/>
        <v>0</v>
      </c>
      <c r="I853" s="418"/>
    </row>
    <row r="854" spans="1:9" x14ac:dyDescent="0.35">
      <c r="A854" s="1204"/>
      <c r="B854" s="73">
        <v>53317623396076.602</v>
      </c>
      <c r="C854" s="74" t="s">
        <v>149</v>
      </c>
      <c r="D854" s="92">
        <v>0</v>
      </c>
      <c r="E854" s="92"/>
      <c r="F854" s="94"/>
      <c r="G854" s="86">
        <f t="shared" si="89"/>
        <v>0</v>
      </c>
      <c r="H854" s="87">
        <f t="shared" si="90"/>
        <v>0</v>
      </c>
      <c r="I854" s="418"/>
    </row>
    <row r="855" spans="1:9" x14ac:dyDescent="0.35">
      <c r="A855" s="1204"/>
      <c r="B855" s="73">
        <v>53317825176864.5</v>
      </c>
      <c r="C855" s="74" t="s">
        <v>150</v>
      </c>
      <c r="D855" s="92">
        <f>161595+250000</f>
        <v>411595</v>
      </c>
      <c r="E855" s="92"/>
      <c r="F855" s="94"/>
      <c r="G855" s="86">
        <f t="shared" si="89"/>
        <v>0</v>
      </c>
      <c r="H855" s="87">
        <f t="shared" si="90"/>
        <v>411595</v>
      </c>
      <c r="I855" s="417"/>
    </row>
    <row r="856" spans="1:9" x14ac:dyDescent="0.35">
      <c r="A856" s="1204"/>
      <c r="B856" s="73">
        <v>53318026957652.5</v>
      </c>
      <c r="C856" s="74" t="s">
        <v>151</v>
      </c>
      <c r="D856" s="92">
        <v>0</v>
      </c>
      <c r="E856" s="92"/>
      <c r="F856" s="94"/>
      <c r="G856" s="86">
        <f t="shared" si="89"/>
        <v>0</v>
      </c>
      <c r="H856" s="87">
        <f t="shared" si="90"/>
        <v>0</v>
      </c>
      <c r="I856" s="418"/>
    </row>
    <row r="857" spans="1:9" x14ac:dyDescent="0.35">
      <c r="A857" s="1204"/>
      <c r="B857" s="73">
        <v>53318228738440.398</v>
      </c>
      <c r="C857" s="74" t="s">
        <v>152</v>
      </c>
      <c r="D857" s="92">
        <v>0</v>
      </c>
      <c r="E857" s="92"/>
      <c r="F857" s="94"/>
      <c r="G857" s="86">
        <f t="shared" si="89"/>
        <v>0</v>
      </c>
      <c r="H857" s="87">
        <f t="shared" si="90"/>
        <v>0</v>
      </c>
      <c r="I857" s="418"/>
    </row>
    <row r="858" spans="1:9" x14ac:dyDescent="0.35">
      <c r="A858" s="1204"/>
      <c r="B858" s="73">
        <v>53318430519228.398</v>
      </c>
      <c r="C858" s="74" t="s">
        <v>153</v>
      </c>
      <c r="D858" s="92">
        <v>0</v>
      </c>
      <c r="E858" s="92"/>
      <c r="F858" s="94"/>
      <c r="G858" s="86">
        <f t="shared" si="89"/>
        <v>0</v>
      </c>
      <c r="H858" s="87">
        <f t="shared" si="90"/>
        <v>0</v>
      </c>
      <c r="I858" s="418"/>
    </row>
    <row r="859" spans="1:9" x14ac:dyDescent="0.35">
      <c r="A859" s="1204"/>
      <c r="B859" s="73">
        <v>53318632300016.297</v>
      </c>
      <c r="C859" s="74" t="s">
        <v>154</v>
      </c>
      <c r="D859" s="92">
        <v>129937.5</v>
      </c>
      <c r="E859" s="92"/>
      <c r="F859" s="94"/>
      <c r="G859" s="86">
        <f t="shared" si="89"/>
        <v>0</v>
      </c>
      <c r="H859" s="87">
        <f t="shared" si="90"/>
        <v>129937.5</v>
      </c>
      <c r="I859" s="418"/>
    </row>
    <row r="860" spans="1:9" x14ac:dyDescent="0.35">
      <c r="A860" s="1204"/>
      <c r="B860" s="73">
        <v>53318834080804.297</v>
      </c>
      <c r="C860" s="74" t="s">
        <v>155</v>
      </c>
      <c r="D860" s="92">
        <v>0</v>
      </c>
      <c r="E860" s="92"/>
      <c r="F860" s="94"/>
      <c r="G860" s="86">
        <f t="shared" si="89"/>
        <v>0</v>
      </c>
      <c r="H860" s="87">
        <f t="shared" si="90"/>
        <v>0</v>
      </c>
      <c r="I860" s="418"/>
    </row>
    <row r="861" spans="1:9" x14ac:dyDescent="0.35">
      <c r="A861" s="1204"/>
      <c r="B861" s="68">
        <v>53319035861592.297</v>
      </c>
      <c r="C861" s="69" t="s">
        <v>156</v>
      </c>
      <c r="D861" s="70">
        <f>SUM(D862:D868)</f>
        <v>0</v>
      </c>
      <c r="E861" s="88"/>
      <c r="F861" s="88"/>
      <c r="G861" s="91">
        <f>SUM(G862:G868)</f>
        <v>0</v>
      </c>
      <c r="H861" s="90">
        <f>SUM(H862:H868)</f>
        <v>0</v>
      </c>
      <c r="I861" s="418"/>
    </row>
    <row r="862" spans="1:9" x14ac:dyDescent="0.35">
      <c r="A862" s="1204"/>
      <c r="B862" s="73">
        <v>53319237642380.203</v>
      </c>
      <c r="C862" s="74" t="s">
        <v>157</v>
      </c>
      <c r="D862" s="92">
        <v>0</v>
      </c>
      <c r="E862" s="92"/>
      <c r="F862" s="94"/>
      <c r="G862" s="86">
        <f t="shared" ref="G862:G868" si="91">E862*F862</f>
        <v>0</v>
      </c>
      <c r="H862" s="87">
        <f t="shared" ref="H862:H868" si="92">D862+G862</f>
        <v>0</v>
      </c>
      <c r="I862" s="418"/>
    </row>
    <row r="863" spans="1:9" x14ac:dyDescent="0.35">
      <c r="A863" s="1204"/>
      <c r="B863" s="73">
        <v>53319439423168.203</v>
      </c>
      <c r="C863" s="74" t="s">
        <v>158</v>
      </c>
      <c r="D863" s="92">
        <v>0</v>
      </c>
      <c r="E863" s="92"/>
      <c r="F863" s="94"/>
      <c r="G863" s="86">
        <f t="shared" si="91"/>
        <v>0</v>
      </c>
      <c r="H863" s="87">
        <f t="shared" si="92"/>
        <v>0</v>
      </c>
      <c r="I863" s="418"/>
    </row>
    <row r="864" spans="1:9" x14ac:dyDescent="0.35">
      <c r="A864" s="1204"/>
      <c r="B864" s="73">
        <v>53319641203956.102</v>
      </c>
      <c r="C864" s="74" t="s">
        <v>159</v>
      </c>
      <c r="D864" s="92">
        <v>0</v>
      </c>
      <c r="E864" s="92"/>
      <c r="F864" s="94"/>
      <c r="G864" s="86">
        <f t="shared" si="91"/>
        <v>0</v>
      </c>
      <c r="H864" s="87">
        <f t="shared" si="92"/>
        <v>0</v>
      </c>
      <c r="I864" s="418"/>
    </row>
    <row r="865" spans="1:9" x14ac:dyDescent="0.35">
      <c r="A865" s="1204"/>
      <c r="B865" s="73">
        <v>53319842984744.102</v>
      </c>
      <c r="C865" s="74" t="s">
        <v>160</v>
      </c>
      <c r="D865" s="92">
        <v>0</v>
      </c>
      <c r="E865" s="92"/>
      <c r="F865" s="94"/>
      <c r="G865" s="86">
        <f t="shared" si="91"/>
        <v>0</v>
      </c>
      <c r="H865" s="87">
        <f t="shared" si="92"/>
        <v>0</v>
      </c>
      <c r="I865" s="418"/>
    </row>
    <row r="866" spans="1:9" x14ac:dyDescent="0.35">
      <c r="A866" s="1204"/>
      <c r="B866" s="73">
        <v>53320044765532</v>
      </c>
      <c r="C866" s="74" t="s">
        <v>161</v>
      </c>
      <c r="D866" s="92">
        <v>0</v>
      </c>
      <c r="E866" s="92"/>
      <c r="F866" s="94"/>
      <c r="G866" s="86">
        <f t="shared" si="91"/>
        <v>0</v>
      </c>
      <c r="H866" s="87">
        <f t="shared" si="92"/>
        <v>0</v>
      </c>
      <c r="I866" s="418"/>
    </row>
    <row r="867" spans="1:9" x14ac:dyDescent="0.35">
      <c r="A867" s="1204"/>
      <c r="B867" s="73">
        <v>53320246546320</v>
      </c>
      <c r="C867" s="74" t="s">
        <v>162</v>
      </c>
      <c r="D867" s="92">
        <v>0</v>
      </c>
      <c r="E867" s="92"/>
      <c r="F867" s="94"/>
      <c r="G867" s="86">
        <f t="shared" si="91"/>
        <v>0</v>
      </c>
      <c r="H867" s="87">
        <f t="shared" si="92"/>
        <v>0</v>
      </c>
      <c r="I867" s="418"/>
    </row>
    <row r="868" spans="1:9" x14ac:dyDescent="0.35">
      <c r="A868" s="1204"/>
      <c r="B868" s="73">
        <v>53320448327107.898</v>
      </c>
      <c r="C868" s="74" t="s">
        <v>163</v>
      </c>
      <c r="D868" s="83">
        <v>0</v>
      </c>
      <c r="E868" s="83"/>
      <c r="F868" s="85"/>
      <c r="G868" s="86">
        <f t="shared" si="91"/>
        <v>0</v>
      </c>
      <c r="H868" s="87">
        <f t="shared" si="92"/>
        <v>0</v>
      </c>
      <c r="I868" s="418"/>
    </row>
    <row r="869" spans="1:9" x14ac:dyDescent="0.35">
      <c r="A869" s="1204"/>
      <c r="B869" s="68">
        <v>53320650107895.898</v>
      </c>
      <c r="C869" s="69" t="s">
        <v>164</v>
      </c>
      <c r="D869" s="70">
        <f>SUM(D870:D871)</f>
        <v>1762461.2250000001</v>
      </c>
      <c r="E869" s="88"/>
      <c r="F869" s="88"/>
      <c r="G869" s="91">
        <f>SUM(G870:G871)</f>
        <v>0</v>
      </c>
      <c r="H869" s="90">
        <f>SUM(H870:H871)</f>
        <v>1762461.2250000001</v>
      </c>
      <c r="I869" s="418"/>
    </row>
    <row r="870" spans="1:9" x14ac:dyDescent="0.35">
      <c r="A870" s="1204"/>
      <c r="B870" s="73">
        <v>53320851888683.797</v>
      </c>
      <c r="C870" s="74" t="s">
        <v>165</v>
      </c>
      <c r="D870" s="83">
        <v>1092256.2000000002</v>
      </c>
      <c r="E870" s="83"/>
      <c r="F870" s="85"/>
      <c r="G870" s="86">
        <f>E870*F870</f>
        <v>0</v>
      </c>
      <c r="H870" s="102">
        <f>D870+G870</f>
        <v>1092256.2000000002</v>
      </c>
      <c r="I870" s="418"/>
    </row>
    <row r="871" spans="1:9" x14ac:dyDescent="0.35">
      <c r="A871" s="1204"/>
      <c r="B871" s="103">
        <v>53321053669471.797</v>
      </c>
      <c r="C871" s="104" t="s">
        <v>166</v>
      </c>
      <c r="D871" s="92">
        <v>670205.02500000002</v>
      </c>
      <c r="E871" s="92"/>
      <c r="F871" s="94"/>
      <c r="G871" s="105">
        <f>E871*F871</f>
        <v>0</v>
      </c>
      <c r="H871" s="102">
        <f>D871+G871</f>
        <v>670205.02500000002</v>
      </c>
      <c r="I871" s="419"/>
    </row>
    <row r="872" spans="1:9" x14ac:dyDescent="0.35">
      <c r="A872" s="1204"/>
      <c r="B872" s="106"/>
      <c r="C872" s="107" t="s">
        <v>12</v>
      </c>
      <c r="D872" s="108">
        <f>SUM(D803,D831)</f>
        <v>98618998.780000001</v>
      </c>
      <c r="E872" s="109"/>
      <c r="F872" s="109"/>
      <c r="G872" s="108">
        <f>SUM(G803,G831)</f>
        <v>3565400</v>
      </c>
      <c r="H872" s="110">
        <f>SUM(H803,H831)</f>
        <v>103465102.155</v>
      </c>
      <c r="I872" s="418"/>
    </row>
  </sheetData>
  <mergeCells count="98">
    <mergeCell ref="A731:A800"/>
    <mergeCell ref="A585:A586"/>
    <mergeCell ref="B585:B586"/>
    <mergeCell ref="C585:C586"/>
    <mergeCell ref="D585:D586"/>
    <mergeCell ref="D729:D730"/>
    <mergeCell ref="I585:I586"/>
    <mergeCell ref="I729:I730"/>
    <mergeCell ref="A587:A656"/>
    <mergeCell ref="A657:A658"/>
    <mergeCell ref="B657:B658"/>
    <mergeCell ref="C657:C658"/>
    <mergeCell ref="D657:D658"/>
    <mergeCell ref="E657:G657"/>
    <mergeCell ref="H657:H658"/>
    <mergeCell ref="I657:I658"/>
    <mergeCell ref="A659:A728"/>
    <mergeCell ref="A729:A730"/>
    <mergeCell ref="B729:B730"/>
    <mergeCell ref="C729:C730"/>
    <mergeCell ref="E729:G729"/>
    <mergeCell ref="H729:H730"/>
    <mergeCell ref="I513:I514"/>
    <mergeCell ref="A515:A584"/>
    <mergeCell ref="C369:C370"/>
    <mergeCell ref="D369:D370"/>
    <mergeCell ref="E369:G369"/>
    <mergeCell ref="H369:H370"/>
    <mergeCell ref="I369:I370"/>
    <mergeCell ref="I441:I442"/>
    <mergeCell ref="H441:H442"/>
    <mergeCell ref="E441:G441"/>
    <mergeCell ref="A443:A512"/>
    <mergeCell ref="A513:A514"/>
    <mergeCell ref="B513:B514"/>
    <mergeCell ref="C513:C514"/>
    <mergeCell ref="D513:D514"/>
    <mergeCell ref="A371:A440"/>
    <mergeCell ref="A441:A442"/>
    <mergeCell ref="B441:B442"/>
    <mergeCell ref="C441:C442"/>
    <mergeCell ref="D441:D442"/>
    <mergeCell ref="E513:G513"/>
    <mergeCell ref="H513:H514"/>
    <mergeCell ref="E585:G585"/>
    <mergeCell ref="H585:H586"/>
    <mergeCell ref="I9:I10"/>
    <mergeCell ref="A11:A80"/>
    <mergeCell ref="A81:A82"/>
    <mergeCell ref="B81:B82"/>
    <mergeCell ref="C81:C82"/>
    <mergeCell ref="D81:D82"/>
    <mergeCell ref="E81:G81"/>
    <mergeCell ref="H81:H82"/>
    <mergeCell ref="H9:H10"/>
    <mergeCell ref="I81:I82"/>
    <mergeCell ref="E153:G153"/>
    <mergeCell ref="A83:A152"/>
    <mergeCell ref="A153:A154"/>
    <mergeCell ref="B153:B154"/>
    <mergeCell ref="C153:C154"/>
    <mergeCell ref="D153:D154"/>
    <mergeCell ref="I153:I154"/>
    <mergeCell ref="I297:I298"/>
    <mergeCell ref="I225:I226"/>
    <mergeCell ref="C297:C298"/>
    <mergeCell ref="D297:D298"/>
    <mergeCell ref="A299:A368"/>
    <mergeCell ref="A369:A370"/>
    <mergeCell ref="B369:B370"/>
    <mergeCell ref="H153:H154"/>
    <mergeCell ref="H297:H298"/>
    <mergeCell ref="A155:A224"/>
    <mergeCell ref="A225:A226"/>
    <mergeCell ref="B225:B226"/>
    <mergeCell ref="C225:C226"/>
    <mergeCell ref="D225:D226"/>
    <mergeCell ref="E225:G225"/>
    <mergeCell ref="H225:H226"/>
    <mergeCell ref="E297:G297"/>
    <mergeCell ref="A227:A296"/>
    <mergeCell ref="A297:A298"/>
    <mergeCell ref="B297:B298"/>
    <mergeCell ref="D4:E4"/>
    <mergeCell ref="A7:C7"/>
    <mergeCell ref="A9:A10"/>
    <mergeCell ref="B9:B10"/>
    <mergeCell ref="C9:C10"/>
    <mergeCell ref="D9:D10"/>
    <mergeCell ref="E9:G9"/>
    <mergeCell ref="I801:I802"/>
    <mergeCell ref="A803:A872"/>
    <mergeCell ref="A801:A802"/>
    <mergeCell ref="B801:B802"/>
    <mergeCell ref="C801:C802"/>
    <mergeCell ref="D801:D802"/>
    <mergeCell ref="E801:G801"/>
    <mergeCell ref="H801:H802"/>
  </mergeCells>
  <hyperlinks>
    <hyperlink ref="A7:C7" location="'Índice Tablas '!A1" display="TABLA 5: COSTOS DIRECTOS DE CENTROS DE BENEFICIOS" xr:uid="{00000000-0004-0000-0600-000000000000}"/>
  </hyperlinks>
  <pageMargins left="0.7" right="0.7" top="0.75" bottom="0.75" header="0.3" footer="0.3"/>
  <ignoredErrors>
    <ignoredError sqref="G17:G37 E45:G45 E365:H379 H17:H154 E357:G364 H357:H364 H261:H264 E573:H573 F572:H572 G93 G92 G165:G170 G164 G237:G242 G236 G309:G315 G308 G381:H386 G380:H380 G453:H458 G452:H452 G525:H530 G524:H524 G597:H602 G596:H596 G669:H680 G668:H668 G741:H746 G740:H740 E768:H768 G761:H761 G762:H762 E183:G184 G177 E399:H400 G393:H393 E58:G91 E57 G57 E477:H480 G473:H473 G474:H474 E261:G261 G258 G257 E471:H472 G464:H464 E255:G256 G248 E117:G118 G113 G114 G102:G103 G100 G99 G101 E111:G112 G104 E120:G131 G119 G176 E322:G328 G320 G321 E542:H544 G536:H537 G392:H392 E615:H616 G608:H608 G609:H609 E619:H624 G617:H617 G618:H618 E686:H688 G681:H681 E759:H760 G753:H753 E189:G192 G186 G185 E331:G348 G330 G329 E408:H408 G402:H402 G401:H401 E549:H552 G546:H546 G545:H545 E703:H707 G690:H690 G689:H689 G605:H607 G604:H604 G603:H603 G533:H535 G532:H532 G531:H531 G461:H463 G459:H460 G389:H391 G387:H388 G245:G247 G244 G243 E587:H595 G173:G175 G171:G172 G682:H685 E54:G56 F50:G53 G94:G98 G105 G115:G116 G394:H395 G465:H469 G691:H696 E141:G141 G135 E512:H523 G510:H510 E48:G49 G47 G751:H752 G748:H748 G747:H747 E317:G319 G316 E225:G235 E224:F224 H156:H162 H225:H226 H193:H202 H204:H212 H214:H223 H185:H191 H229:H232 H234 H275:H295 H297:H356 G46 G106:G110 G132:G134 G136:G140 E148:G149 G142:G147 E152:G163 G150:G151 G178:G182 G187:G188 E203:G203 G193:G202 E213:G223 G204:G212 G249:G254 G259:G260 E264:G307 G262:G263 G396:H398 G403:H407 E419:H419 G409:H418 E429:H429 G420:H427 E437:H437 G430:H436 E440:H451 G438:H439 G470:H470 G475:H476 E491:H491 G481:H490 E501:H501 G492:H500 E509:H509 G502:H508 G511:H511 G538:H541 G547:H548 E563:H563 G553:H562 G564:H571 E580:H584 G574:H579 G610:H614 E635:H636 G625:H628 G629:H634 E645:H645 G637:H644 E653:H653 G646:H652 E656:H667 G654:H655 G697:H702 E717:H717 G708:H716 E724:H725 G718:H723 E728:H739 G726:H727 G749:H750 G754:H758 G763:H767 E779:H779 G769:H778 E789:H789 G780:H788 E796:H797 G790:H795 E800:H800 G798:H799 E585:G586 F428:H428" formula="1"/>
    <ignoredError sqref="E32:E33" unlockedFormula="1"/>
  </ignoredError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IH98"/>
  <sheetViews>
    <sheetView topLeftCell="D31" zoomScale="90" zoomScaleNormal="90" workbookViewId="0">
      <selection activeCell="M11" sqref="M11"/>
    </sheetView>
  </sheetViews>
  <sheetFormatPr baseColWidth="10" defaultColWidth="11.453125" defaultRowHeight="12.5" x14ac:dyDescent="0.25"/>
  <cols>
    <col min="1" max="1" width="7.1796875" style="597" customWidth="1"/>
    <col min="2" max="2" width="28" style="597" customWidth="1"/>
    <col min="3" max="3" width="28.7265625" style="597" customWidth="1"/>
    <col min="4" max="4" width="24.1796875" style="597" customWidth="1"/>
    <col min="5" max="5" width="31.1796875" style="597" customWidth="1"/>
    <col min="6" max="6" width="22.1796875" style="597" customWidth="1"/>
    <col min="7" max="7" width="14.81640625" style="597" customWidth="1"/>
    <col min="8" max="8" width="15" style="597" customWidth="1"/>
    <col min="9" max="9" width="15.1796875" style="597" customWidth="1"/>
    <col min="10" max="10" width="17.453125" style="597" customWidth="1"/>
    <col min="11" max="11" width="19.1796875" style="597" customWidth="1"/>
    <col min="12" max="12" width="4.81640625" style="597" customWidth="1"/>
    <col min="13" max="13" width="19.1796875" style="597" customWidth="1"/>
    <col min="14" max="14" width="16.1796875" style="597" customWidth="1"/>
    <col min="15" max="15" width="17.1796875" style="597" customWidth="1"/>
    <col min="16" max="16" width="14.81640625" style="597" customWidth="1"/>
    <col min="17" max="17" width="17.7265625" style="597" customWidth="1"/>
    <col min="18" max="18" width="17.1796875" style="597" customWidth="1"/>
    <col min="19" max="19" width="17.453125" style="597" customWidth="1"/>
    <col min="20" max="20" width="5" style="597" customWidth="1"/>
    <col min="21" max="21" width="19.81640625" style="597" bestFit="1" customWidth="1"/>
    <col min="22" max="22" width="52.1796875" style="597" bestFit="1" customWidth="1"/>
    <col min="23" max="23" width="18.26953125" style="597" customWidth="1"/>
    <col min="24" max="24" width="5.7265625" style="597" customWidth="1"/>
    <col min="25" max="25" width="11.453125" style="597" customWidth="1"/>
    <col min="26" max="31" width="14.26953125" style="597" customWidth="1"/>
    <col min="32" max="32" width="11.26953125" style="597" customWidth="1"/>
    <col min="33" max="38" width="14.26953125" style="597" customWidth="1"/>
    <col min="39" max="39" width="11.453125" style="597"/>
    <col min="40" max="45" width="14.26953125" style="597" customWidth="1"/>
    <col min="46" max="16384" width="11.453125" style="597"/>
  </cols>
  <sheetData>
    <row r="1" spans="1:242" s="595" customFormat="1" ht="13" x14ac:dyDescent="0.35">
      <c r="A1" s="879"/>
      <c r="B1" s="879"/>
      <c r="C1" s="879"/>
      <c r="D1" s="879"/>
      <c r="E1" s="880" t="s">
        <v>471</v>
      </c>
      <c r="F1" s="880"/>
      <c r="G1" s="880"/>
      <c r="H1" s="880"/>
      <c r="I1" s="880"/>
      <c r="J1" s="879"/>
      <c r="K1" s="879"/>
      <c r="L1" s="879"/>
      <c r="M1" s="879"/>
      <c r="N1" s="879"/>
      <c r="O1" s="879"/>
      <c r="P1" s="879"/>
      <c r="Q1" s="879"/>
      <c r="R1" s="879"/>
      <c r="S1" s="879"/>
      <c r="T1" s="879"/>
      <c r="U1" s="879"/>
      <c r="V1" s="879"/>
      <c r="W1" s="879"/>
      <c r="X1" s="879"/>
      <c r="Y1" s="879"/>
      <c r="Z1" s="879"/>
      <c r="AA1" s="879"/>
      <c r="AB1" s="879"/>
      <c r="AC1" s="879"/>
      <c r="AD1" s="879"/>
      <c r="AE1" s="879"/>
      <c r="AF1" s="879"/>
      <c r="AG1" s="879"/>
      <c r="AH1" s="879"/>
      <c r="AI1" s="879"/>
      <c r="AJ1" s="879"/>
      <c r="AK1" s="879"/>
      <c r="AL1" s="879"/>
      <c r="AM1" s="879"/>
      <c r="AN1" s="879"/>
      <c r="AO1" s="879"/>
      <c r="AP1" s="879"/>
      <c r="AQ1" s="879"/>
      <c r="AR1" s="879"/>
      <c r="AS1" s="879"/>
      <c r="AT1" s="879"/>
      <c r="AU1" s="879"/>
      <c r="AV1" s="879"/>
      <c r="AW1" s="879"/>
      <c r="AX1" s="879"/>
      <c r="AY1" s="879"/>
      <c r="AZ1" s="879"/>
      <c r="BA1" s="879"/>
      <c r="BB1" s="879"/>
      <c r="BC1" s="879"/>
      <c r="BD1" s="879"/>
      <c r="BE1" s="879"/>
      <c r="BF1" s="879"/>
      <c r="IG1" s="596"/>
      <c r="IH1" s="596"/>
    </row>
    <row r="2" spans="1:242" s="595" customFormat="1" ht="13" x14ac:dyDescent="0.35">
      <c r="A2" s="879"/>
      <c r="B2" s="879"/>
      <c r="C2" s="879"/>
      <c r="D2" s="879"/>
      <c r="E2" s="880" t="s">
        <v>472</v>
      </c>
      <c r="F2" s="880"/>
      <c r="G2" s="880"/>
      <c r="H2" s="880"/>
      <c r="I2" s="880"/>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c r="AN2" s="879"/>
      <c r="AO2" s="879"/>
      <c r="AP2" s="879"/>
      <c r="AQ2" s="879"/>
      <c r="AR2" s="879"/>
      <c r="AS2" s="879"/>
      <c r="AT2" s="879"/>
      <c r="AU2" s="879"/>
      <c r="AV2" s="879"/>
      <c r="AW2" s="879"/>
      <c r="AX2" s="879"/>
      <c r="AY2" s="879"/>
      <c r="AZ2" s="879"/>
      <c r="BA2" s="879"/>
      <c r="BB2" s="879"/>
      <c r="BC2" s="879"/>
      <c r="BD2" s="879"/>
      <c r="BE2" s="879"/>
      <c r="BF2" s="879"/>
      <c r="IG2" s="596"/>
      <c r="IH2" s="596"/>
    </row>
    <row r="3" spans="1:242" s="595" customFormat="1" ht="13" x14ac:dyDescent="0.35">
      <c r="A3" s="879"/>
      <c r="B3" s="881"/>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c r="AL3" s="879"/>
      <c r="AM3" s="879"/>
      <c r="AN3" s="879"/>
      <c r="AO3" s="879"/>
      <c r="AP3" s="879"/>
      <c r="AQ3" s="879"/>
      <c r="AR3" s="879"/>
      <c r="AS3" s="879"/>
      <c r="AT3" s="879"/>
      <c r="AU3" s="879"/>
      <c r="AV3" s="879"/>
      <c r="AW3" s="879"/>
      <c r="AX3" s="879"/>
      <c r="AY3" s="879"/>
      <c r="AZ3" s="879"/>
      <c r="BA3" s="879"/>
      <c r="BB3" s="879"/>
      <c r="BC3" s="879"/>
      <c r="BD3" s="879"/>
      <c r="BE3" s="879"/>
      <c r="BF3" s="879"/>
      <c r="HX3" s="596"/>
      <c r="HY3" s="596"/>
      <c r="HZ3" s="596"/>
      <c r="IA3" s="596"/>
      <c r="IB3" s="596"/>
      <c r="IC3" s="596"/>
    </row>
    <row r="4" spans="1:242" s="595" customFormat="1" ht="15.5" x14ac:dyDescent="0.35">
      <c r="A4" s="879"/>
      <c r="B4" s="881"/>
      <c r="C4" s="879"/>
      <c r="D4" s="882" t="s">
        <v>1</v>
      </c>
      <c r="E4" s="883" t="str">
        <f>+'[2]B) Reajuste Tarifas y Ocupación'!F5</f>
        <v>(DEPTO./DELEG.)</v>
      </c>
      <c r="F4" s="884"/>
      <c r="G4" s="885"/>
      <c r="H4" s="885"/>
      <c r="I4" s="885"/>
      <c r="J4" s="885"/>
      <c r="K4" s="879"/>
      <c r="L4" s="879"/>
      <c r="M4" s="879"/>
      <c r="N4" s="879"/>
      <c r="O4" s="886"/>
      <c r="P4" s="879"/>
      <c r="Q4" s="879"/>
      <c r="R4" s="879"/>
      <c r="S4" s="879"/>
      <c r="T4" s="879"/>
      <c r="U4" s="879"/>
      <c r="V4" s="879"/>
      <c r="W4" s="879"/>
      <c r="X4" s="879"/>
      <c r="Y4" s="879"/>
      <c r="Z4" s="879"/>
      <c r="AA4" s="879"/>
      <c r="AB4" s="879"/>
      <c r="AC4" s="879"/>
      <c r="AD4" s="879"/>
      <c r="AE4" s="879"/>
      <c r="AF4" s="879"/>
      <c r="AG4" s="879"/>
      <c r="AH4" s="879"/>
      <c r="AI4" s="879"/>
      <c r="AJ4" s="879"/>
      <c r="AK4" s="879"/>
      <c r="AL4" s="879"/>
      <c r="AM4" s="879"/>
      <c r="AN4" s="879"/>
      <c r="AO4" s="879"/>
      <c r="AP4" s="879"/>
      <c r="AQ4" s="879"/>
      <c r="AR4" s="879"/>
      <c r="AS4" s="879"/>
      <c r="AT4" s="879"/>
      <c r="AU4" s="879"/>
      <c r="AV4" s="879"/>
      <c r="AW4" s="879"/>
      <c r="AX4" s="879"/>
      <c r="AY4" s="879"/>
      <c r="AZ4" s="879"/>
      <c r="BA4" s="879"/>
      <c r="BB4" s="879"/>
      <c r="BC4" s="879"/>
      <c r="BD4" s="879"/>
      <c r="BE4" s="879"/>
      <c r="BF4" s="879"/>
      <c r="HX4" s="596"/>
      <c r="HY4" s="596"/>
      <c r="HZ4" s="596"/>
      <c r="IA4" s="596"/>
      <c r="IB4" s="596"/>
      <c r="IC4" s="596"/>
    </row>
    <row r="5" spans="1:242" s="595" customFormat="1" ht="14.5" x14ac:dyDescent="0.35">
      <c r="A5" s="879"/>
      <c r="B5" s="881"/>
      <c r="C5" s="879"/>
      <c r="D5" s="887"/>
      <c r="E5" s="880"/>
      <c r="F5" s="880"/>
      <c r="G5" s="880"/>
      <c r="H5" s="880"/>
      <c r="I5" s="880"/>
      <c r="J5" s="880"/>
      <c r="K5" s="879"/>
      <c r="L5" s="879"/>
      <c r="M5" s="879"/>
      <c r="N5" s="879"/>
      <c r="O5" s="886"/>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879"/>
      <c r="BF5" s="879"/>
      <c r="HX5" s="596"/>
      <c r="HY5" s="596"/>
      <c r="HZ5" s="596"/>
      <c r="IA5" s="596"/>
      <c r="IB5" s="596"/>
      <c r="IC5" s="596"/>
    </row>
    <row r="6" spans="1:242" s="595" customFormat="1" ht="15" thickBot="1" x14ac:dyDescent="0.4">
      <c r="A6" s="879"/>
      <c r="B6" s="881"/>
      <c r="C6" s="879"/>
      <c r="D6" s="887"/>
      <c r="E6" s="880"/>
      <c r="F6" s="880"/>
      <c r="G6" s="880"/>
      <c r="H6" s="880"/>
      <c r="I6" s="880"/>
      <c r="J6" s="880"/>
      <c r="K6" s="879"/>
      <c r="L6" s="879"/>
      <c r="M6" s="879"/>
      <c r="N6" s="879"/>
      <c r="O6" s="886"/>
      <c r="P6" s="879"/>
      <c r="Q6" s="879"/>
      <c r="R6" s="879"/>
      <c r="S6" s="879"/>
      <c r="T6" s="879"/>
      <c r="U6" s="879"/>
      <c r="W6" s="879"/>
      <c r="X6" s="879"/>
      <c r="Y6" s="879"/>
      <c r="Z6" s="879"/>
      <c r="AA6" s="879"/>
      <c r="AB6" s="879"/>
      <c r="AC6" s="879"/>
      <c r="AD6" s="879"/>
      <c r="AE6" s="879"/>
      <c r="AF6" s="879"/>
      <c r="AG6" s="879"/>
      <c r="AH6" s="879"/>
      <c r="AI6" s="879"/>
      <c r="AJ6" s="879"/>
      <c r="AK6" s="879"/>
      <c r="AL6" s="879"/>
      <c r="AM6" s="879"/>
      <c r="AN6" s="879"/>
      <c r="AO6" s="879"/>
      <c r="AP6" s="879"/>
      <c r="AQ6" s="879"/>
      <c r="AR6" s="879"/>
      <c r="AS6" s="879"/>
      <c r="AT6" s="879"/>
      <c r="AU6" s="879"/>
      <c r="AV6" s="879"/>
      <c r="AW6" s="879"/>
      <c r="HX6" s="596"/>
      <c r="HY6" s="596"/>
      <c r="HZ6" s="596"/>
      <c r="IA6" s="596"/>
      <c r="IB6" s="596"/>
      <c r="IC6" s="596"/>
    </row>
    <row r="7" spans="1:242" ht="13" x14ac:dyDescent="0.25">
      <c r="A7" s="888"/>
      <c r="B7" s="889"/>
      <c r="C7" s="889"/>
      <c r="D7" s="889"/>
      <c r="E7" s="889"/>
      <c r="F7" s="889"/>
      <c r="G7" s="889"/>
      <c r="H7" s="889"/>
      <c r="I7" s="889"/>
      <c r="J7" s="890"/>
      <c r="K7" s="890"/>
      <c r="L7" s="890"/>
      <c r="M7" s="890"/>
      <c r="N7" s="890"/>
      <c r="O7" s="890"/>
      <c r="P7" s="890"/>
      <c r="Q7" s="890"/>
      <c r="R7" s="890"/>
      <c r="S7" s="888"/>
      <c r="T7" s="888"/>
      <c r="U7" s="888"/>
      <c r="Y7" s="600"/>
      <c r="Z7" s="601"/>
      <c r="AA7" s="601"/>
      <c r="AB7" s="601"/>
      <c r="AC7" s="601"/>
      <c r="AD7" s="601"/>
      <c r="AE7" s="601"/>
      <c r="AF7" s="601"/>
      <c r="AG7" s="601"/>
      <c r="AH7" s="601"/>
      <c r="AI7" s="601"/>
      <c r="AJ7" s="601"/>
      <c r="AK7" s="601"/>
      <c r="AL7" s="601"/>
      <c r="AM7" s="601"/>
      <c r="AN7" s="601"/>
      <c r="AO7" s="601"/>
      <c r="AP7" s="601"/>
      <c r="AQ7" s="601"/>
      <c r="AR7" s="601"/>
      <c r="AS7" s="601"/>
      <c r="AT7" s="602"/>
    </row>
    <row r="8" spans="1:242" ht="13" x14ac:dyDescent="0.25">
      <c r="A8" s="888"/>
      <c r="B8" s="889"/>
      <c r="C8" s="889"/>
      <c r="D8" s="889"/>
      <c r="E8" s="889"/>
      <c r="F8" s="889"/>
      <c r="G8" s="889"/>
      <c r="H8" s="889"/>
      <c r="I8" s="889"/>
      <c r="J8" s="890"/>
      <c r="K8" s="890"/>
      <c r="L8" s="890"/>
      <c r="M8" s="599"/>
      <c r="N8" s="599"/>
      <c r="O8" s="599"/>
      <c r="P8" s="599"/>
      <c r="Q8" s="599"/>
      <c r="R8" s="599"/>
      <c r="Y8" s="603"/>
      <c r="AT8" s="604"/>
    </row>
    <row r="9" spans="1:242" ht="15.5" x14ac:dyDescent="0.25">
      <c r="A9" s="1354" t="s">
        <v>473</v>
      </c>
      <c r="B9" s="1354"/>
      <c r="C9" s="1354"/>
      <c r="D9" s="1354"/>
      <c r="E9" s="1354"/>
      <c r="F9" s="1354"/>
      <c r="G9" s="1354"/>
      <c r="H9" s="1354"/>
      <c r="I9" s="891"/>
      <c r="J9" s="891"/>
      <c r="K9" s="891"/>
      <c r="L9" s="891"/>
      <c r="M9" s="1353" t="s">
        <v>474</v>
      </c>
      <c r="N9" s="1353"/>
      <c r="O9" s="1353"/>
      <c r="P9" s="1353"/>
      <c r="Q9" s="1353"/>
      <c r="R9" s="1353"/>
      <c r="S9" s="1353"/>
      <c r="U9" s="1353" t="s">
        <v>475</v>
      </c>
      <c r="V9" s="1353"/>
      <c r="W9" s="1353"/>
      <c r="X9" s="893"/>
      <c r="Y9" s="892"/>
      <c r="Z9" s="1353" t="s">
        <v>476</v>
      </c>
      <c r="AA9" s="1353"/>
      <c r="AB9" s="1353"/>
      <c r="AC9" s="1353"/>
      <c r="AD9" s="1353"/>
      <c r="AE9" s="1353"/>
      <c r="AF9" s="893"/>
      <c r="AG9" s="1353" t="s">
        <v>477</v>
      </c>
      <c r="AH9" s="1353"/>
      <c r="AI9" s="1353"/>
      <c r="AJ9" s="1353"/>
      <c r="AK9" s="1353"/>
      <c r="AL9" s="1353"/>
      <c r="AN9" s="1353" t="s">
        <v>172</v>
      </c>
      <c r="AO9" s="1353"/>
      <c r="AP9" s="1353"/>
      <c r="AQ9" s="1353"/>
      <c r="AR9" s="1353"/>
      <c r="AS9" s="1353"/>
      <c r="AT9" s="604"/>
    </row>
    <row r="10" spans="1:242" ht="13" x14ac:dyDescent="0.25">
      <c r="A10" s="888"/>
      <c r="B10" s="881"/>
      <c r="C10" s="887"/>
      <c r="D10" s="887"/>
      <c r="E10" s="880"/>
      <c r="F10" s="880"/>
      <c r="G10" s="880"/>
      <c r="H10" s="880"/>
      <c r="I10" s="880"/>
      <c r="J10" s="880"/>
      <c r="K10" s="888"/>
      <c r="L10" s="888"/>
      <c r="M10" s="1353"/>
      <c r="N10" s="1353"/>
      <c r="O10" s="1353"/>
      <c r="P10" s="1353"/>
      <c r="Q10" s="1353"/>
      <c r="R10" s="1353"/>
      <c r="S10" s="1353"/>
      <c r="U10" s="1353"/>
      <c r="V10" s="1353"/>
      <c r="W10" s="1353"/>
      <c r="X10" s="888"/>
      <c r="Y10" s="603"/>
      <c r="Z10" s="1353"/>
      <c r="AA10" s="1353"/>
      <c r="AB10" s="1353"/>
      <c r="AC10" s="1353"/>
      <c r="AD10" s="1353"/>
      <c r="AE10" s="1353"/>
      <c r="AG10" s="1353"/>
      <c r="AH10" s="1353"/>
      <c r="AI10" s="1353"/>
      <c r="AJ10" s="1353"/>
      <c r="AK10" s="1353"/>
      <c r="AL10" s="1353"/>
      <c r="AN10" s="1353"/>
      <c r="AO10" s="1353"/>
      <c r="AP10" s="1353"/>
      <c r="AQ10" s="1353"/>
      <c r="AR10" s="1353"/>
      <c r="AS10" s="1353"/>
      <c r="AT10" s="604"/>
    </row>
    <row r="11" spans="1:242" ht="13" x14ac:dyDescent="0.25">
      <c r="J11" s="605" t="s">
        <v>55</v>
      </c>
      <c r="K11" s="606">
        <v>4.4999999999999998E-2</v>
      </c>
      <c r="Y11" s="603"/>
      <c r="AT11" s="604"/>
    </row>
    <row r="12" spans="1:242" ht="13.5" thickBot="1" x14ac:dyDescent="0.3">
      <c r="M12" s="1380"/>
      <c r="N12" s="1380"/>
      <c r="O12" s="1380"/>
      <c r="P12" s="1380"/>
      <c r="Q12" s="1380"/>
      <c r="R12" s="1380"/>
      <c r="Y12" s="603"/>
      <c r="AT12" s="604"/>
    </row>
    <row r="13" spans="1:242" ht="14" x14ac:dyDescent="0.25">
      <c r="A13" s="1365" t="s">
        <v>173</v>
      </c>
      <c r="B13" s="1366"/>
      <c r="C13" s="1369" t="s">
        <v>174</v>
      </c>
      <c r="D13" s="1369" t="s">
        <v>175</v>
      </c>
      <c r="E13" s="1371" t="s">
        <v>176</v>
      </c>
      <c r="F13" s="1373" t="s">
        <v>25</v>
      </c>
      <c r="G13" s="1355" t="s">
        <v>489</v>
      </c>
      <c r="H13" s="1356"/>
      <c r="I13" s="1356"/>
      <c r="J13" s="1357"/>
      <c r="K13" s="1358" t="s">
        <v>490</v>
      </c>
      <c r="L13" s="599"/>
      <c r="M13" s="1360" t="s">
        <v>177</v>
      </c>
      <c r="N13" s="1361"/>
      <c r="O13" s="1362" t="s">
        <v>178</v>
      </c>
      <c r="P13" s="1363"/>
      <c r="Q13" s="1364" t="s">
        <v>179</v>
      </c>
      <c r="R13" s="1364"/>
      <c r="S13" s="1381" t="s">
        <v>180</v>
      </c>
      <c r="U13" s="1383" t="s">
        <v>90</v>
      </c>
      <c r="V13" s="1385" t="s">
        <v>91</v>
      </c>
      <c r="W13" s="1387" t="s">
        <v>499</v>
      </c>
      <c r="Y13" s="603"/>
      <c r="Z13" s="1378" t="s">
        <v>177</v>
      </c>
      <c r="AA13" s="1379"/>
      <c r="AB13" s="1405" t="s">
        <v>178</v>
      </c>
      <c r="AC13" s="1406"/>
      <c r="AD13" s="1407" t="s">
        <v>179</v>
      </c>
      <c r="AE13" s="1408"/>
      <c r="AG13" s="1360" t="s">
        <v>177</v>
      </c>
      <c r="AH13" s="1377"/>
      <c r="AI13" s="1362" t="s">
        <v>178</v>
      </c>
      <c r="AJ13" s="1363"/>
      <c r="AK13" s="1375" t="s">
        <v>179</v>
      </c>
      <c r="AL13" s="1376"/>
      <c r="AN13" s="1360" t="s">
        <v>177</v>
      </c>
      <c r="AO13" s="1377"/>
      <c r="AP13" s="1362" t="s">
        <v>178</v>
      </c>
      <c r="AQ13" s="1363"/>
      <c r="AR13" s="1375" t="s">
        <v>179</v>
      </c>
      <c r="AS13" s="1376"/>
      <c r="AT13" s="604"/>
    </row>
    <row r="14" spans="1:242" ht="39.5" thickBot="1" x14ac:dyDescent="0.3">
      <c r="A14" s="1367"/>
      <c r="B14" s="1368"/>
      <c r="C14" s="1370"/>
      <c r="D14" s="1370"/>
      <c r="E14" s="1372"/>
      <c r="F14" s="1374"/>
      <c r="G14" s="607" t="s">
        <v>478</v>
      </c>
      <c r="H14" s="608" t="s">
        <v>181</v>
      </c>
      <c r="I14" s="608" t="s">
        <v>182</v>
      </c>
      <c r="J14" s="609" t="s">
        <v>495</v>
      </c>
      <c r="K14" s="1359"/>
      <c r="L14" s="599"/>
      <c r="M14" s="610" t="s">
        <v>183</v>
      </c>
      <c r="N14" s="611" t="s">
        <v>184</v>
      </c>
      <c r="O14" s="612" t="s">
        <v>183</v>
      </c>
      <c r="P14" s="613" t="s">
        <v>184</v>
      </c>
      <c r="Q14" s="614" t="s">
        <v>183</v>
      </c>
      <c r="R14" s="615" t="s">
        <v>184</v>
      </c>
      <c r="S14" s="1382"/>
      <c r="U14" s="1384"/>
      <c r="V14" s="1386"/>
      <c r="W14" s="1387"/>
      <c r="Y14" s="603"/>
      <c r="Z14" s="610" t="s">
        <v>183</v>
      </c>
      <c r="AA14" s="611" t="s">
        <v>184</v>
      </c>
      <c r="AB14" s="612" t="s">
        <v>183</v>
      </c>
      <c r="AC14" s="613" t="s">
        <v>184</v>
      </c>
      <c r="AD14" s="614" t="s">
        <v>183</v>
      </c>
      <c r="AE14" s="616" t="s">
        <v>184</v>
      </c>
      <c r="AG14" s="617" t="s">
        <v>183</v>
      </c>
      <c r="AH14" s="618" t="s">
        <v>184</v>
      </c>
      <c r="AI14" s="619" t="s">
        <v>183</v>
      </c>
      <c r="AJ14" s="620" t="s">
        <v>184</v>
      </c>
      <c r="AK14" s="621" t="s">
        <v>183</v>
      </c>
      <c r="AL14" s="622" t="s">
        <v>184</v>
      </c>
      <c r="AN14" s="1397" t="s">
        <v>185</v>
      </c>
      <c r="AO14" s="1398"/>
      <c r="AP14" s="1399" t="s">
        <v>185</v>
      </c>
      <c r="AQ14" s="1400"/>
      <c r="AR14" s="1401" t="s">
        <v>186</v>
      </c>
      <c r="AS14" s="1402"/>
      <c r="AT14" s="604"/>
    </row>
    <row r="15" spans="1:242" ht="15" thickBot="1" x14ac:dyDescent="0.3">
      <c r="A15" s="1391" t="s">
        <v>187</v>
      </c>
      <c r="B15" s="1394" t="s">
        <v>188</v>
      </c>
      <c r="C15" s="623" t="s">
        <v>351</v>
      </c>
      <c r="D15" s="624" t="s">
        <v>352</v>
      </c>
      <c r="E15" s="625" t="s">
        <v>345</v>
      </c>
      <c r="F15" s="626" t="s">
        <v>350</v>
      </c>
      <c r="G15" s="1132">
        <v>17736407</v>
      </c>
      <c r="H15" s="1133">
        <v>159742</v>
      </c>
      <c r="I15" s="1134">
        <v>157184</v>
      </c>
      <c r="J15" s="629">
        <f>SUM(G15:I15)</f>
        <v>18053333</v>
      </c>
      <c r="K15" s="630">
        <f t="shared" ref="K15:K61" si="0">+J15*(1+$K$11)</f>
        <v>18865732.984999999</v>
      </c>
      <c r="L15" s="599"/>
      <c r="M15" s="631">
        <v>0.13</v>
      </c>
      <c r="N15" s="632">
        <f t="shared" ref="N15:N43" si="1">+$K15*M15</f>
        <v>2452545.2880500001</v>
      </c>
      <c r="O15" s="963">
        <v>0.03</v>
      </c>
      <c r="P15" s="633">
        <f t="shared" ref="P15:P61" si="2">+$K15*O15</f>
        <v>565971.98954999994</v>
      </c>
      <c r="Q15" s="965">
        <v>0.84</v>
      </c>
      <c r="R15" s="632">
        <f t="shared" ref="R15:R61" si="3">+$K15*Q15</f>
        <v>15847215.7074</v>
      </c>
      <c r="S15" s="634">
        <f t="shared" ref="S15:S43" si="4">+M15+O15+Q15</f>
        <v>1</v>
      </c>
      <c r="U15" s="635"/>
      <c r="V15" s="636" t="s">
        <v>98</v>
      </c>
      <c r="W15" s="637">
        <f>SUM(W16,W20)</f>
        <v>47290874.584999993</v>
      </c>
      <c r="Y15" s="603"/>
      <c r="Z15" s="638">
        <f>+M62</f>
        <v>0.32176618788206579</v>
      </c>
      <c r="AA15" s="639">
        <f>+N62</f>
        <v>104057293.74034169</v>
      </c>
      <c r="AB15" s="638">
        <f t="shared" ref="AB15:AE15" si="5">+O62</f>
        <v>9.6606988375987246E-2</v>
      </c>
      <c r="AC15" s="640">
        <f t="shared" si="5"/>
        <v>31242132.161177848</v>
      </c>
      <c r="AD15" s="641">
        <f t="shared" si="5"/>
        <v>0.58162682374194707</v>
      </c>
      <c r="AE15" s="640">
        <f t="shared" si="5"/>
        <v>188094695.85275546</v>
      </c>
      <c r="AG15" s="642">
        <f>+Z15</f>
        <v>0.32176618788206579</v>
      </c>
      <c r="AH15" s="643">
        <f>+AG15*W80</f>
        <v>26136608.073770903</v>
      </c>
      <c r="AI15" s="644">
        <f>+AB15</f>
        <v>9.6606988375987246E-2</v>
      </c>
      <c r="AJ15" s="643">
        <f>+AI15*W80</f>
        <v>7847247.7452975232</v>
      </c>
      <c r="AK15" s="645">
        <f>+AD15</f>
        <v>0.58162682374194707</v>
      </c>
      <c r="AL15" s="646">
        <f>+AK15*W80</f>
        <v>47244716.535931572</v>
      </c>
      <c r="AN15" s="1403">
        <f>+AH15+AA15+K84</f>
        <v>164835666.15411261</v>
      </c>
      <c r="AO15" s="1404"/>
      <c r="AP15" s="1403">
        <f>+AJ15+AC15+K70</f>
        <v>39089379.906475373</v>
      </c>
      <c r="AQ15" s="1404"/>
      <c r="AR15" s="1403">
        <f>+AL15+AE15+K77</f>
        <v>235339412.38868701</v>
      </c>
      <c r="AS15" s="1404"/>
      <c r="AT15" s="604"/>
    </row>
    <row r="16" spans="1:242" ht="14.5" x14ac:dyDescent="0.25">
      <c r="A16" s="1392"/>
      <c r="B16" s="1395"/>
      <c r="C16" s="647" t="s">
        <v>353</v>
      </c>
      <c r="D16" s="648" t="s">
        <v>354</v>
      </c>
      <c r="E16" s="649" t="s">
        <v>346</v>
      </c>
      <c r="F16" s="650" t="s">
        <v>350</v>
      </c>
      <c r="G16" s="1135">
        <v>12634157.75</v>
      </c>
      <c r="H16" s="1136">
        <v>159742</v>
      </c>
      <c r="I16" s="1137">
        <v>157184</v>
      </c>
      <c r="J16" s="654">
        <f t="shared" ref="J16:J39" si="6">SUM(G16:I16)</f>
        <v>12951083.75</v>
      </c>
      <c r="K16" s="655">
        <f t="shared" si="0"/>
        <v>13533882.518749999</v>
      </c>
      <c r="L16" s="599"/>
      <c r="M16" s="656">
        <v>0.44800000000000001</v>
      </c>
      <c r="N16" s="657">
        <f t="shared" si="1"/>
        <v>6063179.3684</v>
      </c>
      <c r="O16" s="962">
        <v>8.5999999999999993E-2</v>
      </c>
      <c r="P16" s="658">
        <f t="shared" si="2"/>
        <v>1163913.8966124998</v>
      </c>
      <c r="Q16" s="966">
        <v>0.46600000000000003</v>
      </c>
      <c r="R16" s="657">
        <f t="shared" si="3"/>
        <v>6306789.2537374999</v>
      </c>
      <c r="S16" s="660">
        <f t="shared" si="4"/>
        <v>1</v>
      </c>
      <c r="U16" s="661"/>
      <c r="V16" s="662" t="s">
        <v>99</v>
      </c>
      <c r="W16" s="663">
        <f>SUM(W17:W19)</f>
        <v>1500000</v>
      </c>
      <c r="Y16" s="603"/>
      <c r="AT16" s="604"/>
    </row>
    <row r="17" spans="1:46" ht="14.5" x14ac:dyDescent="0.25">
      <c r="A17" s="1392"/>
      <c r="B17" s="1395"/>
      <c r="C17" s="647" t="s">
        <v>355</v>
      </c>
      <c r="D17" s="648" t="s">
        <v>356</v>
      </c>
      <c r="E17" s="649" t="s">
        <v>347</v>
      </c>
      <c r="F17" s="650" t="s">
        <v>350</v>
      </c>
      <c r="G17" s="1135">
        <v>14005972.75</v>
      </c>
      <c r="H17" s="1136">
        <v>159742</v>
      </c>
      <c r="I17" s="1137">
        <v>160844</v>
      </c>
      <c r="J17" s="654">
        <f t="shared" si="6"/>
        <v>14326558.75</v>
      </c>
      <c r="K17" s="655">
        <f t="shared" si="0"/>
        <v>14971253.893749999</v>
      </c>
      <c r="L17" s="599"/>
      <c r="M17" s="656">
        <v>0.13</v>
      </c>
      <c r="N17" s="657">
        <f t="shared" si="1"/>
        <v>1946263.0061875</v>
      </c>
      <c r="O17" s="962">
        <v>0.03</v>
      </c>
      <c r="P17" s="658">
        <f t="shared" si="2"/>
        <v>449137.61681249994</v>
      </c>
      <c r="Q17" s="966">
        <v>0.84</v>
      </c>
      <c r="R17" s="657">
        <f t="shared" si="3"/>
        <v>12575853.270749999</v>
      </c>
      <c r="S17" s="660">
        <f t="shared" si="4"/>
        <v>1</v>
      </c>
      <c r="U17" s="664">
        <v>53103050000000</v>
      </c>
      <c r="V17" s="665" t="s">
        <v>101</v>
      </c>
      <c r="W17" s="666">
        <v>0</v>
      </c>
      <c r="Y17" s="603"/>
      <c r="AT17" s="604"/>
    </row>
    <row r="18" spans="1:46" ht="15" thickBot="1" x14ac:dyDescent="0.3">
      <c r="A18" s="1392"/>
      <c r="B18" s="1395"/>
      <c r="C18" s="647" t="s">
        <v>357</v>
      </c>
      <c r="D18" s="648" t="s">
        <v>358</v>
      </c>
      <c r="E18" s="649" t="s">
        <v>346</v>
      </c>
      <c r="F18" s="650" t="s">
        <v>350</v>
      </c>
      <c r="G18" s="1135">
        <v>10595717.875</v>
      </c>
      <c r="H18" s="1136">
        <v>159742</v>
      </c>
      <c r="I18" s="1137">
        <v>160844</v>
      </c>
      <c r="J18" s="654">
        <f t="shared" si="6"/>
        <v>10916303.875</v>
      </c>
      <c r="K18" s="655">
        <f t="shared" si="0"/>
        <v>11407537.549374999</v>
      </c>
      <c r="L18" s="599"/>
      <c r="M18" s="656">
        <v>0.26</v>
      </c>
      <c r="N18" s="657">
        <f t="shared" si="1"/>
        <v>2965959.7628374998</v>
      </c>
      <c r="O18" s="962">
        <v>0.309</v>
      </c>
      <c r="P18" s="658">
        <f t="shared" si="2"/>
        <v>3524929.1027568746</v>
      </c>
      <c r="Q18" s="966">
        <v>0.43099999999999999</v>
      </c>
      <c r="R18" s="657">
        <f t="shared" si="3"/>
        <v>4916648.6837806245</v>
      </c>
      <c r="S18" s="660">
        <f t="shared" si="4"/>
        <v>1</v>
      </c>
      <c r="U18" s="664">
        <v>53103060000000</v>
      </c>
      <c r="V18" s="665" t="s">
        <v>102</v>
      </c>
      <c r="W18" s="666">
        <v>1500000</v>
      </c>
      <c r="Y18" s="667"/>
      <c r="Z18" s="668"/>
      <c r="AA18" s="668"/>
      <c r="AB18" s="668"/>
      <c r="AC18" s="668"/>
      <c r="AD18" s="668"/>
      <c r="AE18" s="668"/>
      <c r="AF18" s="668"/>
      <c r="AG18" s="668"/>
      <c r="AH18" s="668"/>
      <c r="AI18" s="668"/>
      <c r="AJ18" s="668"/>
      <c r="AK18" s="668"/>
      <c r="AL18" s="668"/>
      <c r="AM18" s="668"/>
      <c r="AN18" s="668"/>
      <c r="AO18" s="668"/>
      <c r="AP18" s="668"/>
      <c r="AQ18" s="668"/>
      <c r="AR18" s="668"/>
      <c r="AS18" s="668"/>
      <c r="AT18" s="669"/>
    </row>
    <row r="19" spans="1:46" ht="14.5" x14ac:dyDescent="0.25">
      <c r="A19" s="1392"/>
      <c r="B19" s="1395"/>
      <c r="C19" s="647" t="s">
        <v>359</v>
      </c>
      <c r="D19" s="648" t="s">
        <v>360</v>
      </c>
      <c r="E19" s="649" t="s">
        <v>349</v>
      </c>
      <c r="F19" s="650" t="s">
        <v>350</v>
      </c>
      <c r="G19" s="1135">
        <v>13863517.625</v>
      </c>
      <c r="H19" s="1136">
        <v>159742</v>
      </c>
      <c r="I19" s="1137">
        <v>157184</v>
      </c>
      <c r="J19" s="654">
        <f t="shared" si="6"/>
        <v>14180443.625</v>
      </c>
      <c r="K19" s="655">
        <f t="shared" si="0"/>
        <v>14818563.588125</v>
      </c>
      <c r="L19" s="599"/>
      <c r="M19" s="656">
        <v>0.33</v>
      </c>
      <c r="N19" s="657">
        <f t="shared" si="1"/>
        <v>4890125.9840812506</v>
      </c>
      <c r="O19" s="962">
        <v>0.12</v>
      </c>
      <c r="P19" s="658">
        <f t="shared" si="2"/>
        <v>1778227.6305749998</v>
      </c>
      <c r="Q19" s="966">
        <v>0.55000000000000004</v>
      </c>
      <c r="R19" s="657">
        <f t="shared" si="3"/>
        <v>8150209.9734687507</v>
      </c>
      <c r="S19" s="660">
        <f t="shared" si="4"/>
        <v>1</v>
      </c>
      <c r="U19" s="664">
        <v>53103080010000</v>
      </c>
      <c r="V19" s="665" t="s">
        <v>103</v>
      </c>
      <c r="W19" s="666">
        <v>0</v>
      </c>
    </row>
    <row r="20" spans="1:46" ht="14.5" x14ac:dyDescent="0.25">
      <c r="A20" s="1392"/>
      <c r="B20" s="1395"/>
      <c r="C20" s="647" t="s">
        <v>502</v>
      </c>
      <c r="D20" s="648" t="s">
        <v>503</v>
      </c>
      <c r="E20" s="649" t="s">
        <v>371</v>
      </c>
      <c r="F20" s="650" t="s">
        <v>350</v>
      </c>
      <c r="G20" s="1135">
        <v>11295471.875</v>
      </c>
      <c r="H20" s="1136">
        <v>159742</v>
      </c>
      <c r="I20" s="1137">
        <v>160844</v>
      </c>
      <c r="J20" s="654">
        <f t="shared" si="6"/>
        <v>11616057.875</v>
      </c>
      <c r="K20" s="655">
        <f t="shared" si="0"/>
        <v>12138780.479374999</v>
      </c>
      <c r="L20" s="599"/>
      <c r="M20" s="656">
        <v>0.56000000000000005</v>
      </c>
      <c r="N20" s="657">
        <f t="shared" si="1"/>
        <v>6797717.0684500001</v>
      </c>
      <c r="O20" s="962">
        <v>0.27</v>
      </c>
      <c r="P20" s="658">
        <f t="shared" si="2"/>
        <v>3277470.7294312501</v>
      </c>
      <c r="Q20" s="966">
        <v>0.17</v>
      </c>
      <c r="R20" s="657">
        <f t="shared" si="3"/>
        <v>2063592.6814937501</v>
      </c>
      <c r="S20" s="660">
        <f t="shared" si="4"/>
        <v>1</v>
      </c>
      <c r="U20" s="661"/>
      <c r="V20" s="662" t="s">
        <v>106</v>
      </c>
      <c r="W20" s="670">
        <f>SUM(W21:W39)</f>
        <v>45790874.584999993</v>
      </c>
    </row>
    <row r="21" spans="1:46" ht="14.5" x14ac:dyDescent="0.25">
      <c r="A21" s="1392"/>
      <c r="B21" s="1395"/>
      <c r="C21" s="960" t="s">
        <v>369</v>
      </c>
      <c r="D21" s="648" t="s">
        <v>370</v>
      </c>
      <c r="E21" s="649" t="s">
        <v>371</v>
      </c>
      <c r="F21" s="650" t="s">
        <v>350</v>
      </c>
      <c r="G21" s="1135">
        <v>12931729.25</v>
      </c>
      <c r="H21" s="1136">
        <v>159742</v>
      </c>
      <c r="I21" s="1137">
        <v>160844</v>
      </c>
      <c r="J21" s="654">
        <f t="shared" si="6"/>
        <v>13252315.25</v>
      </c>
      <c r="K21" s="655">
        <f t="shared" si="0"/>
        <v>13848669.436249999</v>
      </c>
      <c r="L21" s="599"/>
      <c r="M21" s="656">
        <v>0.56000000000000005</v>
      </c>
      <c r="N21" s="657">
        <f t="shared" si="1"/>
        <v>7755254.8843</v>
      </c>
      <c r="O21" s="962">
        <v>0.27</v>
      </c>
      <c r="P21" s="658">
        <f t="shared" si="2"/>
        <v>3739140.7477875003</v>
      </c>
      <c r="Q21" s="966">
        <v>0.17</v>
      </c>
      <c r="R21" s="657">
        <f t="shared" si="3"/>
        <v>2354273.8041625</v>
      </c>
      <c r="S21" s="660">
        <f t="shared" si="4"/>
        <v>1</v>
      </c>
      <c r="U21" s="664">
        <v>53201010100000</v>
      </c>
      <c r="V21" s="665" t="s">
        <v>107</v>
      </c>
      <c r="W21" s="969">
        <v>10928230.635</v>
      </c>
    </row>
    <row r="22" spans="1:46" ht="14.5" x14ac:dyDescent="0.25">
      <c r="A22" s="1392"/>
      <c r="B22" s="1395"/>
      <c r="C22" s="961" t="s">
        <v>393</v>
      </c>
      <c r="D22" s="702" t="s">
        <v>504</v>
      </c>
      <c r="E22" s="703" t="s">
        <v>505</v>
      </c>
      <c r="F22" s="704" t="s">
        <v>350</v>
      </c>
      <c r="G22" s="1138">
        <f>1200000*12*1.035</f>
        <v>14903999.999999998</v>
      </c>
      <c r="H22" s="1139">
        <v>159742</v>
      </c>
      <c r="I22" s="1137">
        <v>157184</v>
      </c>
      <c r="J22" s="654">
        <f t="shared" si="6"/>
        <v>15220925.999999998</v>
      </c>
      <c r="K22" s="655">
        <f t="shared" si="0"/>
        <v>15905867.669999996</v>
      </c>
      <c r="L22" s="599"/>
      <c r="M22" s="656">
        <v>0.13</v>
      </c>
      <c r="N22" s="657">
        <f t="shared" si="1"/>
        <v>2067762.7970999996</v>
      </c>
      <c r="O22" s="962">
        <v>0.03</v>
      </c>
      <c r="P22" s="658">
        <f t="shared" si="2"/>
        <v>477176.03009999986</v>
      </c>
      <c r="Q22" s="966">
        <v>0.84</v>
      </c>
      <c r="R22" s="657">
        <f t="shared" si="3"/>
        <v>13360928.842799997</v>
      </c>
      <c r="S22" s="660">
        <f t="shared" si="4"/>
        <v>1</v>
      </c>
      <c r="U22" s="664">
        <v>53202010100000</v>
      </c>
      <c r="V22" s="665" t="s">
        <v>108</v>
      </c>
      <c r="W22" s="969">
        <v>0</v>
      </c>
    </row>
    <row r="23" spans="1:46" ht="14.5" x14ac:dyDescent="0.25">
      <c r="A23" s="1392"/>
      <c r="B23" s="1395"/>
      <c r="C23" s="960" t="s">
        <v>393</v>
      </c>
      <c r="D23" s="648" t="s">
        <v>504</v>
      </c>
      <c r="E23" s="649" t="s">
        <v>505</v>
      </c>
      <c r="F23" s="650" t="s">
        <v>350</v>
      </c>
      <c r="G23" s="1135">
        <f>1200000*12*1.035</f>
        <v>14903999.999999998</v>
      </c>
      <c r="H23" s="1136">
        <v>159742</v>
      </c>
      <c r="I23" s="1137">
        <v>157184</v>
      </c>
      <c r="J23" s="654">
        <f t="shared" si="6"/>
        <v>15220925.999999998</v>
      </c>
      <c r="K23" s="655">
        <f t="shared" si="0"/>
        <v>15905867.669999996</v>
      </c>
      <c r="L23" s="599"/>
      <c r="M23" s="656">
        <v>0.93799999999999994</v>
      </c>
      <c r="N23" s="657">
        <f t="shared" si="1"/>
        <v>14919703.874459995</v>
      </c>
      <c r="O23" s="962">
        <v>1.2E-2</v>
      </c>
      <c r="P23" s="658">
        <f t="shared" si="2"/>
        <v>190870.41203999997</v>
      </c>
      <c r="Q23" s="966">
        <v>0.05</v>
      </c>
      <c r="R23" s="657">
        <f t="shared" si="3"/>
        <v>795293.38349999988</v>
      </c>
      <c r="S23" s="660">
        <f t="shared" si="4"/>
        <v>1</v>
      </c>
      <c r="U23" s="664">
        <v>53203010100000</v>
      </c>
      <c r="V23" s="665" t="s">
        <v>109</v>
      </c>
      <c r="W23" s="969">
        <v>3719084.145</v>
      </c>
    </row>
    <row r="24" spans="1:46" ht="15" thickBot="1" x14ac:dyDescent="0.3">
      <c r="A24" s="1392"/>
      <c r="B24" s="1396"/>
      <c r="C24" s="671"/>
      <c r="D24" s="672"/>
      <c r="E24" s="673"/>
      <c r="F24" s="674"/>
      <c r="G24" s="675"/>
      <c r="H24" s="676"/>
      <c r="I24" s="677"/>
      <c r="J24" s="678">
        <f t="shared" si="6"/>
        <v>0</v>
      </c>
      <c r="K24" s="679">
        <f t="shared" si="0"/>
        <v>0</v>
      </c>
      <c r="L24" s="599"/>
      <c r="M24" s="680">
        <v>0</v>
      </c>
      <c r="N24" s="681">
        <f t="shared" si="1"/>
        <v>0</v>
      </c>
      <c r="O24" s="964">
        <v>0</v>
      </c>
      <c r="P24" s="682">
        <f t="shared" si="2"/>
        <v>0</v>
      </c>
      <c r="Q24" s="967">
        <v>0</v>
      </c>
      <c r="R24" s="681">
        <f t="shared" si="3"/>
        <v>0</v>
      </c>
      <c r="S24" s="684">
        <f t="shared" si="4"/>
        <v>0</v>
      </c>
      <c r="U24" s="664">
        <v>53203030000000</v>
      </c>
      <c r="V24" s="665" t="s">
        <v>110</v>
      </c>
      <c r="W24" s="969">
        <v>0</v>
      </c>
    </row>
    <row r="25" spans="1:46" ht="14.5" x14ac:dyDescent="0.25">
      <c r="A25" s="1392"/>
      <c r="B25" s="1394" t="s">
        <v>189</v>
      </c>
      <c r="C25" s="647" t="s">
        <v>506</v>
      </c>
      <c r="D25" s="648" t="s">
        <v>507</v>
      </c>
      <c r="E25" s="625" t="s">
        <v>367</v>
      </c>
      <c r="F25" s="626" t="s">
        <v>350</v>
      </c>
      <c r="G25" s="1138">
        <v>12429714.045000002</v>
      </c>
      <c r="H25" s="1139">
        <v>159742</v>
      </c>
      <c r="I25" s="1140">
        <v>160844</v>
      </c>
      <c r="J25" s="629">
        <f t="shared" si="6"/>
        <v>12750300.045000002</v>
      </c>
      <c r="K25" s="630">
        <f t="shared" si="0"/>
        <v>13324063.547025001</v>
      </c>
      <c r="L25" s="599"/>
      <c r="M25" s="631">
        <v>0.308</v>
      </c>
      <c r="N25" s="632">
        <f t="shared" si="1"/>
        <v>4103811.5724837002</v>
      </c>
      <c r="O25" s="963">
        <v>0.109</v>
      </c>
      <c r="P25" s="633">
        <f t="shared" si="2"/>
        <v>1452322.9266257251</v>
      </c>
      <c r="Q25" s="965">
        <v>0.58299999999999996</v>
      </c>
      <c r="R25" s="632">
        <f t="shared" si="3"/>
        <v>7767929.0479155751</v>
      </c>
      <c r="S25" s="634">
        <f t="shared" si="4"/>
        <v>1</v>
      </c>
      <c r="U25" s="664">
        <v>53204030000000</v>
      </c>
      <c r="V25" s="665" t="s">
        <v>111</v>
      </c>
      <c r="W25" s="969">
        <v>0</v>
      </c>
    </row>
    <row r="26" spans="1:46" ht="14.5" x14ac:dyDescent="0.25">
      <c r="A26" s="1392"/>
      <c r="B26" s="1395"/>
      <c r="C26" s="647" t="s">
        <v>361</v>
      </c>
      <c r="D26" s="648" t="s">
        <v>364</v>
      </c>
      <c r="E26" s="649" t="s">
        <v>368</v>
      </c>
      <c r="F26" s="650" t="s">
        <v>350</v>
      </c>
      <c r="G26" s="1135">
        <v>25803281.25</v>
      </c>
      <c r="H26" s="1136">
        <v>159742</v>
      </c>
      <c r="I26" s="1141">
        <v>157184</v>
      </c>
      <c r="J26" s="654">
        <f t="shared" si="6"/>
        <v>26120207.25</v>
      </c>
      <c r="K26" s="655">
        <f t="shared" si="0"/>
        <v>27295616.576249998</v>
      </c>
      <c r="L26" s="599"/>
      <c r="M26" s="656">
        <v>0.308</v>
      </c>
      <c r="N26" s="657">
        <f t="shared" si="1"/>
        <v>8407049.9054849986</v>
      </c>
      <c r="O26" s="962">
        <v>0.109</v>
      </c>
      <c r="P26" s="658">
        <f t="shared" si="2"/>
        <v>2975222.2068112497</v>
      </c>
      <c r="Q26" s="966">
        <v>0.58299999999999996</v>
      </c>
      <c r="R26" s="657">
        <f t="shared" si="3"/>
        <v>15913344.463953748</v>
      </c>
      <c r="S26" s="660">
        <f t="shared" si="4"/>
        <v>1</v>
      </c>
      <c r="U26" s="664">
        <v>53204100100001</v>
      </c>
      <c r="V26" s="665" t="s">
        <v>112</v>
      </c>
      <c r="W26" s="969">
        <v>7118602.1550000003</v>
      </c>
    </row>
    <row r="27" spans="1:46" ht="14.5" x14ac:dyDescent="0.25">
      <c r="A27" s="1392"/>
      <c r="B27" s="1395"/>
      <c r="C27" s="647" t="s">
        <v>362</v>
      </c>
      <c r="D27" s="648" t="s">
        <v>365</v>
      </c>
      <c r="E27" s="649" t="s">
        <v>367</v>
      </c>
      <c r="F27" s="650" t="s">
        <v>350</v>
      </c>
      <c r="G27" s="1135">
        <v>19468984.875</v>
      </c>
      <c r="H27" s="1136">
        <v>159742</v>
      </c>
      <c r="I27" s="1141">
        <v>157184</v>
      </c>
      <c r="J27" s="654">
        <f t="shared" si="6"/>
        <v>19785910.875</v>
      </c>
      <c r="K27" s="655">
        <f t="shared" si="0"/>
        <v>20676276.864374999</v>
      </c>
      <c r="L27" s="599"/>
      <c r="M27" s="656">
        <v>0.308</v>
      </c>
      <c r="N27" s="657">
        <f t="shared" si="1"/>
        <v>6368293.2742275</v>
      </c>
      <c r="O27" s="962">
        <v>0.109</v>
      </c>
      <c r="P27" s="658">
        <f t="shared" si="2"/>
        <v>2253714.1782168751</v>
      </c>
      <c r="Q27" s="966">
        <v>0.58299999999999996</v>
      </c>
      <c r="R27" s="657">
        <f t="shared" si="3"/>
        <v>12054269.411930624</v>
      </c>
      <c r="S27" s="660">
        <f t="shared" si="4"/>
        <v>1</v>
      </c>
      <c r="U27" s="664">
        <v>53204130100000</v>
      </c>
      <c r="V27" s="665" t="s">
        <v>113</v>
      </c>
      <c r="W27" s="969">
        <v>0</v>
      </c>
    </row>
    <row r="28" spans="1:46" ht="14.5" x14ac:dyDescent="0.25">
      <c r="A28" s="1392"/>
      <c r="B28" s="1395"/>
      <c r="C28" s="647" t="s">
        <v>363</v>
      </c>
      <c r="D28" s="648" t="s">
        <v>366</v>
      </c>
      <c r="E28" s="649" t="s">
        <v>367</v>
      </c>
      <c r="F28" s="650" t="s">
        <v>350</v>
      </c>
      <c r="G28" s="1135">
        <v>12860658.375</v>
      </c>
      <c r="H28" s="1136">
        <v>159742</v>
      </c>
      <c r="I28" s="1141">
        <v>160844</v>
      </c>
      <c r="J28" s="654">
        <f t="shared" si="6"/>
        <v>13181244.375</v>
      </c>
      <c r="K28" s="655">
        <f t="shared" si="0"/>
        <v>13774400.371874999</v>
      </c>
      <c r="L28" s="599"/>
      <c r="M28" s="656">
        <v>0.308</v>
      </c>
      <c r="N28" s="657">
        <f t="shared" si="1"/>
        <v>4242515.3145375</v>
      </c>
      <c r="O28" s="962">
        <v>0.109</v>
      </c>
      <c r="P28" s="658">
        <f t="shared" si="2"/>
        <v>1501409.6405343749</v>
      </c>
      <c r="Q28" s="966">
        <v>0.58299999999999996</v>
      </c>
      <c r="R28" s="657">
        <f t="shared" si="3"/>
        <v>8030475.4168031244</v>
      </c>
      <c r="S28" s="660">
        <f t="shared" si="4"/>
        <v>1</v>
      </c>
      <c r="U28" s="664">
        <v>53205010100000</v>
      </c>
      <c r="V28" s="665" t="s">
        <v>114</v>
      </c>
      <c r="W28" s="969">
        <v>5718183.5549999997</v>
      </c>
    </row>
    <row r="29" spans="1:46" ht="14.5" x14ac:dyDescent="0.25">
      <c r="A29" s="1392"/>
      <c r="B29" s="1395"/>
      <c r="C29" s="647" t="s">
        <v>508</v>
      </c>
      <c r="D29" s="648" t="s">
        <v>509</v>
      </c>
      <c r="E29" s="649" t="s">
        <v>510</v>
      </c>
      <c r="F29" s="650" t="s">
        <v>350</v>
      </c>
      <c r="G29" s="1135">
        <v>13212890.799999999</v>
      </c>
      <c r="H29" s="1136">
        <v>159742</v>
      </c>
      <c r="I29" s="1141">
        <v>160844</v>
      </c>
      <c r="J29" s="654">
        <f t="shared" si="6"/>
        <v>13533476.799999999</v>
      </c>
      <c r="K29" s="655">
        <f t="shared" si="0"/>
        <v>14142483.255999997</v>
      </c>
      <c r="L29" s="599"/>
      <c r="M29" s="656">
        <v>0.308</v>
      </c>
      <c r="N29" s="657">
        <f t="shared" si="1"/>
        <v>4355884.8428479992</v>
      </c>
      <c r="O29" s="962">
        <v>0.109</v>
      </c>
      <c r="P29" s="658">
        <f t="shared" si="2"/>
        <v>1541530.6749039998</v>
      </c>
      <c r="Q29" s="966">
        <v>0.58299999999999996</v>
      </c>
      <c r="R29" s="657">
        <f t="shared" si="3"/>
        <v>8245067.7382479981</v>
      </c>
      <c r="S29" s="660">
        <f t="shared" si="4"/>
        <v>1</v>
      </c>
      <c r="U29" s="664">
        <v>53205020100000</v>
      </c>
      <c r="V29" s="665" t="s">
        <v>115</v>
      </c>
      <c r="W29" s="969">
        <v>1005548.775</v>
      </c>
    </row>
    <row r="30" spans="1:46" ht="14.5" x14ac:dyDescent="0.25">
      <c r="A30" s="1392"/>
      <c r="B30" s="1395"/>
      <c r="C30" s="647"/>
      <c r="D30" s="648"/>
      <c r="E30" s="649"/>
      <c r="F30" s="650"/>
      <c r="G30" s="1135"/>
      <c r="H30" s="1136"/>
      <c r="I30" s="1141"/>
      <c r="J30" s="654">
        <f t="shared" si="6"/>
        <v>0</v>
      </c>
      <c r="K30" s="655">
        <f t="shared" si="0"/>
        <v>0</v>
      </c>
      <c r="L30" s="599"/>
      <c r="M30" s="656">
        <v>0</v>
      </c>
      <c r="N30" s="657">
        <f t="shared" si="1"/>
        <v>0</v>
      </c>
      <c r="O30" s="962">
        <v>0</v>
      </c>
      <c r="P30" s="658">
        <f t="shared" si="2"/>
        <v>0</v>
      </c>
      <c r="Q30" s="966">
        <v>0</v>
      </c>
      <c r="R30" s="657">
        <f t="shared" si="3"/>
        <v>0</v>
      </c>
      <c r="S30" s="660">
        <f t="shared" si="4"/>
        <v>0</v>
      </c>
      <c r="U30" s="664">
        <v>53205030100000</v>
      </c>
      <c r="V30" s="665" t="s">
        <v>116</v>
      </c>
      <c r="W30" s="969">
        <v>1775489.835</v>
      </c>
    </row>
    <row r="31" spans="1:46" ht="14.5" x14ac:dyDescent="0.25">
      <c r="A31" s="1392"/>
      <c r="B31" s="1395"/>
      <c r="C31" s="647"/>
      <c r="D31" s="648"/>
      <c r="E31" s="649"/>
      <c r="F31" s="650"/>
      <c r="G31" s="1135"/>
      <c r="H31" s="1136"/>
      <c r="I31" s="1141"/>
      <c r="J31" s="654">
        <f t="shared" si="6"/>
        <v>0</v>
      </c>
      <c r="K31" s="655">
        <f t="shared" si="0"/>
        <v>0</v>
      </c>
      <c r="L31" s="599"/>
      <c r="M31" s="656">
        <v>0</v>
      </c>
      <c r="N31" s="657">
        <f t="shared" si="1"/>
        <v>0</v>
      </c>
      <c r="O31" s="962">
        <v>0</v>
      </c>
      <c r="P31" s="658">
        <f t="shared" si="2"/>
        <v>0</v>
      </c>
      <c r="Q31" s="966">
        <v>0</v>
      </c>
      <c r="R31" s="657">
        <f t="shared" si="3"/>
        <v>0</v>
      </c>
      <c r="S31" s="660">
        <f t="shared" si="4"/>
        <v>0</v>
      </c>
      <c r="U31" s="664">
        <v>53205050100000</v>
      </c>
      <c r="V31" s="665" t="s">
        <v>117</v>
      </c>
      <c r="W31" s="969">
        <v>0</v>
      </c>
    </row>
    <row r="32" spans="1:46" ht="14.5" x14ac:dyDescent="0.25">
      <c r="A32" s="1392"/>
      <c r="B32" s="1395"/>
      <c r="C32" s="647"/>
      <c r="D32" s="648"/>
      <c r="E32" s="649"/>
      <c r="F32" s="650"/>
      <c r="G32" s="1135"/>
      <c r="H32" s="1136"/>
      <c r="I32" s="1141"/>
      <c r="J32" s="654">
        <f t="shared" si="6"/>
        <v>0</v>
      </c>
      <c r="K32" s="655">
        <f t="shared" si="0"/>
        <v>0</v>
      </c>
      <c r="L32" s="599"/>
      <c r="M32" s="656">
        <v>0</v>
      </c>
      <c r="N32" s="657">
        <f t="shared" si="1"/>
        <v>0</v>
      </c>
      <c r="O32" s="962">
        <v>0</v>
      </c>
      <c r="P32" s="658">
        <f t="shared" si="2"/>
        <v>0</v>
      </c>
      <c r="Q32" s="966">
        <v>0</v>
      </c>
      <c r="R32" s="657">
        <f t="shared" si="3"/>
        <v>0</v>
      </c>
      <c r="S32" s="660">
        <f t="shared" si="4"/>
        <v>0</v>
      </c>
      <c r="U32" s="664">
        <v>53205060100000</v>
      </c>
      <c r="V32" s="665" t="s">
        <v>118</v>
      </c>
      <c r="W32" s="969">
        <v>1298264.31</v>
      </c>
    </row>
    <row r="33" spans="1:23" ht="14.5" x14ac:dyDescent="0.25">
      <c r="A33" s="1392"/>
      <c r="B33" s="1395"/>
      <c r="C33" s="647"/>
      <c r="D33" s="648"/>
      <c r="E33" s="649"/>
      <c r="F33" s="650"/>
      <c r="G33" s="1135"/>
      <c r="H33" s="1136"/>
      <c r="I33" s="1141"/>
      <c r="J33" s="654">
        <f t="shared" si="6"/>
        <v>0</v>
      </c>
      <c r="K33" s="655">
        <f t="shared" si="0"/>
        <v>0</v>
      </c>
      <c r="L33" s="599"/>
      <c r="M33" s="656">
        <v>0</v>
      </c>
      <c r="N33" s="657">
        <f t="shared" si="1"/>
        <v>0</v>
      </c>
      <c r="O33" s="962">
        <v>0</v>
      </c>
      <c r="P33" s="658">
        <f t="shared" si="2"/>
        <v>0</v>
      </c>
      <c r="Q33" s="966">
        <v>0</v>
      </c>
      <c r="R33" s="657">
        <f t="shared" si="3"/>
        <v>0</v>
      </c>
      <c r="S33" s="660">
        <f t="shared" si="4"/>
        <v>0</v>
      </c>
      <c r="U33" s="664">
        <v>53205070100000</v>
      </c>
      <c r="V33" s="665" t="s">
        <v>119</v>
      </c>
      <c r="W33" s="969">
        <v>683971.57500000007</v>
      </c>
    </row>
    <row r="34" spans="1:23" ht="15" thickBot="1" x14ac:dyDescent="0.3">
      <c r="A34" s="1392"/>
      <c r="B34" s="1396"/>
      <c r="C34" s="671"/>
      <c r="D34" s="672"/>
      <c r="E34" s="673"/>
      <c r="F34" s="674"/>
      <c r="G34" s="1142"/>
      <c r="H34" s="1143"/>
      <c r="I34" s="1144"/>
      <c r="J34" s="678">
        <f t="shared" si="6"/>
        <v>0</v>
      </c>
      <c r="K34" s="679">
        <f t="shared" si="0"/>
        <v>0</v>
      </c>
      <c r="L34" s="599"/>
      <c r="M34" s="680">
        <v>0</v>
      </c>
      <c r="N34" s="681">
        <f t="shared" si="1"/>
        <v>0</v>
      </c>
      <c r="O34" s="964">
        <v>0</v>
      </c>
      <c r="P34" s="682">
        <f t="shared" si="2"/>
        <v>0</v>
      </c>
      <c r="Q34" s="967">
        <v>0</v>
      </c>
      <c r="R34" s="681">
        <f t="shared" si="3"/>
        <v>0</v>
      </c>
      <c r="S34" s="684">
        <f t="shared" si="4"/>
        <v>0</v>
      </c>
      <c r="U34" s="664">
        <v>53208010100000</v>
      </c>
      <c r="V34" s="665" t="s">
        <v>120</v>
      </c>
      <c r="W34" s="969">
        <v>3152150.5050000004</v>
      </c>
    </row>
    <row r="35" spans="1:23" ht="14.5" x14ac:dyDescent="0.25">
      <c r="A35" s="1392"/>
      <c r="B35" s="1394" t="s">
        <v>190</v>
      </c>
      <c r="C35" s="623" t="s">
        <v>383</v>
      </c>
      <c r="D35" s="624" t="s">
        <v>384</v>
      </c>
      <c r="E35" s="625" t="s">
        <v>385</v>
      </c>
      <c r="F35" s="626" t="s">
        <v>350</v>
      </c>
      <c r="G35" s="1132">
        <v>17557308.25</v>
      </c>
      <c r="H35" s="1133">
        <v>159742</v>
      </c>
      <c r="I35" s="1145">
        <v>160844</v>
      </c>
      <c r="J35" s="629">
        <f t="shared" si="6"/>
        <v>17877894.25</v>
      </c>
      <c r="K35" s="630">
        <f t="shared" si="0"/>
        <v>18682399.491249997</v>
      </c>
      <c r="L35" s="599"/>
      <c r="M35" s="631">
        <v>0.215</v>
      </c>
      <c r="N35" s="632">
        <f t="shared" si="1"/>
        <v>4016715.8906187494</v>
      </c>
      <c r="O35" s="963">
        <v>6.0999999999999999E-2</v>
      </c>
      <c r="P35" s="633">
        <f t="shared" si="2"/>
        <v>1139626.3689662497</v>
      </c>
      <c r="Q35" s="965">
        <v>0.72399999999999998</v>
      </c>
      <c r="R35" s="632">
        <f t="shared" si="3"/>
        <v>13526057.231664997</v>
      </c>
      <c r="S35" s="634">
        <f t="shared" si="4"/>
        <v>1</v>
      </c>
      <c r="U35" s="664">
        <v>53208070100001</v>
      </c>
      <c r="V35" s="665" t="s">
        <v>121</v>
      </c>
      <c r="W35" s="969">
        <v>891349.09500000009</v>
      </c>
    </row>
    <row r="36" spans="1:23" ht="14.5" x14ac:dyDescent="0.25">
      <c r="A36" s="1392"/>
      <c r="B36" s="1395"/>
      <c r="C36" s="647"/>
      <c r="D36" s="648"/>
      <c r="E36" s="649"/>
      <c r="F36" s="650"/>
      <c r="G36" s="1135"/>
      <c r="H36" s="1136"/>
      <c r="I36" s="1141"/>
      <c r="J36" s="654">
        <f t="shared" si="6"/>
        <v>0</v>
      </c>
      <c r="K36" s="655">
        <f t="shared" si="0"/>
        <v>0</v>
      </c>
      <c r="L36" s="599"/>
      <c r="M36" s="656">
        <v>0</v>
      </c>
      <c r="N36" s="657">
        <f t="shared" si="1"/>
        <v>0</v>
      </c>
      <c r="O36" s="962">
        <v>0</v>
      </c>
      <c r="P36" s="658">
        <f t="shared" si="2"/>
        <v>0</v>
      </c>
      <c r="Q36" s="966">
        <v>0</v>
      </c>
      <c r="R36" s="657">
        <f t="shared" si="3"/>
        <v>0</v>
      </c>
      <c r="S36" s="660">
        <f t="shared" si="4"/>
        <v>0</v>
      </c>
      <c r="U36" s="664">
        <v>53208100100001</v>
      </c>
      <c r="V36" s="665" t="s">
        <v>122</v>
      </c>
      <c r="W36" s="969">
        <v>0</v>
      </c>
    </row>
    <row r="37" spans="1:23" ht="14.5" x14ac:dyDescent="0.25">
      <c r="A37" s="1392"/>
      <c r="B37" s="1395"/>
      <c r="C37" s="647"/>
      <c r="D37" s="648"/>
      <c r="E37" s="649"/>
      <c r="F37" s="650"/>
      <c r="G37" s="1135"/>
      <c r="H37" s="1136"/>
      <c r="I37" s="1141"/>
      <c r="J37" s="654">
        <f t="shared" si="6"/>
        <v>0</v>
      </c>
      <c r="K37" s="655">
        <f t="shared" si="0"/>
        <v>0</v>
      </c>
      <c r="L37" s="599"/>
      <c r="M37" s="656">
        <v>0</v>
      </c>
      <c r="N37" s="657">
        <f t="shared" si="1"/>
        <v>0</v>
      </c>
      <c r="O37" s="962">
        <v>0</v>
      </c>
      <c r="P37" s="658">
        <f t="shared" si="2"/>
        <v>0</v>
      </c>
      <c r="Q37" s="966">
        <v>0</v>
      </c>
      <c r="R37" s="657">
        <f t="shared" si="3"/>
        <v>0</v>
      </c>
      <c r="S37" s="660">
        <f t="shared" si="4"/>
        <v>0</v>
      </c>
      <c r="U37" s="664">
        <v>53211030000000</v>
      </c>
      <c r="V37" s="665" t="s">
        <v>123</v>
      </c>
      <c r="W37" s="969">
        <v>0</v>
      </c>
    </row>
    <row r="38" spans="1:23" ht="14.5" x14ac:dyDescent="0.25">
      <c r="A38" s="1392"/>
      <c r="B38" s="1395"/>
      <c r="C38" s="647"/>
      <c r="D38" s="648"/>
      <c r="E38" s="649"/>
      <c r="F38" s="650"/>
      <c r="G38" s="1135"/>
      <c r="H38" s="1136"/>
      <c r="I38" s="1141"/>
      <c r="J38" s="654">
        <f t="shared" si="6"/>
        <v>0</v>
      </c>
      <c r="K38" s="655">
        <f t="shared" si="0"/>
        <v>0</v>
      </c>
      <c r="L38" s="599"/>
      <c r="M38" s="656">
        <v>0</v>
      </c>
      <c r="N38" s="657">
        <f t="shared" si="1"/>
        <v>0</v>
      </c>
      <c r="O38" s="962">
        <v>0</v>
      </c>
      <c r="P38" s="658">
        <f t="shared" si="2"/>
        <v>0</v>
      </c>
      <c r="Q38" s="966">
        <v>0</v>
      </c>
      <c r="R38" s="657">
        <f t="shared" si="3"/>
        <v>0</v>
      </c>
      <c r="S38" s="660">
        <f t="shared" si="4"/>
        <v>0</v>
      </c>
      <c r="U38" s="664">
        <v>53212020100000</v>
      </c>
      <c r="V38" s="665" t="s">
        <v>124</v>
      </c>
      <c r="W38" s="969">
        <v>9500000</v>
      </c>
    </row>
    <row r="39" spans="1:23" ht="15" thickBot="1" x14ac:dyDescent="0.3">
      <c r="A39" s="1392"/>
      <c r="B39" s="1396"/>
      <c r="C39" s="671"/>
      <c r="D39" s="672"/>
      <c r="E39" s="673"/>
      <c r="F39" s="674"/>
      <c r="G39" s="1142"/>
      <c r="H39" s="1143"/>
      <c r="I39" s="1144"/>
      <c r="J39" s="678">
        <f t="shared" si="6"/>
        <v>0</v>
      </c>
      <c r="K39" s="679">
        <f t="shared" si="0"/>
        <v>0</v>
      </c>
      <c r="L39" s="599"/>
      <c r="M39" s="680">
        <v>0</v>
      </c>
      <c r="N39" s="681">
        <f t="shared" si="1"/>
        <v>0</v>
      </c>
      <c r="O39" s="964">
        <v>0</v>
      </c>
      <c r="P39" s="682">
        <f t="shared" si="2"/>
        <v>0</v>
      </c>
      <c r="Q39" s="967">
        <v>0</v>
      </c>
      <c r="R39" s="681">
        <f t="shared" si="3"/>
        <v>0</v>
      </c>
      <c r="S39" s="684">
        <f t="shared" si="4"/>
        <v>0</v>
      </c>
      <c r="U39" s="664">
        <v>53214020000000</v>
      </c>
      <c r="V39" s="665" t="s">
        <v>125</v>
      </c>
      <c r="W39" s="666">
        <v>0</v>
      </c>
    </row>
    <row r="40" spans="1:23" ht="14.5" x14ac:dyDescent="0.25">
      <c r="A40" s="1392"/>
      <c r="B40" s="1388" t="s">
        <v>341</v>
      </c>
      <c r="C40" s="685" t="s">
        <v>372</v>
      </c>
      <c r="D40" s="686" t="s">
        <v>373</v>
      </c>
      <c r="E40" s="687" t="s">
        <v>371</v>
      </c>
      <c r="F40" s="688" t="s">
        <v>350</v>
      </c>
      <c r="G40" s="1132">
        <v>10403393.375</v>
      </c>
      <c r="H40" s="1133">
        <v>159742</v>
      </c>
      <c r="I40" s="1141">
        <v>160844</v>
      </c>
      <c r="J40" s="689">
        <f>SUM(G40:I40)</f>
        <v>10723979.375</v>
      </c>
      <c r="K40" s="690">
        <f t="shared" si="0"/>
        <v>11206558.446874999</v>
      </c>
      <c r="L40" s="599"/>
      <c r="M40" s="631">
        <v>0.35</v>
      </c>
      <c r="N40" s="632">
        <f t="shared" si="1"/>
        <v>3922295.4564062492</v>
      </c>
      <c r="O40" s="963">
        <v>0.1</v>
      </c>
      <c r="P40" s="633">
        <f t="shared" si="2"/>
        <v>1120655.8446874998</v>
      </c>
      <c r="Q40" s="965">
        <v>0.55000000000000004</v>
      </c>
      <c r="R40" s="632">
        <f t="shared" si="3"/>
        <v>6163607.1457812497</v>
      </c>
      <c r="S40" s="634">
        <f t="shared" si="4"/>
        <v>1</v>
      </c>
      <c r="U40" s="635"/>
      <c r="V40" s="636" t="s">
        <v>126</v>
      </c>
      <c r="W40" s="637">
        <f>SUM(W41,W46,W49,W60,W70,W78)</f>
        <v>33937697.769999996</v>
      </c>
    </row>
    <row r="41" spans="1:23" ht="14.5" x14ac:dyDescent="0.25">
      <c r="A41" s="1392"/>
      <c r="B41" s="1389"/>
      <c r="C41" s="691" t="s">
        <v>374</v>
      </c>
      <c r="D41" s="692" t="s">
        <v>376</v>
      </c>
      <c r="E41" s="693" t="s">
        <v>378</v>
      </c>
      <c r="F41" s="694" t="s">
        <v>350</v>
      </c>
      <c r="G41" s="1135">
        <v>29230856.375</v>
      </c>
      <c r="H41" s="1136">
        <v>159742</v>
      </c>
      <c r="I41" s="1141">
        <v>157184</v>
      </c>
      <c r="J41" s="695">
        <f t="shared" ref="J41:J48" si="7">SUM(G41:I41)</f>
        <v>29547782.375</v>
      </c>
      <c r="K41" s="696">
        <f t="shared" si="0"/>
        <v>30877432.581874996</v>
      </c>
      <c r="L41" s="599"/>
      <c r="M41" s="656">
        <v>0.25</v>
      </c>
      <c r="N41" s="657">
        <f t="shared" si="1"/>
        <v>7719358.1454687491</v>
      </c>
      <c r="O41" s="962">
        <v>4.4999999999999998E-2</v>
      </c>
      <c r="P41" s="658">
        <f t="shared" si="2"/>
        <v>1389484.4661843749</v>
      </c>
      <c r="Q41" s="966">
        <v>0.70499999999999996</v>
      </c>
      <c r="R41" s="657">
        <f t="shared" si="3"/>
        <v>21768589.97022187</v>
      </c>
      <c r="S41" s="660">
        <f t="shared" si="4"/>
        <v>1</v>
      </c>
      <c r="U41" s="661"/>
      <c r="V41" s="662" t="s">
        <v>127</v>
      </c>
      <c r="W41" s="663">
        <f>SUM(W42:W45)</f>
        <v>2559465.2550000004</v>
      </c>
    </row>
    <row r="42" spans="1:23" ht="14.5" x14ac:dyDescent="0.25">
      <c r="A42" s="1392"/>
      <c r="B42" s="1389"/>
      <c r="C42" s="691" t="s">
        <v>375</v>
      </c>
      <c r="D42" s="692" t="s">
        <v>377</v>
      </c>
      <c r="E42" s="693" t="s">
        <v>379</v>
      </c>
      <c r="F42" s="694" t="s">
        <v>350</v>
      </c>
      <c r="G42" s="1135">
        <v>23339339.5</v>
      </c>
      <c r="H42" s="1136">
        <v>159742</v>
      </c>
      <c r="I42" s="1141">
        <v>157184</v>
      </c>
      <c r="J42" s="695">
        <f t="shared" si="7"/>
        <v>23656265.5</v>
      </c>
      <c r="K42" s="696">
        <f t="shared" si="0"/>
        <v>24720797.447499998</v>
      </c>
      <c r="L42" s="599"/>
      <c r="M42" s="656">
        <v>0.218</v>
      </c>
      <c r="N42" s="657">
        <f t="shared" si="1"/>
        <v>5389133.8435549997</v>
      </c>
      <c r="O42" s="962">
        <v>0.04</v>
      </c>
      <c r="P42" s="658">
        <f t="shared" si="2"/>
        <v>988831.89789999998</v>
      </c>
      <c r="Q42" s="966">
        <v>0.74199999999999999</v>
      </c>
      <c r="R42" s="657">
        <f t="shared" si="3"/>
        <v>18342831.706044998</v>
      </c>
      <c r="S42" s="660">
        <f t="shared" si="4"/>
        <v>1</v>
      </c>
      <c r="U42" s="664">
        <v>53202020100000</v>
      </c>
      <c r="V42" s="665" t="s">
        <v>128</v>
      </c>
      <c r="W42" s="969">
        <v>439440.97499999998</v>
      </c>
    </row>
    <row r="43" spans="1:23" ht="14.5" x14ac:dyDescent="0.25">
      <c r="A43" s="1392"/>
      <c r="B43" s="1389"/>
      <c r="C43" s="691" t="s">
        <v>381</v>
      </c>
      <c r="D43" s="692" t="s">
        <v>380</v>
      </c>
      <c r="E43" s="693" t="s">
        <v>382</v>
      </c>
      <c r="F43" s="694" t="s">
        <v>350</v>
      </c>
      <c r="G43" s="1135">
        <v>16236124.125</v>
      </c>
      <c r="H43" s="1136">
        <v>159742</v>
      </c>
      <c r="I43" s="1141">
        <v>157184</v>
      </c>
      <c r="J43" s="695">
        <f t="shared" si="7"/>
        <v>16553050.125</v>
      </c>
      <c r="K43" s="696">
        <f t="shared" si="0"/>
        <v>17297937.380624998</v>
      </c>
      <c r="L43" s="599"/>
      <c r="M43" s="656">
        <v>0.32800000000000001</v>
      </c>
      <c r="N43" s="657">
        <f t="shared" si="1"/>
        <v>5673723.4608450001</v>
      </c>
      <c r="O43" s="962">
        <v>9.9000000000000005E-2</v>
      </c>
      <c r="P43" s="658">
        <f t="shared" si="2"/>
        <v>1712495.8006818749</v>
      </c>
      <c r="Q43" s="966">
        <v>0.57299999999999995</v>
      </c>
      <c r="R43" s="657">
        <f t="shared" si="3"/>
        <v>9911718.1190981232</v>
      </c>
      <c r="S43" s="660">
        <f t="shared" si="4"/>
        <v>1</v>
      </c>
      <c r="U43" s="664">
        <v>53202030000000</v>
      </c>
      <c r="V43" s="665" t="s">
        <v>129</v>
      </c>
      <c r="W43" s="969">
        <v>339441</v>
      </c>
    </row>
    <row r="44" spans="1:23" ht="14.5" x14ac:dyDescent="0.25">
      <c r="A44" s="1392"/>
      <c r="B44" s="1389"/>
      <c r="C44" s="691"/>
      <c r="D44" s="692"/>
      <c r="E44" s="693"/>
      <c r="F44" s="694"/>
      <c r="G44" s="1135"/>
      <c r="H44" s="1136"/>
      <c r="I44" s="1141"/>
      <c r="J44" s="695">
        <f t="shared" si="7"/>
        <v>0</v>
      </c>
      <c r="K44" s="696">
        <f t="shared" si="0"/>
        <v>0</v>
      </c>
      <c r="L44" s="599"/>
      <c r="M44" s="656">
        <v>0</v>
      </c>
      <c r="N44" s="657">
        <f t="shared" ref="N44:N61" si="8">+$K44*M44</f>
        <v>0</v>
      </c>
      <c r="O44" s="656">
        <v>0</v>
      </c>
      <c r="P44" s="658">
        <f t="shared" si="2"/>
        <v>0</v>
      </c>
      <c r="Q44" s="659">
        <v>0</v>
      </c>
      <c r="R44" s="657">
        <f t="shared" si="3"/>
        <v>0</v>
      </c>
      <c r="S44" s="660">
        <f t="shared" ref="S44:S61" si="9">+M44+O44+Q44</f>
        <v>0</v>
      </c>
      <c r="U44" s="664">
        <v>53211020000000</v>
      </c>
      <c r="V44" s="665" t="s">
        <v>130</v>
      </c>
      <c r="W44" s="969">
        <v>0</v>
      </c>
    </row>
    <row r="45" spans="1:23" ht="14.5" x14ac:dyDescent="0.25">
      <c r="A45" s="1392"/>
      <c r="B45" s="1389"/>
      <c r="C45" s="691"/>
      <c r="D45" s="692"/>
      <c r="E45" s="693"/>
      <c r="F45" s="694"/>
      <c r="G45" s="651"/>
      <c r="H45" s="652"/>
      <c r="I45" s="653"/>
      <c r="J45" s="695">
        <f t="shared" si="7"/>
        <v>0</v>
      </c>
      <c r="K45" s="696">
        <f t="shared" si="0"/>
        <v>0</v>
      </c>
      <c r="L45" s="599"/>
      <c r="M45" s="656">
        <v>0</v>
      </c>
      <c r="N45" s="657">
        <f t="shared" si="8"/>
        <v>0</v>
      </c>
      <c r="O45" s="656">
        <v>0</v>
      </c>
      <c r="P45" s="658">
        <f t="shared" si="2"/>
        <v>0</v>
      </c>
      <c r="Q45" s="659">
        <v>0</v>
      </c>
      <c r="R45" s="657">
        <f t="shared" si="3"/>
        <v>0</v>
      </c>
      <c r="S45" s="660">
        <f t="shared" si="9"/>
        <v>0</v>
      </c>
      <c r="U45" s="664">
        <v>53101004030000</v>
      </c>
      <c r="V45" s="665" t="s">
        <v>131</v>
      </c>
      <c r="W45" s="969">
        <v>1780583.2800000003</v>
      </c>
    </row>
    <row r="46" spans="1:23" ht="14.5" x14ac:dyDescent="0.25">
      <c r="A46" s="1392"/>
      <c r="B46" s="1389"/>
      <c r="C46" s="691"/>
      <c r="D46" s="692"/>
      <c r="E46" s="693"/>
      <c r="F46" s="694"/>
      <c r="G46" s="651"/>
      <c r="H46" s="652"/>
      <c r="I46" s="653"/>
      <c r="J46" s="695">
        <f t="shared" si="7"/>
        <v>0</v>
      </c>
      <c r="K46" s="696">
        <f t="shared" si="0"/>
        <v>0</v>
      </c>
      <c r="L46" s="599"/>
      <c r="M46" s="656">
        <v>0</v>
      </c>
      <c r="N46" s="657">
        <f t="shared" si="8"/>
        <v>0</v>
      </c>
      <c r="O46" s="656">
        <v>0</v>
      </c>
      <c r="P46" s="658">
        <f t="shared" si="2"/>
        <v>0</v>
      </c>
      <c r="Q46" s="659">
        <v>0</v>
      </c>
      <c r="R46" s="657">
        <f t="shared" si="3"/>
        <v>0</v>
      </c>
      <c r="S46" s="660">
        <f t="shared" si="9"/>
        <v>0</v>
      </c>
      <c r="U46" s="661"/>
      <c r="V46" s="662" t="s">
        <v>132</v>
      </c>
      <c r="W46" s="663">
        <f>SUM(W47:W48)</f>
        <v>380958.48</v>
      </c>
    </row>
    <row r="47" spans="1:23" ht="14.5" x14ac:dyDescent="0.25">
      <c r="A47" s="1392"/>
      <c r="B47" s="1389"/>
      <c r="C47" s="691"/>
      <c r="D47" s="692"/>
      <c r="E47" s="693"/>
      <c r="F47" s="694"/>
      <c r="G47" s="651"/>
      <c r="H47" s="652"/>
      <c r="I47" s="653"/>
      <c r="J47" s="695">
        <f t="shared" si="7"/>
        <v>0</v>
      </c>
      <c r="K47" s="696">
        <f t="shared" si="0"/>
        <v>0</v>
      </c>
      <c r="L47" s="599"/>
      <c r="M47" s="656">
        <v>0</v>
      </c>
      <c r="N47" s="657">
        <f t="shared" si="8"/>
        <v>0</v>
      </c>
      <c r="O47" s="656">
        <v>0</v>
      </c>
      <c r="P47" s="658">
        <f t="shared" si="2"/>
        <v>0</v>
      </c>
      <c r="Q47" s="659">
        <v>0</v>
      </c>
      <c r="R47" s="657">
        <f t="shared" si="3"/>
        <v>0</v>
      </c>
      <c r="S47" s="660">
        <f t="shared" si="9"/>
        <v>0</v>
      </c>
      <c r="U47" s="664">
        <v>53205080000000</v>
      </c>
      <c r="V47" s="665" t="s">
        <v>133</v>
      </c>
      <c r="W47" s="666">
        <v>0</v>
      </c>
    </row>
    <row r="48" spans="1:23" ht="14.5" x14ac:dyDescent="0.25">
      <c r="A48" s="1392"/>
      <c r="B48" s="1389"/>
      <c r="C48" s="691"/>
      <c r="D48" s="692"/>
      <c r="E48" s="693"/>
      <c r="F48" s="694"/>
      <c r="G48" s="651"/>
      <c r="H48" s="652"/>
      <c r="I48" s="653"/>
      <c r="J48" s="695">
        <f t="shared" si="7"/>
        <v>0</v>
      </c>
      <c r="K48" s="696">
        <f t="shared" si="0"/>
        <v>0</v>
      </c>
      <c r="L48" s="599"/>
      <c r="M48" s="656">
        <v>0</v>
      </c>
      <c r="N48" s="657">
        <f t="shared" si="8"/>
        <v>0</v>
      </c>
      <c r="O48" s="656">
        <v>0</v>
      </c>
      <c r="P48" s="658">
        <f t="shared" si="2"/>
        <v>0</v>
      </c>
      <c r="Q48" s="659">
        <v>0</v>
      </c>
      <c r="R48" s="657">
        <f t="shared" si="3"/>
        <v>0</v>
      </c>
      <c r="S48" s="660">
        <f t="shared" si="9"/>
        <v>0</v>
      </c>
      <c r="U48" s="664">
        <v>53205990000000</v>
      </c>
      <c r="V48" s="665" t="s">
        <v>134</v>
      </c>
      <c r="W48" s="969">
        <v>380958.48</v>
      </c>
    </row>
    <row r="49" spans="1:23" ht="14.5" x14ac:dyDescent="0.25">
      <c r="A49" s="1392"/>
      <c r="B49" s="1389"/>
      <c r="C49" s="691"/>
      <c r="D49" s="692"/>
      <c r="E49" s="693"/>
      <c r="F49" s="694"/>
      <c r="G49" s="651"/>
      <c r="H49" s="652"/>
      <c r="I49" s="653"/>
      <c r="J49" s="695">
        <f t="shared" ref="J49:J61" si="10">SUM(G49:I49)</f>
        <v>0</v>
      </c>
      <c r="K49" s="696">
        <f t="shared" si="0"/>
        <v>0</v>
      </c>
      <c r="L49" s="599"/>
      <c r="M49" s="656">
        <v>0</v>
      </c>
      <c r="N49" s="657">
        <f t="shared" si="8"/>
        <v>0</v>
      </c>
      <c r="O49" s="656">
        <v>0</v>
      </c>
      <c r="P49" s="658">
        <f t="shared" si="2"/>
        <v>0</v>
      </c>
      <c r="Q49" s="659">
        <v>0</v>
      </c>
      <c r="R49" s="657">
        <f t="shared" si="3"/>
        <v>0</v>
      </c>
      <c r="S49" s="660">
        <f t="shared" si="9"/>
        <v>0</v>
      </c>
      <c r="U49" s="661"/>
      <c r="V49" s="662" t="s">
        <v>135</v>
      </c>
      <c r="W49" s="663">
        <f>SUM(W50:W59)</f>
        <v>7485335.1300000008</v>
      </c>
    </row>
    <row r="50" spans="1:23" ht="14.5" x14ac:dyDescent="0.25">
      <c r="A50" s="1392"/>
      <c r="B50" s="1389"/>
      <c r="C50" s="691"/>
      <c r="D50" s="692"/>
      <c r="E50" s="693"/>
      <c r="F50" s="694"/>
      <c r="G50" s="651"/>
      <c r="H50" s="652"/>
      <c r="I50" s="653"/>
      <c r="J50" s="695">
        <f t="shared" si="10"/>
        <v>0</v>
      </c>
      <c r="K50" s="696">
        <f t="shared" si="0"/>
        <v>0</v>
      </c>
      <c r="L50" s="599"/>
      <c r="M50" s="656">
        <v>0</v>
      </c>
      <c r="N50" s="657">
        <f t="shared" si="8"/>
        <v>0</v>
      </c>
      <c r="O50" s="656">
        <v>0</v>
      </c>
      <c r="P50" s="658">
        <f t="shared" si="2"/>
        <v>0</v>
      </c>
      <c r="Q50" s="659">
        <v>0</v>
      </c>
      <c r="R50" s="657">
        <f t="shared" si="3"/>
        <v>0</v>
      </c>
      <c r="S50" s="660">
        <f t="shared" si="9"/>
        <v>0</v>
      </c>
      <c r="U50" s="664">
        <v>53203010200000</v>
      </c>
      <c r="V50" s="665" t="s">
        <v>136</v>
      </c>
      <c r="W50" s="666">
        <v>0</v>
      </c>
    </row>
    <row r="51" spans="1:23" ht="14.5" x14ac:dyDescent="0.25">
      <c r="A51" s="1392"/>
      <c r="B51" s="1389"/>
      <c r="C51" s="691"/>
      <c r="D51" s="692"/>
      <c r="E51" s="693"/>
      <c r="F51" s="694"/>
      <c r="G51" s="651"/>
      <c r="H51" s="652"/>
      <c r="I51" s="653"/>
      <c r="J51" s="695">
        <f t="shared" si="10"/>
        <v>0</v>
      </c>
      <c r="K51" s="696">
        <f t="shared" si="0"/>
        <v>0</v>
      </c>
      <c r="L51" s="599"/>
      <c r="M51" s="656">
        <v>0</v>
      </c>
      <c r="N51" s="657">
        <f t="shared" si="8"/>
        <v>0</v>
      </c>
      <c r="O51" s="656">
        <v>0</v>
      </c>
      <c r="P51" s="658">
        <f t="shared" si="2"/>
        <v>0</v>
      </c>
      <c r="Q51" s="659">
        <v>0</v>
      </c>
      <c r="R51" s="657">
        <f t="shared" si="3"/>
        <v>0</v>
      </c>
      <c r="S51" s="660">
        <f t="shared" si="9"/>
        <v>0</v>
      </c>
      <c r="U51" s="664">
        <v>53204010000000</v>
      </c>
      <c r="V51" s="665" t="s">
        <v>137</v>
      </c>
      <c r="W51" s="969">
        <v>3486878.0100000002</v>
      </c>
    </row>
    <row r="52" spans="1:23" ht="14.5" x14ac:dyDescent="0.25">
      <c r="A52" s="1392"/>
      <c r="B52" s="1389"/>
      <c r="C52" s="691"/>
      <c r="D52" s="692"/>
      <c r="E52" s="693"/>
      <c r="F52" s="694"/>
      <c r="G52" s="651"/>
      <c r="H52" s="652"/>
      <c r="I52" s="653"/>
      <c r="J52" s="695">
        <f t="shared" si="10"/>
        <v>0</v>
      </c>
      <c r="K52" s="696">
        <f t="shared" si="0"/>
        <v>0</v>
      </c>
      <c r="L52" s="599"/>
      <c r="M52" s="656">
        <v>0</v>
      </c>
      <c r="N52" s="657">
        <f t="shared" si="8"/>
        <v>0</v>
      </c>
      <c r="O52" s="656">
        <v>0</v>
      </c>
      <c r="P52" s="658">
        <f t="shared" si="2"/>
        <v>0</v>
      </c>
      <c r="Q52" s="659">
        <v>0</v>
      </c>
      <c r="R52" s="657">
        <f t="shared" si="3"/>
        <v>0</v>
      </c>
      <c r="S52" s="660">
        <f t="shared" si="9"/>
        <v>0</v>
      </c>
      <c r="U52" s="664">
        <v>53204040200000</v>
      </c>
      <c r="V52" s="665" t="s">
        <v>138</v>
      </c>
      <c r="W52" s="969">
        <v>0</v>
      </c>
    </row>
    <row r="53" spans="1:23" ht="14.5" x14ac:dyDescent="0.25">
      <c r="A53" s="1392"/>
      <c r="B53" s="1389"/>
      <c r="C53" s="691"/>
      <c r="D53" s="692"/>
      <c r="E53" s="693"/>
      <c r="F53" s="694"/>
      <c r="G53" s="651"/>
      <c r="H53" s="652"/>
      <c r="I53" s="653"/>
      <c r="J53" s="695">
        <f t="shared" si="10"/>
        <v>0</v>
      </c>
      <c r="K53" s="696">
        <f t="shared" si="0"/>
        <v>0</v>
      </c>
      <c r="L53" s="599"/>
      <c r="M53" s="656">
        <v>0</v>
      </c>
      <c r="N53" s="657">
        <f t="shared" si="8"/>
        <v>0</v>
      </c>
      <c r="O53" s="656">
        <v>0</v>
      </c>
      <c r="P53" s="658">
        <f t="shared" si="2"/>
        <v>0</v>
      </c>
      <c r="Q53" s="659">
        <v>0</v>
      </c>
      <c r="R53" s="657">
        <f t="shared" si="3"/>
        <v>0</v>
      </c>
      <c r="S53" s="660">
        <f t="shared" si="9"/>
        <v>0</v>
      </c>
      <c r="U53" s="664">
        <v>53204060000000</v>
      </c>
      <c r="V53" s="665" t="s">
        <v>139</v>
      </c>
      <c r="W53" s="969">
        <v>0</v>
      </c>
    </row>
    <row r="54" spans="1:23" ht="14.5" x14ac:dyDescent="0.25">
      <c r="A54" s="1392"/>
      <c r="B54" s="1389"/>
      <c r="C54" s="691"/>
      <c r="D54" s="692"/>
      <c r="E54" s="693"/>
      <c r="F54" s="694"/>
      <c r="G54" s="651"/>
      <c r="H54" s="652"/>
      <c r="I54" s="653"/>
      <c r="J54" s="695">
        <f t="shared" si="10"/>
        <v>0</v>
      </c>
      <c r="K54" s="696">
        <f t="shared" si="0"/>
        <v>0</v>
      </c>
      <c r="L54" s="599"/>
      <c r="M54" s="656">
        <v>0</v>
      </c>
      <c r="N54" s="657">
        <f t="shared" si="8"/>
        <v>0</v>
      </c>
      <c r="O54" s="656">
        <v>0</v>
      </c>
      <c r="P54" s="658">
        <f t="shared" si="2"/>
        <v>0</v>
      </c>
      <c r="Q54" s="659">
        <v>0</v>
      </c>
      <c r="R54" s="657">
        <f t="shared" si="3"/>
        <v>0</v>
      </c>
      <c r="S54" s="660">
        <f t="shared" si="9"/>
        <v>0</v>
      </c>
      <c r="U54" s="664">
        <v>53204070000000</v>
      </c>
      <c r="V54" s="665" t="s">
        <v>191</v>
      </c>
      <c r="W54" s="969">
        <v>3998457.12</v>
      </c>
    </row>
    <row r="55" spans="1:23" ht="14.5" x14ac:dyDescent="0.25">
      <c r="A55" s="1392"/>
      <c r="B55" s="1389"/>
      <c r="C55" s="691"/>
      <c r="D55" s="692"/>
      <c r="E55" s="693"/>
      <c r="F55" s="694"/>
      <c r="G55" s="651"/>
      <c r="H55" s="652"/>
      <c r="I55" s="653"/>
      <c r="J55" s="695">
        <f t="shared" si="10"/>
        <v>0</v>
      </c>
      <c r="K55" s="696">
        <f t="shared" si="0"/>
        <v>0</v>
      </c>
      <c r="L55" s="599"/>
      <c r="M55" s="656">
        <v>0</v>
      </c>
      <c r="N55" s="657">
        <f t="shared" si="8"/>
        <v>0</v>
      </c>
      <c r="O55" s="656">
        <v>0</v>
      </c>
      <c r="P55" s="658">
        <f t="shared" si="2"/>
        <v>0</v>
      </c>
      <c r="Q55" s="659">
        <v>0</v>
      </c>
      <c r="R55" s="657">
        <f t="shared" si="3"/>
        <v>0</v>
      </c>
      <c r="S55" s="660">
        <f t="shared" si="9"/>
        <v>0</v>
      </c>
      <c r="U55" s="664">
        <v>53204080000000</v>
      </c>
      <c r="V55" s="665" t="s">
        <v>141</v>
      </c>
      <c r="W55" s="666">
        <v>0</v>
      </c>
    </row>
    <row r="56" spans="1:23" ht="14.5" x14ac:dyDescent="0.25">
      <c r="A56" s="1392"/>
      <c r="B56" s="1389"/>
      <c r="C56" s="691"/>
      <c r="D56" s="692"/>
      <c r="E56" s="693"/>
      <c r="F56" s="694"/>
      <c r="G56" s="651"/>
      <c r="H56" s="652"/>
      <c r="I56" s="653"/>
      <c r="J56" s="695">
        <f t="shared" si="10"/>
        <v>0</v>
      </c>
      <c r="K56" s="696">
        <f t="shared" si="0"/>
        <v>0</v>
      </c>
      <c r="L56" s="599"/>
      <c r="M56" s="656">
        <v>0</v>
      </c>
      <c r="N56" s="657">
        <f t="shared" si="8"/>
        <v>0</v>
      </c>
      <c r="O56" s="656">
        <v>0</v>
      </c>
      <c r="P56" s="658">
        <f t="shared" si="2"/>
        <v>0</v>
      </c>
      <c r="Q56" s="659">
        <v>0</v>
      </c>
      <c r="R56" s="657">
        <f t="shared" si="3"/>
        <v>0</v>
      </c>
      <c r="S56" s="660">
        <f t="shared" si="9"/>
        <v>0</v>
      </c>
      <c r="U56" s="664">
        <v>53214010000000</v>
      </c>
      <c r="V56" s="665" t="s">
        <v>142</v>
      </c>
      <c r="W56" s="666">
        <v>0</v>
      </c>
    </row>
    <row r="57" spans="1:23" ht="14.5" x14ac:dyDescent="0.25">
      <c r="A57" s="1392"/>
      <c r="B57" s="1389"/>
      <c r="C57" s="691"/>
      <c r="D57" s="692"/>
      <c r="E57" s="693"/>
      <c r="F57" s="694"/>
      <c r="G57" s="651"/>
      <c r="H57" s="652"/>
      <c r="I57" s="653"/>
      <c r="J57" s="695">
        <f t="shared" si="10"/>
        <v>0</v>
      </c>
      <c r="K57" s="696">
        <f t="shared" si="0"/>
        <v>0</v>
      </c>
      <c r="L57" s="599"/>
      <c r="M57" s="656">
        <v>0</v>
      </c>
      <c r="N57" s="657">
        <f t="shared" si="8"/>
        <v>0</v>
      </c>
      <c r="O57" s="656">
        <v>0</v>
      </c>
      <c r="P57" s="658">
        <f t="shared" si="2"/>
        <v>0</v>
      </c>
      <c r="Q57" s="659">
        <v>0</v>
      </c>
      <c r="R57" s="657">
        <f t="shared" si="3"/>
        <v>0</v>
      </c>
      <c r="S57" s="660">
        <f t="shared" si="9"/>
        <v>0</v>
      </c>
      <c r="U57" s="664">
        <v>53214040000000</v>
      </c>
      <c r="V57" s="665" t="s">
        <v>143</v>
      </c>
      <c r="W57" s="666">
        <v>0</v>
      </c>
    </row>
    <row r="58" spans="1:23" ht="14.5" x14ac:dyDescent="0.25">
      <c r="A58" s="1392"/>
      <c r="B58" s="1389"/>
      <c r="C58" s="691"/>
      <c r="D58" s="692"/>
      <c r="E58" s="693"/>
      <c r="F58" s="968"/>
      <c r="G58" s="651"/>
      <c r="H58" s="652"/>
      <c r="I58" s="653"/>
      <c r="J58" s="695">
        <f t="shared" si="10"/>
        <v>0</v>
      </c>
      <c r="K58" s="696">
        <f t="shared" si="0"/>
        <v>0</v>
      </c>
      <c r="L58" s="599"/>
      <c r="M58" s="656">
        <v>0</v>
      </c>
      <c r="N58" s="657">
        <f t="shared" si="8"/>
        <v>0</v>
      </c>
      <c r="O58" s="656">
        <v>0</v>
      </c>
      <c r="P58" s="658">
        <f t="shared" si="2"/>
        <v>0</v>
      </c>
      <c r="Q58" s="659">
        <v>0</v>
      </c>
      <c r="R58" s="657">
        <f t="shared" si="3"/>
        <v>0</v>
      </c>
      <c r="S58" s="660">
        <f t="shared" si="9"/>
        <v>0</v>
      </c>
      <c r="U58" s="664">
        <v>55201010100004</v>
      </c>
      <c r="V58" s="665" t="s">
        <v>144</v>
      </c>
      <c r="W58" s="666">
        <v>0</v>
      </c>
    </row>
    <row r="59" spans="1:23" ht="14.5" x14ac:dyDescent="0.25">
      <c r="A59" s="1392"/>
      <c r="B59" s="1389"/>
      <c r="C59" s="691"/>
      <c r="D59" s="692"/>
      <c r="E59" s="693"/>
      <c r="F59" s="694"/>
      <c r="G59" s="651"/>
      <c r="H59" s="652"/>
      <c r="I59" s="653"/>
      <c r="J59" s="695">
        <f t="shared" si="10"/>
        <v>0</v>
      </c>
      <c r="K59" s="696">
        <f t="shared" si="0"/>
        <v>0</v>
      </c>
      <c r="L59" s="599"/>
      <c r="M59" s="656">
        <v>0</v>
      </c>
      <c r="N59" s="657">
        <f t="shared" si="8"/>
        <v>0</v>
      </c>
      <c r="O59" s="656">
        <v>0</v>
      </c>
      <c r="P59" s="658">
        <f t="shared" si="2"/>
        <v>0</v>
      </c>
      <c r="Q59" s="659">
        <v>0</v>
      </c>
      <c r="R59" s="657">
        <f t="shared" si="3"/>
        <v>0</v>
      </c>
      <c r="S59" s="660">
        <f t="shared" si="9"/>
        <v>0</v>
      </c>
      <c r="U59" s="664">
        <v>55201010100005</v>
      </c>
      <c r="V59" s="665" t="s">
        <v>145</v>
      </c>
      <c r="W59" s="666">
        <v>0</v>
      </c>
    </row>
    <row r="60" spans="1:23" ht="14.5" x14ac:dyDescent="0.25">
      <c r="A60" s="1392"/>
      <c r="B60" s="1389"/>
      <c r="C60" s="691"/>
      <c r="D60" s="692"/>
      <c r="E60" s="693"/>
      <c r="F60" s="694"/>
      <c r="G60" s="651"/>
      <c r="H60" s="652"/>
      <c r="I60" s="653"/>
      <c r="J60" s="695">
        <f t="shared" si="10"/>
        <v>0</v>
      </c>
      <c r="K60" s="696">
        <f t="shared" si="0"/>
        <v>0</v>
      </c>
      <c r="L60" s="599"/>
      <c r="M60" s="656">
        <v>0</v>
      </c>
      <c r="N60" s="657">
        <f t="shared" si="8"/>
        <v>0</v>
      </c>
      <c r="O60" s="656">
        <v>0</v>
      </c>
      <c r="P60" s="658">
        <f t="shared" si="2"/>
        <v>0</v>
      </c>
      <c r="Q60" s="659">
        <v>0</v>
      </c>
      <c r="R60" s="657">
        <f t="shared" si="3"/>
        <v>0</v>
      </c>
      <c r="S60" s="660">
        <f t="shared" si="9"/>
        <v>0</v>
      </c>
      <c r="U60" s="661"/>
      <c r="V60" s="662" t="s">
        <v>146</v>
      </c>
      <c r="W60" s="663">
        <f>SUM(W61:W69)</f>
        <v>8758646.7149999999</v>
      </c>
    </row>
    <row r="61" spans="1:23" ht="15" thickBot="1" x14ac:dyDescent="0.3">
      <c r="A61" s="1393"/>
      <c r="B61" s="1390"/>
      <c r="C61" s="671"/>
      <c r="D61" s="672"/>
      <c r="E61" s="673"/>
      <c r="F61" s="674"/>
      <c r="G61" s="675"/>
      <c r="H61" s="676"/>
      <c r="I61" s="677"/>
      <c r="J61" s="678">
        <f t="shared" si="10"/>
        <v>0</v>
      </c>
      <c r="K61" s="679">
        <f t="shared" si="0"/>
        <v>0</v>
      </c>
      <c r="L61" s="599"/>
      <c r="M61" s="680">
        <v>0</v>
      </c>
      <c r="N61" s="681">
        <f t="shared" si="8"/>
        <v>0</v>
      </c>
      <c r="O61" s="680">
        <v>0</v>
      </c>
      <c r="P61" s="682">
        <f t="shared" si="2"/>
        <v>0</v>
      </c>
      <c r="Q61" s="683">
        <v>0</v>
      </c>
      <c r="R61" s="681">
        <f t="shared" si="3"/>
        <v>0</v>
      </c>
      <c r="S61" s="684">
        <f t="shared" si="9"/>
        <v>0</v>
      </c>
      <c r="U61" s="664">
        <v>53207010000000</v>
      </c>
      <c r="V61" s="665" t="s">
        <v>147</v>
      </c>
      <c r="W61" s="666">
        <v>0</v>
      </c>
    </row>
    <row r="62" spans="1:23" ht="16" thickBot="1" x14ac:dyDescent="0.3">
      <c r="K62" s="697">
        <f>SUM(K15:K61)</f>
        <v>323394121.75427496</v>
      </c>
      <c r="M62" s="698">
        <f>+IFERROR((N62/$K$62),0)</f>
        <v>0.32176618788206579</v>
      </c>
      <c r="N62" s="699">
        <f>SUM(N15:N61)</f>
        <v>104057293.74034169</v>
      </c>
      <c r="O62" s="698">
        <f>+IFERROR((P62/$K$62),0)</f>
        <v>9.6606988375987246E-2</v>
      </c>
      <c r="P62" s="699">
        <f>SUM(P15:P61)</f>
        <v>31242132.161177848</v>
      </c>
      <c r="Q62" s="698">
        <f>+IFERROR((R62/$K$62),0)</f>
        <v>0.58162682374194707</v>
      </c>
      <c r="R62" s="699">
        <f>SUM(R15:R61)</f>
        <v>188094695.85275546</v>
      </c>
      <c r="U62" s="664">
        <v>53207020000000</v>
      </c>
      <c r="V62" s="665" t="s">
        <v>148</v>
      </c>
      <c r="W62" s="969">
        <v>480284.7</v>
      </c>
    </row>
    <row r="63" spans="1:23" ht="13" x14ac:dyDescent="0.25">
      <c r="K63" s="700">
        <v>1</v>
      </c>
      <c r="U63" s="664">
        <v>53208020000000</v>
      </c>
      <c r="V63" s="665" t="s">
        <v>149</v>
      </c>
      <c r="W63" s="969">
        <v>0</v>
      </c>
    </row>
    <row r="64" spans="1:23" ht="13" thickBot="1" x14ac:dyDescent="0.3">
      <c r="U64" s="664">
        <v>53208990000000</v>
      </c>
      <c r="V64" s="665" t="s">
        <v>150</v>
      </c>
      <c r="W64" s="969">
        <v>3867308.5500000003</v>
      </c>
    </row>
    <row r="65" spans="1:23" ht="14.5" x14ac:dyDescent="0.25">
      <c r="A65" s="1341" t="s">
        <v>479</v>
      </c>
      <c r="B65" s="1344" t="s">
        <v>480</v>
      </c>
      <c r="C65" s="623"/>
      <c r="D65" s="624"/>
      <c r="E65" s="625"/>
      <c r="F65" s="626" t="s">
        <v>481</v>
      </c>
      <c r="G65" s="627">
        <v>0</v>
      </c>
      <c r="H65" s="627">
        <v>0</v>
      </c>
      <c r="I65" s="628">
        <v>0</v>
      </c>
      <c r="J65" s="629">
        <f>SUM(G65:I65)</f>
        <v>0</v>
      </c>
      <c r="K65" s="630">
        <f>+J65*(1+$K$11)</f>
        <v>0</v>
      </c>
      <c r="L65" s="599"/>
      <c r="U65" s="664">
        <v>53209010000000</v>
      </c>
      <c r="V65" s="665" t="s">
        <v>151</v>
      </c>
      <c r="W65" s="969">
        <v>0</v>
      </c>
    </row>
    <row r="66" spans="1:23" ht="14.5" x14ac:dyDescent="0.25">
      <c r="A66" s="1342"/>
      <c r="B66" s="1345"/>
      <c r="C66" s="701"/>
      <c r="D66" s="702"/>
      <c r="E66" s="703"/>
      <c r="F66" s="704" t="s">
        <v>481</v>
      </c>
      <c r="G66" s="652">
        <v>0</v>
      </c>
      <c r="H66" s="652">
        <v>0</v>
      </c>
      <c r="I66" s="653">
        <v>0</v>
      </c>
      <c r="J66" s="654">
        <f>SUM(G66:I66)</f>
        <v>0</v>
      </c>
      <c r="K66" s="655">
        <f>+J66*(1+$K$11)</f>
        <v>0</v>
      </c>
      <c r="L66" s="599"/>
      <c r="U66" s="664">
        <v>53209040000000</v>
      </c>
      <c r="V66" s="665" t="s">
        <v>152</v>
      </c>
      <c r="W66" s="969">
        <v>0</v>
      </c>
    </row>
    <row r="67" spans="1:23" ht="14.5" x14ac:dyDescent="0.25">
      <c r="A67" s="1342"/>
      <c r="B67" s="1345"/>
      <c r="C67" s="701"/>
      <c r="D67" s="702"/>
      <c r="E67" s="703"/>
      <c r="F67" s="704" t="s">
        <v>481</v>
      </c>
      <c r="G67" s="652">
        <v>0</v>
      </c>
      <c r="H67" s="652">
        <v>0</v>
      </c>
      <c r="I67" s="653">
        <v>0</v>
      </c>
      <c r="J67" s="654">
        <f>SUM(G67:I67)</f>
        <v>0</v>
      </c>
      <c r="K67" s="655">
        <f>+J67*(1+$K$11)</f>
        <v>0</v>
      </c>
      <c r="L67" s="599"/>
      <c r="U67" s="664">
        <v>53209050000000</v>
      </c>
      <c r="V67" s="665" t="s">
        <v>153</v>
      </c>
      <c r="W67" s="969">
        <v>3506012.1600000001</v>
      </c>
    </row>
    <row r="68" spans="1:23" ht="14.5" x14ac:dyDescent="0.25">
      <c r="A68" s="1342"/>
      <c r="B68" s="1345"/>
      <c r="C68" s="647"/>
      <c r="D68" s="648"/>
      <c r="E68" s="649"/>
      <c r="F68" s="650" t="s">
        <v>481</v>
      </c>
      <c r="G68" s="652">
        <v>0</v>
      </c>
      <c r="H68" s="652">
        <v>0</v>
      </c>
      <c r="I68" s="653">
        <v>0</v>
      </c>
      <c r="J68" s="654">
        <f>SUM(G68:I68)</f>
        <v>0</v>
      </c>
      <c r="K68" s="655">
        <f>+J68*(1+$K$11)</f>
        <v>0</v>
      </c>
      <c r="L68" s="599"/>
      <c r="U68" s="664">
        <v>53209990000000</v>
      </c>
      <c r="V68" s="665" t="s">
        <v>154</v>
      </c>
      <c r="W68" s="969">
        <v>0</v>
      </c>
    </row>
    <row r="69" spans="1:23" ht="15" thickBot="1" x14ac:dyDescent="0.3">
      <c r="A69" s="1343"/>
      <c r="B69" s="1346"/>
      <c r="C69" s="671"/>
      <c r="D69" s="672"/>
      <c r="E69" s="673"/>
      <c r="F69" s="674" t="s">
        <v>481</v>
      </c>
      <c r="G69" s="676">
        <v>0</v>
      </c>
      <c r="H69" s="676">
        <v>0</v>
      </c>
      <c r="I69" s="677">
        <v>0</v>
      </c>
      <c r="J69" s="678">
        <f>SUM(G69:I69)</f>
        <v>0</v>
      </c>
      <c r="K69" s="679">
        <f>+J69*(1+$K$11)</f>
        <v>0</v>
      </c>
      <c r="L69" s="599"/>
      <c r="U69" s="664">
        <v>53210020100000</v>
      </c>
      <c r="V69" s="665" t="s">
        <v>155</v>
      </c>
      <c r="W69" s="969">
        <v>905041.30500000005</v>
      </c>
    </row>
    <row r="70" spans="1:23" ht="16" thickBot="1" x14ac:dyDescent="0.3">
      <c r="C70" s="598"/>
      <c r="D70" s="598"/>
      <c r="E70" s="705"/>
      <c r="F70" s="705"/>
      <c r="G70" s="705"/>
      <c r="H70" s="705"/>
      <c r="I70" s="705"/>
      <c r="K70" s="697">
        <f>SUM(K65:K69)</f>
        <v>0</v>
      </c>
      <c r="L70" s="599"/>
      <c r="U70" s="661"/>
      <c r="V70" s="662" t="s">
        <v>156</v>
      </c>
      <c r="W70" s="663">
        <f>SUM(W71:W77)</f>
        <v>5281266.7949999999</v>
      </c>
    </row>
    <row r="71" spans="1:23" ht="15" thickBot="1" x14ac:dyDescent="0.3">
      <c r="K71" s="700">
        <v>1</v>
      </c>
      <c r="L71" s="599"/>
      <c r="M71" s="706"/>
      <c r="O71" s="706"/>
      <c r="Q71" s="706"/>
      <c r="U71" s="664">
        <v>53206030000000</v>
      </c>
      <c r="V71" s="665" t="s">
        <v>157</v>
      </c>
      <c r="W71" s="666">
        <v>0</v>
      </c>
    </row>
    <row r="72" spans="1:23" ht="14.5" x14ac:dyDescent="0.25">
      <c r="A72" s="1341" t="s">
        <v>479</v>
      </c>
      <c r="B72" s="1344" t="s">
        <v>482</v>
      </c>
      <c r="C72" s="623"/>
      <c r="D72" s="624"/>
      <c r="E72" s="625"/>
      <c r="F72" s="626" t="s">
        <v>481</v>
      </c>
      <c r="G72" s="627">
        <v>0</v>
      </c>
      <c r="H72" s="627">
        <v>0</v>
      </c>
      <c r="I72" s="628">
        <v>0</v>
      </c>
      <c r="J72" s="629">
        <f>SUM(G72:I72)</f>
        <v>0</v>
      </c>
      <c r="K72" s="630">
        <f>+J72*(1+$K$11)</f>
        <v>0</v>
      </c>
      <c r="U72" s="664">
        <v>53206040000000</v>
      </c>
      <c r="V72" s="665" t="s">
        <v>158</v>
      </c>
      <c r="W72" s="666">
        <v>0</v>
      </c>
    </row>
    <row r="73" spans="1:23" ht="14.5" x14ac:dyDescent="0.25">
      <c r="A73" s="1342"/>
      <c r="B73" s="1345"/>
      <c r="C73" s="701"/>
      <c r="D73" s="702"/>
      <c r="E73" s="703"/>
      <c r="F73" s="704" t="s">
        <v>481</v>
      </c>
      <c r="G73" s="652">
        <v>0</v>
      </c>
      <c r="H73" s="652">
        <v>0</v>
      </c>
      <c r="I73" s="653">
        <v>0</v>
      </c>
      <c r="J73" s="654">
        <f>SUM(G73:I73)</f>
        <v>0</v>
      </c>
      <c r="K73" s="655">
        <f>+J73*(1+$K$11)</f>
        <v>0</v>
      </c>
      <c r="U73" s="664">
        <v>53206060000000</v>
      </c>
      <c r="V73" s="665" t="s">
        <v>159</v>
      </c>
      <c r="W73" s="666">
        <v>0</v>
      </c>
    </row>
    <row r="74" spans="1:23" ht="14.5" x14ac:dyDescent="0.25">
      <c r="A74" s="1342"/>
      <c r="B74" s="1345"/>
      <c r="C74" s="701"/>
      <c r="D74" s="702"/>
      <c r="E74" s="703"/>
      <c r="F74" s="704" t="s">
        <v>481</v>
      </c>
      <c r="G74" s="652">
        <v>0</v>
      </c>
      <c r="H74" s="652">
        <v>0</v>
      </c>
      <c r="I74" s="653">
        <v>0</v>
      </c>
      <c r="J74" s="654">
        <f>SUM(G74:I74)</f>
        <v>0</v>
      </c>
      <c r="K74" s="655">
        <f>+J74*(1+$K$11)</f>
        <v>0</v>
      </c>
      <c r="U74" s="664">
        <v>53206070000000</v>
      </c>
      <c r="V74" s="665" t="s">
        <v>160</v>
      </c>
      <c r="W74" s="666">
        <v>0</v>
      </c>
    </row>
    <row r="75" spans="1:23" ht="14.5" x14ac:dyDescent="0.25">
      <c r="A75" s="1342"/>
      <c r="B75" s="1345"/>
      <c r="C75" s="647"/>
      <c r="D75" s="648"/>
      <c r="E75" s="649"/>
      <c r="F75" s="650" t="s">
        <v>481</v>
      </c>
      <c r="G75" s="652">
        <v>0</v>
      </c>
      <c r="H75" s="652">
        <v>0</v>
      </c>
      <c r="I75" s="653">
        <v>0</v>
      </c>
      <c r="J75" s="654">
        <f>SUM(G75:I75)</f>
        <v>0</v>
      </c>
      <c r="K75" s="655">
        <f>+J75*(1+$K$11)</f>
        <v>0</v>
      </c>
      <c r="U75" s="664">
        <v>53206990000000</v>
      </c>
      <c r="V75" s="665" t="s">
        <v>161</v>
      </c>
      <c r="W75" s="969">
        <v>781333.45499999996</v>
      </c>
    </row>
    <row r="76" spans="1:23" ht="15" thickBot="1" x14ac:dyDescent="0.3">
      <c r="A76" s="1343"/>
      <c r="B76" s="1346"/>
      <c r="C76" s="671"/>
      <c r="D76" s="672"/>
      <c r="E76" s="673"/>
      <c r="F76" s="674" t="s">
        <v>481</v>
      </c>
      <c r="G76" s="676">
        <v>0</v>
      </c>
      <c r="H76" s="676">
        <v>0</v>
      </c>
      <c r="I76" s="677">
        <v>0</v>
      </c>
      <c r="J76" s="678">
        <f>SUM(G76:I76)</f>
        <v>0</v>
      </c>
      <c r="K76" s="679">
        <f>+J76*(1+$K$11)</f>
        <v>0</v>
      </c>
      <c r="U76" s="664">
        <v>53208030000000</v>
      </c>
      <c r="V76" s="665" t="s">
        <v>162</v>
      </c>
      <c r="W76" s="969">
        <v>0</v>
      </c>
    </row>
    <row r="77" spans="1:23" ht="16" thickBot="1" x14ac:dyDescent="0.3">
      <c r="C77" s="598"/>
      <c r="D77" s="598"/>
      <c r="E77" s="705"/>
      <c r="F77" s="705"/>
      <c r="G77" s="705"/>
      <c r="H77" s="705"/>
      <c r="I77" s="705"/>
      <c r="K77" s="697">
        <f>SUM(K72:K76)</f>
        <v>0</v>
      </c>
      <c r="U77" s="664">
        <v>53212060000000</v>
      </c>
      <c r="V77" s="665" t="s">
        <v>163</v>
      </c>
      <c r="W77" s="969">
        <v>4499933.34</v>
      </c>
    </row>
    <row r="78" spans="1:23" ht="13.5" thickBot="1" x14ac:dyDescent="0.3">
      <c r="K78" s="700">
        <v>1</v>
      </c>
      <c r="U78" s="661"/>
      <c r="V78" s="662" t="s">
        <v>164</v>
      </c>
      <c r="W78" s="663">
        <f>SUM(W79:W79)</f>
        <v>9472025.3949999996</v>
      </c>
    </row>
    <row r="79" spans="1:23" ht="14.5" x14ac:dyDescent="0.35">
      <c r="A79" s="1347" t="s">
        <v>192</v>
      </c>
      <c r="B79" s="1350" t="s">
        <v>193</v>
      </c>
      <c r="C79" s="312" t="s">
        <v>386</v>
      </c>
      <c r="D79" s="119" t="s">
        <v>387</v>
      </c>
      <c r="E79" s="486" t="s">
        <v>388</v>
      </c>
      <c r="F79" s="487" t="s">
        <v>391</v>
      </c>
      <c r="G79" s="120">
        <f>1660963*12</f>
        <v>19931556</v>
      </c>
      <c r="H79" s="120">
        <v>159742</v>
      </c>
      <c r="I79" s="121">
        <v>160844</v>
      </c>
      <c r="J79" s="122">
        <f>SUM(G79:I79)</f>
        <v>20252142</v>
      </c>
      <c r="K79" s="123">
        <f>+((G79*(1+$K$11))+H79+I79)</f>
        <v>21149062.02</v>
      </c>
      <c r="U79" s="664">
        <v>53204999000000</v>
      </c>
      <c r="V79" s="665" t="s">
        <v>166</v>
      </c>
      <c r="W79" s="969">
        <f>4301440.395+5170585</f>
        <v>9472025.3949999996</v>
      </c>
    </row>
    <row r="80" spans="1:23" ht="14.5" x14ac:dyDescent="0.35">
      <c r="A80" s="1348"/>
      <c r="B80" s="1351"/>
      <c r="C80" s="139" t="s">
        <v>389</v>
      </c>
      <c r="D80" s="140" t="s">
        <v>390</v>
      </c>
      <c r="E80" s="313" t="s">
        <v>388</v>
      </c>
      <c r="F80" s="314" t="s">
        <v>392</v>
      </c>
      <c r="G80" s="125">
        <f>1050408*12</f>
        <v>12604896</v>
      </c>
      <c r="H80" s="125">
        <v>159742</v>
      </c>
      <c r="I80" s="302">
        <v>160844</v>
      </c>
      <c r="J80" s="126">
        <f>SUM(G80:I80)</f>
        <v>12925482</v>
      </c>
      <c r="K80" s="127">
        <f>+((G80*(1+$K$11))+H80+I80)</f>
        <v>13492702.319999998</v>
      </c>
      <c r="U80" s="707"/>
      <c r="V80" s="708" t="s">
        <v>194</v>
      </c>
      <c r="W80" s="709">
        <f>+W40+W15</f>
        <v>81228572.354999989</v>
      </c>
    </row>
    <row r="81" spans="1:12" ht="14.5" x14ac:dyDescent="0.35">
      <c r="A81" s="1348"/>
      <c r="B81" s="1351"/>
      <c r="C81" s="139"/>
      <c r="D81" s="140"/>
      <c r="E81" s="313"/>
      <c r="F81" s="314"/>
      <c r="G81" s="125"/>
      <c r="H81" s="125"/>
      <c r="I81" s="302"/>
      <c r="J81" s="126">
        <f>SUM(G81:I81)</f>
        <v>0</v>
      </c>
      <c r="K81" s="127">
        <f>G81*(1+$K$11)+H81+I81</f>
        <v>0</v>
      </c>
    </row>
    <row r="82" spans="1:12" ht="14.5" x14ac:dyDescent="0.35">
      <c r="A82" s="1348"/>
      <c r="B82" s="1351"/>
      <c r="C82" s="499"/>
      <c r="D82" s="124"/>
      <c r="E82" s="497"/>
      <c r="F82" s="496"/>
      <c r="G82" s="125"/>
      <c r="H82" s="125"/>
      <c r="I82" s="302"/>
      <c r="J82" s="126">
        <f>SUM(G82:I82)</f>
        <v>0</v>
      </c>
      <c r="K82" s="127">
        <f>G82*(1+$K$11)+H82+I82</f>
        <v>0</v>
      </c>
    </row>
    <row r="83" spans="1:12" ht="15" thickBot="1" x14ac:dyDescent="0.4">
      <c r="A83" s="1349"/>
      <c r="B83" s="1352"/>
      <c r="C83" s="128"/>
      <c r="D83" s="129"/>
      <c r="E83" s="130"/>
      <c r="F83" s="131"/>
      <c r="G83" s="132"/>
      <c r="H83" s="132"/>
      <c r="I83" s="133"/>
      <c r="J83" s="134">
        <f>SUM(G83:I83)</f>
        <v>0</v>
      </c>
      <c r="K83" s="135">
        <f>G83*(1+$K$11)+H83+I83</f>
        <v>0</v>
      </c>
    </row>
    <row r="84" spans="1:12" ht="16" thickBot="1" x14ac:dyDescent="0.4">
      <c r="A84" s="115"/>
      <c r="B84" s="115"/>
      <c r="C84" s="116"/>
      <c r="D84" s="116"/>
      <c r="E84" s="141"/>
      <c r="F84" s="141"/>
      <c r="G84" s="141"/>
      <c r="H84" s="141"/>
      <c r="I84" s="141"/>
      <c r="J84" s="115"/>
      <c r="K84" s="137">
        <f>SUM(K79:K83)</f>
        <v>34641764.339999996</v>
      </c>
    </row>
    <row r="85" spans="1:12" ht="14.5" x14ac:dyDescent="0.35">
      <c r="A85" s="115"/>
      <c r="B85" s="115"/>
      <c r="C85" s="115"/>
      <c r="D85" s="115"/>
      <c r="E85" s="115"/>
      <c r="F85" s="115"/>
      <c r="G85" s="115"/>
      <c r="H85" s="115"/>
      <c r="I85" s="115"/>
      <c r="J85" s="115"/>
      <c r="K85" s="138">
        <v>1</v>
      </c>
    </row>
    <row r="94" spans="1:12" x14ac:dyDescent="0.25">
      <c r="L94" s="710"/>
    </row>
    <row r="96" spans="1:12" x14ac:dyDescent="0.25">
      <c r="K96" s="711"/>
    </row>
    <row r="98" spans="11:11" x14ac:dyDescent="0.25">
      <c r="K98" s="712"/>
    </row>
  </sheetData>
  <mergeCells count="47">
    <mergeCell ref="B40:B61"/>
    <mergeCell ref="A15:A61"/>
    <mergeCell ref="B15:B24"/>
    <mergeCell ref="AR13:AS13"/>
    <mergeCell ref="AN14:AO14"/>
    <mergeCell ref="AP14:AQ14"/>
    <mergeCell ref="AR14:AS14"/>
    <mergeCell ref="B25:B34"/>
    <mergeCell ref="B35:B39"/>
    <mergeCell ref="AN15:AO15"/>
    <mergeCell ref="AP15:AQ15"/>
    <mergeCell ref="AR15:AS15"/>
    <mergeCell ref="AB13:AC13"/>
    <mergeCell ref="AD13:AE13"/>
    <mergeCell ref="AG13:AH13"/>
    <mergeCell ref="AI13:AJ13"/>
    <mergeCell ref="AK13:AL13"/>
    <mergeCell ref="AN13:AO13"/>
    <mergeCell ref="AP13:AQ13"/>
    <mergeCell ref="Z13:AA13"/>
    <mergeCell ref="M12:R12"/>
    <mergeCell ref="S13:S14"/>
    <mergeCell ref="U13:U14"/>
    <mergeCell ref="V13:V14"/>
    <mergeCell ref="W13:W14"/>
    <mergeCell ref="A13:B14"/>
    <mergeCell ref="C13:C14"/>
    <mergeCell ref="D13:D14"/>
    <mergeCell ref="E13:E14"/>
    <mergeCell ref="F13:F14"/>
    <mergeCell ref="G13:J13"/>
    <mergeCell ref="K13:K14"/>
    <mergeCell ref="M13:N13"/>
    <mergeCell ref="O13:P13"/>
    <mergeCell ref="Q13:R13"/>
    <mergeCell ref="AN9:AS10"/>
    <mergeCell ref="A9:H9"/>
    <mergeCell ref="M9:S10"/>
    <mergeCell ref="U9:W10"/>
    <mergeCell ref="Z9:AE10"/>
    <mergeCell ref="AG9:AL10"/>
    <mergeCell ref="A65:A69"/>
    <mergeCell ref="B65:B69"/>
    <mergeCell ref="A72:A76"/>
    <mergeCell ref="B72:B76"/>
    <mergeCell ref="A79:A83"/>
    <mergeCell ref="B79:B83"/>
  </mergeCells>
  <conditionalFormatting sqref="S15:S61">
    <cfRule type="cellIs" dxfId="12" priority="1" operator="equal">
      <formula>1</formula>
    </cfRule>
  </conditionalFormatting>
  <pageMargins left="0.7" right="0.7" top="0.75" bottom="0.75" header="0.3" footer="0.3"/>
  <ignoredErrors>
    <ignoredError sqref="G22:G23" unlockedFormula="1"/>
  </ignoredErrors>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299"/>
  <sheetViews>
    <sheetView topLeftCell="A40" zoomScale="78" zoomScaleNormal="78" workbookViewId="0">
      <selection activeCell="I274" sqref="I274"/>
    </sheetView>
  </sheetViews>
  <sheetFormatPr baseColWidth="10" defaultRowHeight="14.5" x14ac:dyDescent="0.35"/>
  <cols>
    <col min="1" max="1" width="11.453125" style="206" customWidth="1"/>
    <col min="2" max="2" width="19.1796875" style="206" bestFit="1" customWidth="1"/>
    <col min="3" max="3" width="19.1796875" style="206" customWidth="1"/>
    <col min="4" max="4" width="43.81640625" style="206" bestFit="1" customWidth="1"/>
    <col min="5" max="5" width="24.7265625" style="206" customWidth="1"/>
    <col min="6" max="6" width="41.81640625" style="206" customWidth="1"/>
    <col min="7" max="7" width="37.7265625" style="206" bestFit="1" customWidth="1"/>
    <col min="8" max="8" width="15.81640625" style="206" customWidth="1"/>
    <col min="9" max="10" width="15.54296875" style="206" customWidth="1"/>
    <col min="11" max="11" width="15" style="206" customWidth="1"/>
    <col min="12" max="12" width="20.453125" style="206" customWidth="1"/>
    <col min="13" max="13" width="24" style="206" customWidth="1"/>
    <col min="14" max="14" width="11.453125" customWidth="1"/>
    <col min="16" max="19" width="11.453125" customWidth="1"/>
  </cols>
  <sheetData>
    <row r="1" spans="2:13" x14ac:dyDescent="0.35">
      <c r="B1" s="2"/>
      <c r="C1" s="2"/>
      <c r="D1" s="2"/>
      <c r="E1" s="2"/>
      <c r="F1" s="3"/>
      <c r="G1" s="3"/>
      <c r="H1" s="3"/>
      <c r="I1" s="3"/>
      <c r="J1" s="2"/>
      <c r="K1" s="3"/>
      <c r="L1" s="2"/>
      <c r="M1" s="2"/>
    </row>
    <row r="2" spans="2:13" x14ac:dyDescent="0.35">
      <c r="B2" s="2"/>
      <c r="C2" s="2"/>
      <c r="D2" s="2"/>
      <c r="E2" s="2"/>
      <c r="F2" s="3" t="s">
        <v>202</v>
      </c>
      <c r="G2" s="3"/>
      <c r="H2" s="3"/>
      <c r="I2" s="3"/>
      <c r="J2" s="2"/>
      <c r="K2" s="3"/>
      <c r="L2" s="2"/>
      <c r="M2" s="2"/>
    </row>
    <row r="3" spans="2:13" x14ac:dyDescent="0.35">
      <c r="B3" s="924"/>
      <c r="C3" s="924"/>
      <c r="D3" s="2"/>
      <c r="E3" s="2"/>
      <c r="F3" s="2"/>
      <c r="G3" s="2"/>
      <c r="H3" s="2"/>
      <c r="I3" s="2"/>
      <c r="J3" s="2"/>
      <c r="K3" s="2"/>
      <c r="L3" s="2"/>
      <c r="M3" s="2"/>
    </row>
    <row r="4" spans="2:13" ht="15.5" x14ac:dyDescent="0.35">
      <c r="B4" s="924"/>
      <c r="C4" s="924"/>
      <c r="D4" s="2"/>
      <c r="E4" s="925" t="s">
        <v>1</v>
      </c>
      <c r="F4" s="926" t="str">
        <f>+'[1]B) Reajuste Tarifas y Ocupación'!F5</f>
        <v>BIENTALC</v>
      </c>
      <c r="G4" s="927"/>
      <c r="H4" s="928"/>
      <c r="I4" s="928"/>
      <c r="J4" s="928"/>
      <c r="K4" s="928"/>
      <c r="L4" s="2"/>
      <c r="M4" s="2"/>
    </row>
    <row r="5" spans="2:13" x14ac:dyDescent="0.35">
      <c r="B5" s="924"/>
      <c r="C5" s="924"/>
      <c r="D5" s="2"/>
      <c r="E5" s="8"/>
      <c r="F5" s="3"/>
      <c r="G5" s="3"/>
      <c r="H5" s="3"/>
      <c r="I5" s="3"/>
      <c r="J5" s="3"/>
      <c r="K5" s="3"/>
      <c r="L5" s="2"/>
      <c r="M5" s="2"/>
    </row>
    <row r="6" spans="2:13" x14ac:dyDescent="0.35">
      <c r="B6" s="924"/>
      <c r="C6" s="924"/>
      <c r="D6" s="2"/>
      <c r="E6" s="8"/>
      <c r="F6" s="3"/>
      <c r="G6" s="3"/>
      <c r="H6" s="3"/>
      <c r="I6" s="3"/>
      <c r="J6" s="3"/>
      <c r="K6" s="3"/>
      <c r="L6" s="2"/>
      <c r="M6" s="2"/>
    </row>
    <row r="7" spans="2:13" ht="15.5" x14ac:dyDescent="0.35">
      <c r="B7" s="1214" t="s">
        <v>203</v>
      </c>
      <c r="C7" s="1214"/>
      <c r="D7" s="1214"/>
      <c r="E7" s="1214"/>
      <c r="F7" s="1214"/>
      <c r="G7" s="929"/>
      <c r="H7" s="929"/>
      <c r="I7" s="929"/>
      <c r="J7" s="3"/>
      <c r="K7" s="929"/>
      <c r="L7" s="930" t="s">
        <v>55</v>
      </c>
      <c r="M7" s="931">
        <v>4.4999999999999998E-2</v>
      </c>
    </row>
    <row r="8" spans="2:13" ht="15" thickBot="1" x14ac:dyDescent="0.4">
      <c r="B8"/>
      <c r="C8"/>
      <c r="D8"/>
      <c r="E8"/>
      <c r="F8"/>
      <c r="G8"/>
      <c r="H8"/>
      <c r="I8"/>
      <c r="J8"/>
      <c r="K8"/>
      <c r="L8" s="930" t="s">
        <v>335</v>
      </c>
      <c r="M8" s="931">
        <v>0</v>
      </c>
    </row>
    <row r="9" spans="2:13" ht="15" customHeight="1" x14ac:dyDescent="0.35">
      <c r="B9" s="1439" t="s">
        <v>3</v>
      </c>
      <c r="C9" s="1415" t="s">
        <v>204</v>
      </c>
      <c r="D9" s="1441" t="s">
        <v>174</v>
      </c>
      <c r="E9" s="1441" t="s">
        <v>175</v>
      </c>
      <c r="F9" s="1428" t="s">
        <v>176</v>
      </c>
      <c r="G9" s="1428" t="s">
        <v>25</v>
      </c>
      <c r="H9" s="1415" t="s">
        <v>655</v>
      </c>
      <c r="I9" s="1415" t="s">
        <v>181</v>
      </c>
      <c r="J9" s="1415" t="s">
        <v>182</v>
      </c>
      <c r="K9" s="1415" t="s">
        <v>500</v>
      </c>
      <c r="L9" s="1426" t="s">
        <v>490</v>
      </c>
      <c r="M9" s="1443" t="s">
        <v>205</v>
      </c>
    </row>
    <row r="10" spans="2:13" ht="24.75" customHeight="1" thickBot="1" x14ac:dyDescent="0.4">
      <c r="B10" s="1440"/>
      <c r="C10" s="1416"/>
      <c r="D10" s="1442"/>
      <c r="E10" s="1442"/>
      <c r="F10" s="1429"/>
      <c r="G10" s="1429"/>
      <c r="H10" s="1416"/>
      <c r="I10" s="1416"/>
      <c r="J10" s="1446"/>
      <c r="K10" s="1416"/>
      <c r="L10" s="1427"/>
      <c r="M10" s="1444"/>
    </row>
    <row r="11" spans="2:13" x14ac:dyDescent="0.35">
      <c r="B11" s="1436" t="str">
        <f>+'B) Reajuste Tarifas y Ocupación'!A12</f>
        <v>C. H. Carlos Condell</v>
      </c>
      <c r="C11" s="1409" t="s">
        <v>206</v>
      </c>
      <c r="D11" s="1146" t="s">
        <v>396</v>
      </c>
      <c r="E11" s="1146" t="s">
        <v>397</v>
      </c>
      <c r="F11" s="1146" t="s">
        <v>394</v>
      </c>
      <c r="G11" s="1147" t="s">
        <v>399</v>
      </c>
      <c r="H11" s="120">
        <v>7887216</v>
      </c>
      <c r="I11" s="125">
        <v>386476</v>
      </c>
      <c r="J11" s="121">
        <v>174472</v>
      </c>
      <c r="K11" s="474">
        <f>SUM(H11:J11)</f>
        <v>8448164</v>
      </c>
      <c r="L11" s="1151">
        <f>(H11+(1+$M$7))+I11+J11</f>
        <v>8448165.0449999999</v>
      </c>
      <c r="M11" s="1430">
        <f>SUM(L11:L32)</f>
        <v>48905426.270000003</v>
      </c>
    </row>
    <row r="12" spans="2:13" x14ac:dyDescent="0.35">
      <c r="B12" s="1437"/>
      <c r="C12" s="1410"/>
      <c r="D12" s="1148" t="s">
        <v>511</v>
      </c>
      <c r="E12" s="1149" t="s">
        <v>512</v>
      </c>
      <c r="F12" s="1149" t="s">
        <v>394</v>
      </c>
      <c r="G12" s="1150" t="s">
        <v>399</v>
      </c>
      <c r="H12" s="125">
        <v>8056044</v>
      </c>
      <c r="I12" s="125">
        <v>386476</v>
      </c>
      <c r="J12" s="302">
        <v>174472</v>
      </c>
      <c r="K12" s="475">
        <f>SUM(H12:J12)</f>
        <v>8616992</v>
      </c>
      <c r="L12" s="1152">
        <f t="shared" ref="L12:L16" si="0">(H12+(1+$M$7))+I12+J12</f>
        <v>8616993.0449999999</v>
      </c>
      <c r="M12" s="1431"/>
    </row>
    <row r="13" spans="2:13" x14ac:dyDescent="0.35">
      <c r="B13" s="1437"/>
      <c r="C13" s="1410"/>
      <c r="D13" s="1149" t="s">
        <v>513</v>
      </c>
      <c r="E13" s="1149" t="s">
        <v>514</v>
      </c>
      <c r="F13" s="1149" t="s">
        <v>394</v>
      </c>
      <c r="G13" s="1150" t="s">
        <v>399</v>
      </c>
      <c r="H13" s="125">
        <v>8407944</v>
      </c>
      <c r="I13" s="125">
        <v>386476</v>
      </c>
      <c r="J13" s="302">
        <v>174472</v>
      </c>
      <c r="K13" s="475">
        <f t="shared" ref="K13:K20" si="1">SUM(H13:J13)</f>
        <v>8968892</v>
      </c>
      <c r="L13" s="1152">
        <f t="shared" si="0"/>
        <v>8968893.0449999999</v>
      </c>
      <c r="M13" s="1431"/>
    </row>
    <row r="14" spans="2:13" x14ac:dyDescent="0.35">
      <c r="B14" s="1437"/>
      <c r="C14" s="1410"/>
      <c r="D14" s="1149" t="s">
        <v>411</v>
      </c>
      <c r="E14" s="1149" t="s">
        <v>412</v>
      </c>
      <c r="F14" s="1149" t="s">
        <v>401</v>
      </c>
      <c r="G14" s="1150" t="s">
        <v>399</v>
      </c>
      <c r="H14" s="291">
        <v>4094016</v>
      </c>
      <c r="I14" s="125">
        <v>386476</v>
      </c>
      <c r="J14" s="302">
        <v>174472</v>
      </c>
      <c r="K14" s="475">
        <f t="shared" si="1"/>
        <v>4654964</v>
      </c>
      <c r="L14" s="1152">
        <f t="shared" si="0"/>
        <v>4654965.0449999999</v>
      </c>
      <c r="M14" s="1431"/>
    </row>
    <row r="15" spans="2:13" x14ac:dyDescent="0.35">
      <c r="B15" s="1437"/>
      <c r="C15" s="1410"/>
      <c r="D15" s="1149" t="s">
        <v>400</v>
      </c>
      <c r="E15" s="1149" t="s">
        <v>398</v>
      </c>
      <c r="F15" s="1149" t="s">
        <v>395</v>
      </c>
      <c r="G15" s="1150" t="s">
        <v>399</v>
      </c>
      <c r="H15" s="291">
        <v>9193680</v>
      </c>
      <c r="I15" s="125">
        <v>386476</v>
      </c>
      <c r="J15" s="302">
        <v>172044</v>
      </c>
      <c r="K15" s="475">
        <f t="shared" si="1"/>
        <v>9752200</v>
      </c>
      <c r="L15" s="1152">
        <f t="shared" si="0"/>
        <v>9752201.0449999999</v>
      </c>
      <c r="M15" s="1431"/>
    </row>
    <row r="16" spans="2:13" x14ac:dyDescent="0.35">
      <c r="B16" s="1437"/>
      <c r="C16" s="1410"/>
      <c r="D16" s="1149" t="s">
        <v>413</v>
      </c>
      <c r="E16" s="1149" t="s">
        <v>414</v>
      </c>
      <c r="F16" s="1149" t="s">
        <v>401</v>
      </c>
      <c r="G16" s="1150" t="s">
        <v>399</v>
      </c>
      <c r="H16" s="291">
        <v>7903260</v>
      </c>
      <c r="I16" s="125">
        <v>386476</v>
      </c>
      <c r="J16" s="302">
        <v>174472</v>
      </c>
      <c r="K16" s="475">
        <f t="shared" si="1"/>
        <v>8464208</v>
      </c>
      <c r="L16" s="1152">
        <f t="shared" si="0"/>
        <v>8464209.0449999999</v>
      </c>
      <c r="M16" s="1431"/>
    </row>
    <row r="17" spans="2:17" x14ac:dyDescent="0.35">
      <c r="B17" s="1437"/>
      <c r="C17" s="1410"/>
      <c r="D17" s="124"/>
      <c r="E17" s="124"/>
      <c r="F17" s="124"/>
      <c r="G17" s="301"/>
      <c r="H17" s="291"/>
      <c r="I17" s="125"/>
      <c r="J17" s="302"/>
      <c r="K17" s="475">
        <f t="shared" si="1"/>
        <v>0</v>
      </c>
      <c r="L17" s="126">
        <f t="shared" ref="L17:L75" si="2">+(H17*(1+$M$7))+I17+J17</f>
        <v>0</v>
      </c>
      <c r="M17" s="1431"/>
      <c r="N17" s="922"/>
      <c r="P17" s="923"/>
      <c r="Q17" s="923"/>
    </row>
    <row r="18" spans="2:17" x14ac:dyDescent="0.35">
      <c r="B18" s="1437"/>
      <c r="C18" s="1410"/>
      <c r="D18" s="124"/>
      <c r="E18" s="124"/>
      <c r="F18" s="124"/>
      <c r="G18" s="292"/>
      <c r="H18" s="291"/>
      <c r="I18" s="291"/>
      <c r="J18" s="303"/>
      <c r="K18" s="475">
        <f t="shared" si="1"/>
        <v>0</v>
      </c>
      <c r="L18" s="126">
        <f t="shared" si="2"/>
        <v>0</v>
      </c>
      <c r="M18" s="1431"/>
      <c r="N18" s="922"/>
      <c r="P18" s="923"/>
      <c r="Q18" s="923"/>
    </row>
    <row r="19" spans="2:17" x14ac:dyDescent="0.35">
      <c r="B19" s="1437"/>
      <c r="C19" s="1410"/>
      <c r="D19" s="124"/>
      <c r="E19" s="124"/>
      <c r="F19" s="124"/>
      <c r="G19" s="292"/>
      <c r="H19" s="291"/>
      <c r="I19" s="291"/>
      <c r="J19" s="303"/>
      <c r="K19" s="475">
        <f t="shared" si="1"/>
        <v>0</v>
      </c>
      <c r="L19" s="126">
        <f t="shared" si="2"/>
        <v>0</v>
      </c>
      <c r="M19" s="1431"/>
      <c r="N19" s="922"/>
      <c r="P19" s="923"/>
      <c r="Q19" s="923"/>
    </row>
    <row r="20" spans="2:17" x14ac:dyDescent="0.35">
      <c r="B20" s="1437"/>
      <c r="C20" s="1410"/>
      <c r="D20" s="124"/>
      <c r="E20" s="124"/>
      <c r="F20" s="124"/>
      <c r="G20" s="292"/>
      <c r="H20" s="291"/>
      <c r="I20" s="291"/>
      <c r="J20" s="303"/>
      <c r="K20" s="475">
        <f t="shared" si="1"/>
        <v>0</v>
      </c>
      <c r="L20" s="126">
        <f t="shared" si="2"/>
        <v>0</v>
      </c>
      <c r="M20" s="1431"/>
      <c r="N20" s="922"/>
      <c r="P20" s="923"/>
      <c r="Q20" s="923"/>
    </row>
    <row r="21" spans="2:17" ht="15" thickBot="1" x14ac:dyDescent="0.4">
      <c r="B21" s="1437"/>
      <c r="C21" s="1425"/>
      <c r="D21" s="129"/>
      <c r="E21" s="129"/>
      <c r="F21" s="129"/>
      <c r="G21" s="293"/>
      <c r="H21" s="294"/>
      <c r="I21" s="294"/>
      <c r="J21" s="341"/>
      <c r="K21" s="476">
        <f>SUM(H21:J21)</f>
        <v>0</v>
      </c>
      <c r="L21" s="134">
        <f t="shared" si="2"/>
        <v>0</v>
      </c>
      <c r="M21" s="1431"/>
      <c r="N21" s="922"/>
      <c r="P21" s="923"/>
      <c r="Q21" s="923"/>
    </row>
    <row r="22" spans="2:17" x14ac:dyDescent="0.35">
      <c r="B22" s="1437"/>
      <c r="C22" s="1413" t="s">
        <v>207</v>
      </c>
      <c r="D22" s="344"/>
      <c r="E22" s="344"/>
      <c r="F22" s="344"/>
      <c r="G22" s="345"/>
      <c r="H22" s="299"/>
      <c r="I22" s="299"/>
      <c r="J22" s="343"/>
      <c r="K22" s="477">
        <f>SUM(H22:J22)</f>
        <v>0</v>
      </c>
      <c r="L22" s="478">
        <f t="shared" si="2"/>
        <v>0</v>
      </c>
      <c r="M22" s="1431"/>
      <c r="N22" s="922"/>
      <c r="P22" s="923"/>
      <c r="Q22" s="923"/>
    </row>
    <row r="23" spans="2:17" x14ac:dyDescent="0.35">
      <c r="B23" s="1437"/>
      <c r="C23" s="1413"/>
      <c r="D23" s="124"/>
      <c r="E23" s="124"/>
      <c r="F23" s="124"/>
      <c r="G23" s="292"/>
      <c r="H23" s="291"/>
      <c r="I23" s="291"/>
      <c r="J23" s="303"/>
      <c r="K23" s="475">
        <f t="shared" ref="K23:K31" si="3">SUM(H23:J23)</f>
        <v>0</v>
      </c>
      <c r="L23" s="126">
        <f t="shared" si="2"/>
        <v>0</v>
      </c>
      <c r="M23" s="1431"/>
      <c r="N23" s="922"/>
      <c r="P23" s="923"/>
      <c r="Q23" s="923"/>
    </row>
    <row r="24" spans="2:17" x14ac:dyDescent="0.35">
      <c r="B24" s="1437"/>
      <c r="C24" s="1413"/>
      <c r="D24" s="124"/>
      <c r="E24" s="124"/>
      <c r="F24" s="124"/>
      <c r="G24" s="292"/>
      <c r="H24" s="291"/>
      <c r="I24" s="291"/>
      <c r="J24" s="303"/>
      <c r="K24" s="475">
        <f t="shared" si="3"/>
        <v>0</v>
      </c>
      <c r="L24" s="126">
        <f t="shared" si="2"/>
        <v>0</v>
      </c>
      <c r="M24" s="1431"/>
      <c r="N24" s="922"/>
      <c r="P24" s="923"/>
      <c r="Q24" s="923"/>
    </row>
    <row r="25" spans="2:17" x14ac:dyDescent="0.35">
      <c r="B25" s="1437"/>
      <c r="C25" s="1413"/>
      <c r="D25" s="124"/>
      <c r="E25" s="124"/>
      <c r="F25" s="124"/>
      <c r="G25" s="292"/>
      <c r="H25" s="291"/>
      <c r="I25" s="291"/>
      <c r="J25" s="303"/>
      <c r="K25" s="475">
        <f t="shared" si="3"/>
        <v>0</v>
      </c>
      <c r="L25" s="126">
        <f t="shared" si="2"/>
        <v>0</v>
      </c>
      <c r="M25" s="1431"/>
      <c r="N25" s="922"/>
      <c r="P25" s="923"/>
      <c r="Q25" s="923"/>
    </row>
    <row r="26" spans="2:17" x14ac:dyDescent="0.35">
      <c r="B26" s="1437"/>
      <c r="C26" s="1413"/>
      <c r="D26" s="124"/>
      <c r="E26" s="124"/>
      <c r="F26" s="124"/>
      <c r="G26" s="292"/>
      <c r="H26" s="291"/>
      <c r="I26" s="291"/>
      <c r="J26" s="303"/>
      <c r="K26" s="475">
        <f t="shared" si="3"/>
        <v>0</v>
      </c>
      <c r="L26" s="126">
        <f t="shared" si="2"/>
        <v>0</v>
      </c>
      <c r="M26" s="1431"/>
      <c r="N26" s="922"/>
      <c r="P26" s="923"/>
      <c r="Q26" s="923"/>
    </row>
    <row r="27" spans="2:17" x14ac:dyDescent="0.35">
      <c r="B27" s="1437"/>
      <c r="C27" s="1413"/>
      <c r="D27" s="124"/>
      <c r="E27" s="124"/>
      <c r="F27" s="124"/>
      <c r="G27" s="292"/>
      <c r="H27" s="291"/>
      <c r="I27" s="291"/>
      <c r="J27" s="303"/>
      <c r="K27" s="475">
        <f t="shared" si="3"/>
        <v>0</v>
      </c>
      <c r="L27" s="126">
        <f t="shared" si="2"/>
        <v>0</v>
      </c>
      <c r="M27" s="1431"/>
    </row>
    <row r="28" spans="2:17" x14ac:dyDescent="0.35">
      <c r="B28" s="1437"/>
      <c r="C28" s="1413"/>
      <c r="D28" s="124"/>
      <c r="E28" s="124"/>
      <c r="F28" s="124"/>
      <c r="G28" s="292"/>
      <c r="H28" s="291"/>
      <c r="I28" s="291"/>
      <c r="J28" s="303"/>
      <c r="K28" s="475">
        <f t="shared" si="3"/>
        <v>0</v>
      </c>
      <c r="L28" s="126">
        <f t="shared" si="2"/>
        <v>0</v>
      </c>
      <c r="M28" s="1431"/>
    </row>
    <row r="29" spans="2:17" x14ac:dyDescent="0.35">
      <c r="B29" s="1437"/>
      <c r="C29" s="1413"/>
      <c r="D29" s="124"/>
      <c r="E29" s="124"/>
      <c r="F29" s="124"/>
      <c r="G29" s="292"/>
      <c r="H29" s="291"/>
      <c r="I29" s="291"/>
      <c r="J29" s="303"/>
      <c r="K29" s="475">
        <f t="shared" si="3"/>
        <v>0</v>
      </c>
      <c r="L29" s="126">
        <f t="shared" si="2"/>
        <v>0</v>
      </c>
      <c r="M29" s="1431"/>
    </row>
    <row r="30" spans="2:17" x14ac:dyDescent="0.35">
      <c r="B30" s="1437"/>
      <c r="C30" s="1413"/>
      <c r="D30" s="124"/>
      <c r="E30" s="124"/>
      <c r="F30" s="124"/>
      <c r="G30" s="292"/>
      <c r="H30" s="291"/>
      <c r="I30" s="291"/>
      <c r="J30" s="303"/>
      <c r="K30" s="475">
        <f t="shared" si="3"/>
        <v>0</v>
      </c>
      <c r="L30" s="126">
        <f t="shared" si="2"/>
        <v>0</v>
      </c>
      <c r="M30" s="1431"/>
    </row>
    <row r="31" spans="2:17" x14ac:dyDescent="0.35">
      <c r="B31" s="1437"/>
      <c r="C31" s="1413"/>
      <c r="D31" s="124"/>
      <c r="E31" s="124"/>
      <c r="F31" s="124"/>
      <c r="G31" s="292"/>
      <c r="H31" s="291"/>
      <c r="I31" s="291"/>
      <c r="J31" s="303"/>
      <c r="K31" s="475">
        <f t="shared" si="3"/>
        <v>0</v>
      </c>
      <c r="L31" s="126">
        <f t="shared" si="2"/>
        <v>0</v>
      </c>
      <c r="M31" s="1431"/>
    </row>
    <row r="32" spans="2:17" ht="15" thickBot="1" x14ac:dyDescent="0.4">
      <c r="B32" s="1438"/>
      <c r="C32" s="1414"/>
      <c r="D32" s="129"/>
      <c r="E32" s="129"/>
      <c r="F32" s="129"/>
      <c r="G32" s="129"/>
      <c r="H32" s="294"/>
      <c r="I32" s="294"/>
      <c r="J32" s="341"/>
      <c r="K32" s="476">
        <f t="shared" ref="K32:K43" si="4">SUM(H32:J32)</f>
        <v>0</v>
      </c>
      <c r="L32" s="489">
        <f t="shared" si="2"/>
        <v>0</v>
      </c>
      <c r="M32" s="1432"/>
    </row>
    <row r="33" spans="2:13" x14ac:dyDescent="0.35">
      <c r="B33" s="1421" t="str">
        <f>+'B) Reajuste Tarifas y Ocupación'!A21</f>
        <v>Centro Termal Liquiñe</v>
      </c>
      <c r="C33" s="1409" t="s">
        <v>206</v>
      </c>
      <c r="D33" s="1146" t="s">
        <v>515</v>
      </c>
      <c r="E33" s="1146" t="s">
        <v>516</v>
      </c>
      <c r="F33" s="1146" t="s">
        <v>401</v>
      </c>
      <c r="G33" s="1146" t="s">
        <v>409</v>
      </c>
      <c r="H33" s="297">
        <v>10185540</v>
      </c>
      <c r="I33" s="1161">
        <v>386476</v>
      </c>
      <c r="J33" s="121">
        <v>174472</v>
      </c>
      <c r="K33" s="474">
        <f>SUM(H33:J33)</f>
        <v>10746488</v>
      </c>
      <c r="L33" s="1151">
        <f t="shared" si="2"/>
        <v>11204837.299999999</v>
      </c>
      <c r="M33" s="1433">
        <f>SUM(L33:L69)</f>
        <v>235730999.733125</v>
      </c>
    </row>
    <row r="34" spans="2:13" x14ac:dyDescent="0.35">
      <c r="B34" s="1411"/>
      <c r="C34" s="1410"/>
      <c r="D34" s="1149" t="s">
        <v>517</v>
      </c>
      <c r="E34" s="1149" t="s">
        <v>518</v>
      </c>
      <c r="F34" s="1149" t="s">
        <v>519</v>
      </c>
      <c r="G34" s="1150" t="s">
        <v>409</v>
      </c>
      <c r="H34" s="291">
        <v>10779228</v>
      </c>
      <c r="I34" s="125">
        <v>386476</v>
      </c>
      <c r="J34" s="303">
        <v>174472</v>
      </c>
      <c r="K34" s="475">
        <f t="shared" si="4"/>
        <v>11340176</v>
      </c>
      <c r="L34" s="1152">
        <f t="shared" si="2"/>
        <v>11825241.26</v>
      </c>
      <c r="M34" s="1434"/>
    </row>
    <row r="35" spans="2:13" x14ac:dyDescent="0.35">
      <c r="B35" s="1411"/>
      <c r="C35" s="1410"/>
      <c r="D35" s="1149" t="s">
        <v>520</v>
      </c>
      <c r="E35" s="1149" t="s">
        <v>521</v>
      </c>
      <c r="F35" s="1149" t="s">
        <v>402</v>
      </c>
      <c r="G35" s="1150" t="s">
        <v>409</v>
      </c>
      <c r="H35" s="291">
        <v>11455656</v>
      </c>
      <c r="I35" s="125">
        <v>386476</v>
      </c>
      <c r="J35" s="303">
        <v>174472</v>
      </c>
      <c r="K35" s="475">
        <f t="shared" si="4"/>
        <v>12016604</v>
      </c>
      <c r="L35" s="1152">
        <f t="shared" si="2"/>
        <v>12532108.52</v>
      </c>
      <c r="M35" s="1434"/>
    </row>
    <row r="36" spans="2:13" x14ac:dyDescent="0.35">
      <c r="B36" s="1411"/>
      <c r="C36" s="1410"/>
      <c r="D36" s="1149" t="s">
        <v>522</v>
      </c>
      <c r="E36" s="1149" t="s">
        <v>523</v>
      </c>
      <c r="F36" s="1149" t="s">
        <v>403</v>
      </c>
      <c r="G36" s="1150" t="s">
        <v>409</v>
      </c>
      <c r="H36" s="291">
        <v>14104824</v>
      </c>
      <c r="I36" s="125">
        <v>386476</v>
      </c>
      <c r="J36" s="303">
        <v>174472</v>
      </c>
      <c r="K36" s="475">
        <f t="shared" si="4"/>
        <v>14665772</v>
      </c>
      <c r="L36" s="1152">
        <f t="shared" si="2"/>
        <v>15300489.079999998</v>
      </c>
      <c r="M36" s="1434"/>
    </row>
    <row r="37" spans="2:13" x14ac:dyDescent="0.35">
      <c r="B37" s="1411"/>
      <c r="C37" s="1410"/>
      <c r="D37" s="1149" t="s">
        <v>524</v>
      </c>
      <c r="E37" s="1149" t="s">
        <v>525</v>
      </c>
      <c r="F37" s="1149" t="s">
        <v>402</v>
      </c>
      <c r="G37" s="1150" t="s">
        <v>409</v>
      </c>
      <c r="H37" s="291">
        <v>9213228</v>
      </c>
      <c r="I37" s="125">
        <v>386476</v>
      </c>
      <c r="J37" s="303">
        <v>174472</v>
      </c>
      <c r="K37" s="475">
        <f t="shared" si="4"/>
        <v>9774176</v>
      </c>
      <c r="L37" s="1152">
        <f t="shared" si="2"/>
        <v>10188771.26</v>
      </c>
      <c r="M37" s="1434"/>
    </row>
    <row r="38" spans="2:13" x14ac:dyDescent="0.35">
      <c r="B38" s="1411"/>
      <c r="C38" s="1410"/>
      <c r="D38" s="1149" t="s">
        <v>526</v>
      </c>
      <c r="E38" s="1149" t="s">
        <v>527</v>
      </c>
      <c r="F38" s="1149" t="s">
        <v>405</v>
      </c>
      <c r="G38" s="1150" t="s">
        <v>409</v>
      </c>
      <c r="H38" s="291">
        <v>7954884</v>
      </c>
      <c r="I38" s="125">
        <v>386476</v>
      </c>
      <c r="J38" s="303">
        <v>174472</v>
      </c>
      <c r="K38" s="475">
        <f t="shared" si="4"/>
        <v>8515832</v>
      </c>
      <c r="L38" s="1152">
        <f t="shared" si="2"/>
        <v>8873801.7799999993</v>
      </c>
      <c r="M38" s="1434"/>
    </row>
    <row r="39" spans="2:13" x14ac:dyDescent="0.35">
      <c r="B39" s="1411"/>
      <c r="C39" s="1410"/>
      <c r="D39" s="1149" t="s">
        <v>528</v>
      </c>
      <c r="E39" s="1149" t="s">
        <v>529</v>
      </c>
      <c r="F39" s="1149" t="s">
        <v>367</v>
      </c>
      <c r="G39" s="1150" t="s">
        <v>409</v>
      </c>
      <c r="H39" s="291">
        <v>9476472</v>
      </c>
      <c r="I39" s="125">
        <v>386476</v>
      </c>
      <c r="J39" s="303">
        <v>174472</v>
      </c>
      <c r="K39" s="534">
        <f t="shared" si="4"/>
        <v>10037420</v>
      </c>
      <c r="L39" s="1153">
        <f t="shared" si="2"/>
        <v>10463861.24</v>
      </c>
      <c r="M39" s="1434"/>
    </row>
    <row r="40" spans="2:13" x14ac:dyDescent="0.35">
      <c r="B40" s="1411"/>
      <c r="C40" s="1410"/>
      <c r="D40" s="1149" t="s">
        <v>530</v>
      </c>
      <c r="E40" s="1149" t="s">
        <v>531</v>
      </c>
      <c r="F40" s="1149" t="s">
        <v>407</v>
      </c>
      <c r="G40" s="1150" t="s">
        <v>409</v>
      </c>
      <c r="H40" s="291">
        <v>8936268</v>
      </c>
      <c r="I40" s="125">
        <v>386476</v>
      </c>
      <c r="J40" s="303">
        <v>174472</v>
      </c>
      <c r="K40" s="475">
        <f t="shared" si="4"/>
        <v>9497216</v>
      </c>
      <c r="L40" s="1152">
        <f t="shared" si="2"/>
        <v>9899348.0599999987</v>
      </c>
      <c r="M40" s="1434"/>
    </row>
    <row r="41" spans="2:13" x14ac:dyDescent="0.35">
      <c r="B41" s="1411"/>
      <c r="C41" s="1410"/>
      <c r="D41" s="1149" t="s">
        <v>532</v>
      </c>
      <c r="E41" s="1149" t="s">
        <v>533</v>
      </c>
      <c r="F41" s="1149" t="s">
        <v>405</v>
      </c>
      <c r="G41" s="1150" t="s">
        <v>409</v>
      </c>
      <c r="H41" s="291">
        <v>7876620</v>
      </c>
      <c r="I41" s="125">
        <v>386476</v>
      </c>
      <c r="J41" s="303">
        <v>174472</v>
      </c>
      <c r="K41" s="475">
        <f t="shared" si="4"/>
        <v>8437568</v>
      </c>
      <c r="L41" s="1152">
        <f t="shared" si="2"/>
        <v>8792015.8999999985</v>
      </c>
      <c r="M41" s="1434"/>
    </row>
    <row r="42" spans="2:13" x14ac:dyDescent="0.35">
      <c r="B42" s="1411"/>
      <c r="C42" s="1410"/>
      <c r="D42" s="1149" t="s">
        <v>534</v>
      </c>
      <c r="E42" s="1149" t="s">
        <v>535</v>
      </c>
      <c r="F42" s="1149" t="s">
        <v>536</v>
      </c>
      <c r="G42" s="1150" t="s">
        <v>409</v>
      </c>
      <c r="H42" s="291">
        <v>7851864</v>
      </c>
      <c r="I42" s="125">
        <v>386476</v>
      </c>
      <c r="J42" s="303">
        <v>174472</v>
      </c>
      <c r="K42" s="475">
        <f t="shared" si="4"/>
        <v>8412812</v>
      </c>
      <c r="L42" s="1152">
        <f t="shared" si="2"/>
        <v>8766145.879999999</v>
      </c>
      <c r="M42" s="1434"/>
    </row>
    <row r="43" spans="2:13" x14ac:dyDescent="0.35">
      <c r="B43" s="1411"/>
      <c r="C43" s="1410"/>
      <c r="D43" s="1149" t="s">
        <v>537</v>
      </c>
      <c r="E43" s="1149" t="s">
        <v>538</v>
      </c>
      <c r="F43" s="1149" t="s">
        <v>401</v>
      </c>
      <c r="G43" s="1150" t="s">
        <v>409</v>
      </c>
      <c r="H43" s="291">
        <v>9146004</v>
      </c>
      <c r="I43" s="125">
        <v>386476</v>
      </c>
      <c r="J43" s="303">
        <v>174472</v>
      </c>
      <c r="K43" s="475">
        <f t="shared" si="4"/>
        <v>9706952</v>
      </c>
      <c r="L43" s="1152">
        <f t="shared" si="2"/>
        <v>10118522.18</v>
      </c>
      <c r="M43" s="1434"/>
    </row>
    <row r="44" spans="2:13" x14ac:dyDescent="0.35">
      <c r="B44" s="1411"/>
      <c r="C44" s="1410"/>
      <c r="D44" s="1149" t="s">
        <v>539</v>
      </c>
      <c r="E44" s="1149" t="s">
        <v>540</v>
      </c>
      <c r="F44" s="1149" t="s">
        <v>402</v>
      </c>
      <c r="G44" s="1150" t="s">
        <v>409</v>
      </c>
      <c r="H44" s="299">
        <v>8919516</v>
      </c>
      <c r="I44" s="125">
        <v>386476</v>
      </c>
      <c r="J44" s="303">
        <v>174472</v>
      </c>
      <c r="K44" s="475">
        <f t="shared" ref="K44:K54" si="5">SUM(H44:J44)</f>
        <v>9480464</v>
      </c>
      <c r="L44" s="1152">
        <f t="shared" si="2"/>
        <v>9881842.2199999988</v>
      </c>
      <c r="M44" s="1434"/>
    </row>
    <row r="45" spans="2:13" x14ac:dyDescent="0.35">
      <c r="B45" s="1411"/>
      <c r="C45" s="1410"/>
      <c r="D45" s="1149" t="s">
        <v>541</v>
      </c>
      <c r="E45" s="1149" t="s">
        <v>542</v>
      </c>
      <c r="F45" s="1149" t="s">
        <v>403</v>
      </c>
      <c r="G45" s="1150" t="s">
        <v>409</v>
      </c>
      <c r="H45" s="291">
        <v>7568592</v>
      </c>
      <c r="I45" s="125">
        <v>386476</v>
      </c>
      <c r="J45" s="303">
        <v>174472</v>
      </c>
      <c r="K45" s="475">
        <f t="shared" si="5"/>
        <v>8129540</v>
      </c>
      <c r="L45" s="1152">
        <f t="shared" si="2"/>
        <v>8470126.6400000006</v>
      </c>
      <c r="M45" s="1434"/>
    </row>
    <row r="46" spans="2:13" x14ac:dyDescent="0.35">
      <c r="B46" s="1411"/>
      <c r="C46" s="1410"/>
      <c r="D46" s="1149" t="s">
        <v>543</v>
      </c>
      <c r="E46" s="1149" t="s">
        <v>544</v>
      </c>
      <c r="F46" s="1149" t="s">
        <v>407</v>
      </c>
      <c r="G46" s="1150" t="s">
        <v>409</v>
      </c>
      <c r="H46" s="291">
        <v>8939364</v>
      </c>
      <c r="I46" s="125">
        <v>386476</v>
      </c>
      <c r="J46" s="303">
        <v>174472</v>
      </c>
      <c r="K46" s="475">
        <f t="shared" si="5"/>
        <v>9500312</v>
      </c>
      <c r="L46" s="1152">
        <f t="shared" si="2"/>
        <v>9902583.379999999</v>
      </c>
      <c r="M46" s="1434"/>
    </row>
    <row r="47" spans="2:13" x14ac:dyDescent="0.35">
      <c r="B47" s="1411"/>
      <c r="C47" s="1410"/>
      <c r="D47" s="1149" t="s">
        <v>545</v>
      </c>
      <c r="E47" s="1149" t="s">
        <v>546</v>
      </c>
      <c r="F47" s="1149" t="s">
        <v>547</v>
      </c>
      <c r="G47" s="1150" t="s">
        <v>409</v>
      </c>
      <c r="H47" s="291">
        <v>9545940</v>
      </c>
      <c r="I47" s="125">
        <v>386476</v>
      </c>
      <c r="J47" s="303">
        <v>174472</v>
      </c>
      <c r="K47" s="475">
        <f t="shared" si="5"/>
        <v>10106888</v>
      </c>
      <c r="L47" s="1152">
        <f t="shared" si="2"/>
        <v>10536455.299999999</v>
      </c>
      <c r="M47" s="1434"/>
    </row>
    <row r="48" spans="2:13" x14ac:dyDescent="0.35">
      <c r="B48" s="1411"/>
      <c r="C48" s="1410"/>
      <c r="D48" s="1149" t="s">
        <v>548</v>
      </c>
      <c r="E48" s="1149" t="s">
        <v>549</v>
      </c>
      <c r="F48" s="1149" t="s">
        <v>408</v>
      </c>
      <c r="G48" s="1150" t="s">
        <v>409</v>
      </c>
      <c r="H48" s="291">
        <v>19062612</v>
      </c>
      <c r="I48" s="291">
        <v>217145</v>
      </c>
      <c r="J48" s="303">
        <v>175198</v>
      </c>
      <c r="K48" s="475">
        <f t="shared" si="5"/>
        <v>19454955</v>
      </c>
      <c r="L48" s="1152">
        <f t="shared" si="2"/>
        <v>20312772.539999999</v>
      </c>
      <c r="M48" s="1434"/>
    </row>
    <row r="49" spans="2:13" x14ac:dyDescent="0.35">
      <c r="B49" s="1411"/>
      <c r="C49" s="1410"/>
      <c r="D49" s="1149" t="s">
        <v>550</v>
      </c>
      <c r="E49" s="1149" t="s">
        <v>551</v>
      </c>
      <c r="F49" s="1149" t="s">
        <v>406</v>
      </c>
      <c r="G49" s="1150" t="s">
        <v>409</v>
      </c>
      <c r="H49" s="291">
        <v>10762596</v>
      </c>
      <c r="I49" s="125">
        <v>386476</v>
      </c>
      <c r="J49" s="303">
        <v>174472</v>
      </c>
      <c r="K49" s="475">
        <f t="shared" si="5"/>
        <v>11323544</v>
      </c>
      <c r="L49" s="1152">
        <f t="shared" si="2"/>
        <v>11807860.819999998</v>
      </c>
      <c r="M49" s="1434"/>
    </row>
    <row r="50" spans="2:13" x14ac:dyDescent="0.35">
      <c r="B50" s="1411"/>
      <c r="C50" s="1410"/>
      <c r="D50" s="1149" t="s">
        <v>552</v>
      </c>
      <c r="E50" s="1149" t="s">
        <v>553</v>
      </c>
      <c r="F50" s="1149" t="s">
        <v>404</v>
      </c>
      <c r="G50" s="1150" t="s">
        <v>409</v>
      </c>
      <c r="H50" s="291">
        <v>9299472</v>
      </c>
      <c r="I50" s="125">
        <v>386476</v>
      </c>
      <c r="J50" s="303">
        <v>174472</v>
      </c>
      <c r="K50" s="475">
        <f t="shared" si="5"/>
        <v>9860420</v>
      </c>
      <c r="L50" s="1152">
        <f t="shared" si="2"/>
        <v>10278896.24</v>
      </c>
      <c r="M50" s="1434"/>
    </row>
    <row r="51" spans="2:13" x14ac:dyDescent="0.35">
      <c r="B51" s="1411"/>
      <c r="C51" s="1410"/>
      <c r="D51" s="1149" t="s">
        <v>554</v>
      </c>
      <c r="E51" s="1149" t="s">
        <v>555</v>
      </c>
      <c r="F51" s="1149" t="s">
        <v>403</v>
      </c>
      <c r="G51" s="1150" t="s">
        <v>409</v>
      </c>
      <c r="H51" s="291">
        <v>9750588</v>
      </c>
      <c r="I51" s="125">
        <v>386476</v>
      </c>
      <c r="J51" s="303">
        <v>174472</v>
      </c>
      <c r="K51" s="475">
        <f t="shared" si="5"/>
        <v>10311536</v>
      </c>
      <c r="L51" s="1152">
        <f t="shared" si="2"/>
        <v>10750312.459999999</v>
      </c>
      <c r="M51" s="1434"/>
    </row>
    <row r="52" spans="2:13" x14ac:dyDescent="0.35">
      <c r="B52" s="1411"/>
      <c r="C52" s="1410"/>
      <c r="D52" s="1149"/>
      <c r="E52" s="1149"/>
      <c r="F52" s="1149"/>
      <c r="G52" s="1150"/>
      <c r="H52" s="291"/>
      <c r="I52" s="291"/>
      <c r="J52" s="303"/>
      <c r="K52" s="475">
        <f t="shared" si="5"/>
        <v>0</v>
      </c>
      <c r="L52" s="1152">
        <f t="shared" si="2"/>
        <v>0</v>
      </c>
      <c r="M52" s="1434"/>
    </row>
    <row r="53" spans="2:13" x14ac:dyDescent="0.35">
      <c r="B53" s="1411"/>
      <c r="C53" s="1410"/>
      <c r="D53" s="124"/>
      <c r="E53" s="124"/>
      <c r="F53" s="124"/>
      <c r="G53" s="301"/>
      <c r="H53" s="291"/>
      <c r="I53" s="291"/>
      <c r="J53" s="303"/>
      <c r="K53" s="475">
        <f t="shared" si="5"/>
        <v>0</v>
      </c>
      <c r="L53" s="126">
        <f t="shared" si="2"/>
        <v>0</v>
      </c>
      <c r="M53" s="1434"/>
    </row>
    <row r="54" spans="2:13" x14ac:dyDescent="0.35">
      <c r="B54" s="1411"/>
      <c r="C54" s="1410"/>
      <c r="D54" s="124"/>
      <c r="E54" s="124"/>
      <c r="F54" s="124"/>
      <c r="G54" s="301"/>
      <c r="H54" s="291"/>
      <c r="I54" s="291"/>
      <c r="J54" s="303"/>
      <c r="K54" s="475">
        <f t="shared" si="5"/>
        <v>0</v>
      </c>
      <c r="L54" s="126">
        <f t="shared" si="2"/>
        <v>0</v>
      </c>
      <c r="M54" s="1434"/>
    </row>
    <row r="55" spans="2:13" x14ac:dyDescent="0.35">
      <c r="B55" s="1411"/>
      <c r="C55" s="1410"/>
      <c r="D55" s="140"/>
      <c r="E55" s="124"/>
      <c r="F55" s="140"/>
      <c r="G55" s="301"/>
      <c r="H55" s="291"/>
      <c r="I55" s="291"/>
      <c r="J55" s="303"/>
      <c r="K55" s="488">
        <v>0</v>
      </c>
      <c r="L55" s="489">
        <f t="shared" si="2"/>
        <v>0</v>
      </c>
      <c r="M55" s="1434"/>
    </row>
    <row r="56" spans="2:13" ht="15" thickBot="1" x14ac:dyDescent="0.4">
      <c r="B56" s="1411"/>
      <c r="C56" s="1425"/>
      <c r="D56" s="294"/>
      <c r="E56" s="294"/>
      <c r="F56" s="294"/>
      <c r="G56" s="294"/>
      <c r="H56" s="294"/>
      <c r="I56" s="296"/>
      <c r="J56" s="341"/>
      <c r="K56" s="476">
        <v>0</v>
      </c>
      <c r="L56" s="489">
        <f t="shared" si="2"/>
        <v>0</v>
      </c>
      <c r="M56" s="1434"/>
    </row>
    <row r="57" spans="2:13" x14ac:dyDescent="0.35">
      <c r="B57" s="1411"/>
      <c r="C57" s="1410" t="s">
        <v>207</v>
      </c>
      <c r="D57" s="1149" t="s">
        <v>556</v>
      </c>
      <c r="E57" s="1149" t="s">
        <v>557</v>
      </c>
      <c r="F57" s="1149" t="s">
        <v>403</v>
      </c>
      <c r="G57" s="1150" t="s">
        <v>409</v>
      </c>
      <c r="H57" s="297">
        <v>7653269</v>
      </c>
      <c r="I57" s="125">
        <v>386476</v>
      </c>
      <c r="J57" s="303">
        <v>174472</v>
      </c>
      <c r="K57" s="474">
        <f>SUM(H57:J57)</f>
        <v>8214217</v>
      </c>
      <c r="L57" s="1151">
        <f t="shared" si="2"/>
        <v>8558614.1050000004</v>
      </c>
      <c r="M57" s="1434"/>
    </row>
    <row r="58" spans="2:13" x14ac:dyDescent="0.35">
      <c r="B58" s="1411"/>
      <c r="C58" s="1410"/>
      <c r="D58" s="1149" t="s">
        <v>558</v>
      </c>
      <c r="E58" s="1149" t="s">
        <v>559</v>
      </c>
      <c r="F58" s="1149" t="s">
        <v>560</v>
      </c>
      <c r="G58" s="1150" t="s">
        <v>409</v>
      </c>
      <c r="H58" s="299">
        <v>4353810.5</v>
      </c>
      <c r="I58" s="125">
        <v>386476</v>
      </c>
      <c r="J58" s="303">
        <v>174472</v>
      </c>
      <c r="K58" s="475">
        <f>SUM(H58:J58)</f>
        <v>4914758.5</v>
      </c>
      <c r="L58" s="1152">
        <f t="shared" si="2"/>
        <v>5110679.9725000001</v>
      </c>
      <c r="M58" s="1434"/>
    </row>
    <row r="59" spans="2:13" x14ac:dyDescent="0.35">
      <c r="B59" s="1411"/>
      <c r="C59" s="1410"/>
      <c r="D59" s="1149" t="s">
        <v>561</v>
      </c>
      <c r="E59" s="1149" t="s">
        <v>562</v>
      </c>
      <c r="F59" s="1149" t="s">
        <v>536</v>
      </c>
      <c r="G59" s="1150" t="s">
        <v>409</v>
      </c>
      <c r="H59" s="299">
        <v>4369137.5</v>
      </c>
      <c r="I59" s="125">
        <v>386476</v>
      </c>
      <c r="J59" s="303">
        <v>174472</v>
      </c>
      <c r="K59" s="475">
        <f t="shared" ref="K59:K68" si="6">SUM(H59:J59)</f>
        <v>4930085.5</v>
      </c>
      <c r="L59" s="1152">
        <f t="shared" si="2"/>
        <v>5126696.6875</v>
      </c>
      <c r="M59" s="1434"/>
    </row>
    <row r="60" spans="2:13" x14ac:dyDescent="0.35">
      <c r="B60" s="1411"/>
      <c r="C60" s="1410"/>
      <c r="D60" s="1148" t="s">
        <v>563</v>
      </c>
      <c r="E60" s="1148" t="s">
        <v>564</v>
      </c>
      <c r="F60" s="1148" t="s">
        <v>565</v>
      </c>
      <c r="G60" s="1150" t="s">
        <v>409</v>
      </c>
      <c r="H60" s="291">
        <v>6189539.625</v>
      </c>
      <c r="I60" s="125">
        <v>386476</v>
      </c>
      <c r="J60" s="303">
        <v>174472</v>
      </c>
      <c r="K60" s="475">
        <f t="shared" si="6"/>
        <v>6750487.625</v>
      </c>
      <c r="L60" s="1152">
        <f t="shared" si="2"/>
        <v>7029016.9081249991</v>
      </c>
      <c r="M60" s="1434"/>
    </row>
    <row r="61" spans="2:13" x14ac:dyDescent="0.35">
      <c r="B61" s="1411"/>
      <c r="C61" s="1410"/>
      <c r="D61" s="1149"/>
      <c r="E61" s="1149"/>
      <c r="F61" s="1149"/>
      <c r="G61" s="1150"/>
      <c r="H61" s="291"/>
      <c r="I61" s="291"/>
      <c r="J61" s="303"/>
      <c r="K61" s="475">
        <f t="shared" si="6"/>
        <v>0</v>
      </c>
      <c r="L61" s="1152">
        <f t="shared" si="2"/>
        <v>0</v>
      </c>
      <c r="M61" s="1434"/>
    </row>
    <row r="62" spans="2:13" x14ac:dyDescent="0.35">
      <c r="B62" s="1411"/>
      <c r="C62" s="1410"/>
      <c r="D62" s="1149"/>
      <c r="E62" s="1149"/>
      <c r="F62" s="1149"/>
      <c r="G62" s="1150"/>
      <c r="H62" s="291"/>
      <c r="I62" s="291"/>
      <c r="J62" s="303"/>
      <c r="K62" s="475">
        <f t="shared" si="6"/>
        <v>0</v>
      </c>
      <c r="L62" s="1152">
        <f t="shared" si="2"/>
        <v>0</v>
      </c>
      <c r="M62" s="1434"/>
    </row>
    <row r="63" spans="2:13" x14ac:dyDescent="0.35">
      <c r="B63" s="1411"/>
      <c r="C63" s="1410"/>
      <c r="D63" s="1149"/>
      <c r="E63" s="1149"/>
      <c r="F63" s="1149"/>
      <c r="G63" s="1150"/>
      <c r="H63" s="291"/>
      <c r="I63" s="291"/>
      <c r="J63" s="303"/>
      <c r="K63" s="475">
        <f t="shared" si="6"/>
        <v>0</v>
      </c>
      <c r="L63" s="1152">
        <f t="shared" si="2"/>
        <v>0</v>
      </c>
      <c r="M63" s="1434"/>
    </row>
    <row r="64" spans="2:13" x14ac:dyDescent="0.35">
      <c r="B64" s="1411"/>
      <c r="C64" s="1410"/>
      <c r="D64" s="1149"/>
      <c r="E64" s="1149"/>
      <c r="F64" s="1149"/>
      <c r="G64" s="1150"/>
      <c r="H64" s="291"/>
      <c r="I64" s="291"/>
      <c r="J64" s="303"/>
      <c r="K64" s="475">
        <f t="shared" si="6"/>
        <v>0</v>
      </c>
      <c r="L64" s="1152">
        <f t="shared" si="2"/>
        <v>0</v>
      </c>
      <c r="M64" s="1434"/>
    </row>
    <row r="65" spans="2:13" x14ac:dyDescent="0.35">
      <c r="B65" s="1411"/>
      <c r="C65" s="1410"/>
      <c r="D65" s="1149"/>
      <c r="E65" s="1149"/>
      <c r="F65" s="1149"/>
      <c r="G65" s="1150"/>
      <c r="H65" s="291"/>
      <c r="I65" s="291"/>
      <c r="J65" s="303"/>
      <c r="K65" s="475">
        <f t="shared" si="6"/>
        <v>0</v>
      </c>
      <c r="L65" s="1152">
        <f t="shared" si="2"/>
        <v>0</v>
      </c>
      <c r="M65" s="1434"/>
    </row>
    <row r="66" spans="2:13" x14ac:dyDescent="0.35">
      <c r="B66" s="1411"/>
      <c r="C66" s="1410"/>
      <c r="D66" s="1149"/>
      <c r="E66" s="1149"/>
      <c r="F66" s="1149"/>
      <c r="G66" s="1150"/>
      <c r="H66" s="291"/>
      <c r="I66" s="291"/>
      <c r="J66" s="303"/>
      <c r="K66" s="475">
        <f t="shared" si="6"/>
        <v>0</v>
      </c>
      <c r="L66" s="1152">
        <f t="shared" si="2"/>
        <v>0</v>
      </c>
      <c r="M66" s="1434"/>
    </row>
    <row r="67" spans="2:13" x14ac:dyDescent="0.35">
      <c r="B67" s="1411"/>
      <c r="C67" s="1410"/>
      <c r="D67" s="1149"/>
      <c r="E67" s="1149"/>
      <c r="F67" s="1149"/>
      <c r="G67" s="1150"/>
      <c r="H67" s="291"/>
      <c r="I67" s="291"/>
      <c r="J67" s="303"/>
      <c r="K67" s="475">
        <f t="shared" si="6"/>
        <v>0</v>
      </c>
      <c r="L67" s="1152">
        <f t="shared" si="2"/>
        <v>0</v>
      </c>
      <c r="M67" s="1434"/>
    </row>
    <row r="68" spans="2:13" x14ac:dyDescent="0.35">
      <c r="B68" s="1411"/>
      <c r="C68" s="1410"/>
      <c r="D68" s="1149"/>
      <c r="E68" s="1149"/>
      <c r="F68" s="1149"/>
      <c r="G68" s="1150"/>
      <c r="H68" s="291"/>
      <c r="I68" s="291"/>
      <c r="J68" s="303"/>
      <c r="K68" s="475">
        <f t="shared" si="6"/>
        <v>0</v>
      </c>
      <c r="L68" s="1152">
        <f t="shared" si="2"/>
        <v>0</v>
      </c>
      <c r="M68" s="1434"/>
    </row>
    <row r="69" spans="2:13" ht="15" thickBot="1" x14ac:dyDescent="0.4">
      <c r="B69" s="1412"/>
      <c r="C69" s="1425"/>
      <c r="D69" s="1154"/>
      <c r="E69" s="1154"/>
      <c r="F69" s="1154"/>
      <c r="G69" s="1150"/>
      <c r="H69" s="294"/>
      <c r="I69" s="294"/>
      <c r="J69" s="341"/>
      <c r="K69" s="476">
        <v>0</v>
      </c>
      <c r="L69" s="1155">
        <f t="shared" si="2"/>
        <v>0</v>
      </c>
      <c r="M69" s="1435"/>
    </row>
    <row r="70" spans="2:13" x14ac:dyDescent="0.35">
      <c r="B70" s="1421" t="str">
        <f>+'B) Reajuste Tarifas y Ocupación'!A28</f>
        <v>Cabañas C.N.C. Tumbes</v>
      </c>
      <c r="C70" s="1417" t="s">
        <v>206</v>
      </c>
      <c r="D70" s="1146" t="s">
        <v>566</v>
      </c>
      <c r="E70" s="1146" t="s">
        <v>567</v>
      </c>
      <c r="F70" s="1146" t="s">
        <v>394</v>
      </c>
      <c r="G70" s="1156" t="s">
        <v>415</v>
      </c>
      <c r="H70" s="297">
        <v>8229988.25</v>
      </c>
      <c r="I70" s="125">
        <v>386476</v>
      </c>
      <c r="J70" s="303">
        <v>174472</v>
      </c>
      <c r="K70" s="474">
        <f>SUM(H70:J70)</f>
        <v>8790936.25</v>
      </c>
      <c r="L70" s="1157">
        <f>+(H70*(1+$M$7))+I70+J70</f>
        <v>9161285.7212499995</v>
      </c>
      <c r="M70" s="1430">
        <f>SUM(L70:L91)</f>
        <v>9161285.7212499995</v>
      </c>
    </row>
    <row r="71" spans="2:13" x14ac:dyDescent="0.35">
      <c r="B71" s="1411"/>
      <c r="C71" s="1413"/>
      <c r="D71" s="124"/>
      <c r="E71" s="124"/>
      <c r="F71" s="124"/>
      <c r="G71" s="292"/>
      <c r="H71" s="291"/>
      <c r="I71" s="291"/>
      <c r="J71" s="303"/>
      <c r="K71" s="475">
        <v>0</v>
      </c>
      <c r="L71" s="126">
        <f t="shared" si="2"/>
        <v>0</v>
      </c>
      <c r="M71" s="1431"/>
    </row>
    <row r="72" spans="2:13" x14ac:dyDescent="0.35">
      <c r="B72" s="1411"/>
      <c r="C72" s="1413"/>
      <c r="D72" s="124"/>
      <c r="E72" s="124"/>
      <c r="F72" s="124"/>
      <c r="G72" s="292"/>
      <c r="H72" s="291"/>
      <c r="I72" s="291"/>
      <c r="J72" s="303"/>
      <c r="K72" s="475">
        <v>0</v>
      </c>
      <c r="L72" s="126">
        <f t="shared" si="2"/>
        <v>0</v>
      </c>
      <c r="M72" s="1431"/>
    </row>
    <row r="73" spans="2:13" x14ac:dyDescent="0.35">
      <c r="B73" s="1411"/>
      <c r="C73" s="1413"/>
      <c r="D73" s="124"/>
      <c r="E73" s="124"/>
      <c r="F73" s="124"/>
      <c r="G73" s="292"/>
      <c r="H73" s="291"/>
      <c r="I73" s="291"/>
      <c r="J73" s="303"/>
      <c r="K73" s="475">
        <v>0</v>
      </c>
      <c r="L73" s="126">
        <f t="shared" si="2"/>
        <v>0</v>
      </c>
      <c r="M73" s="1431"/>
    </row>
    <row r="74" spans="2:13" x14ac:dyDescent="0.35">
      <c r="B74" s="1411"/>
      <c r="C74" s="1413"/>
      <c r="D74" s="124"/>
      <c r="E74" s="124"/>
      <c r="F74" s="124"/>
      <c r="G74" s="292"/>
      <c r="H74" s="291"/>
      <c r="I74" s="291"/>
      <c r="J74" s="303"/>
      <c r="K74" s="475">
        <v>0</v>
      </c>
      <c r="L74" s="126">
        <f t="shared" si="2"/>
        <v>0</v>
      </c>
      <c r="M74" s="1431"/>
    </row>
    <row r="75" spans="2:13" x14ac:dyDescent="0.35">
      <c r="B75" s="1411"/>
      <c r="C75" s="1413"/>
      <c r="D75" s="124"/>
      <c r="E75" s="124"/>
      <c r="F75" s="124"/>
      <c r="G75" s="292"/>
      <c r="H75" s="291"/>
      <c r="I75" s="291"/>
      <c r="J75" s="303"/>
      <c r="K75" s="475">
        <v>0</v>
      </c>
      <c r="L75" s="126">
        <f t="shared" si="2"/>
        <v>0</v>
      </c>
      <c r="M75" s="1431"/>
    </row>
    <row r="76" spans="2:13" x14ac:dyDescent="0.35">
      <c r="B76" s="1411"/>
      <c r="C76" s="1413"/>
      <c r="D76" s="124"/>
      <c r="E76" s="124"/>
      <c r="F76" s="124"/>
      <c r="G76" s="292"/>
      <c r="H76" s="291"/>
      <c r="I76" s="291"/>
      <c r="J76" s="303"/>
      <c r="K76" s="475">
        <v>0</v>
      </c>
      <c r="L76" s="126">
        <f t="shared" ref="L76:L139" si="7">+(H76*(1+$M$7))+I76+J76</f>
        <v>0</v>
      </c>
      <c r="M76" s="1431"/>
    </row>
    <row r="77" spans="2:13" x14ac:dyDescent="0.35">
      <c r="B77" s="1411"/>
      <c r="C77" s="1413"/>
      <c r="D77" s="124"/>
      <c r="E77" s="124"/>
      <c r="F77" s="124"/>
      <c r="G77" s="292"/>
      <c r="H77" s="291"/>
      <c r="I77" s="291"/>
      <c r="J77" s="303"/>
      <c r="K77" s="475">
        <v>0</v>
      </c>
      <c r="L77" s="126">
        <f t="shared" si="7"/>
        <v>0</v>
      </c>
      <c r="M77" s="1431"/>
    </row>
    <row r="78" spans="2:13" x14ac:dyDescent="0.35">
      <c r="B78" s="1411"/>
      <c r="C78" s="1413"/>
      <c r="D78" s="124"/>
      <c r="E78" s="124"/>
      <c r="F78" s="124"/>
      <c r="G78" s="292"/>
      <c r="H78" s="291"/>
      <c r="I78" s="291"/>
      <c r="J78" s="303"/>
      <c r="K78" s="475">
        <v>0</v>
      </c>
      <c r="L78" s="126">
        <f t="shared" si="7"/>
        <v>0</v>
      </c>
      <c r="M78" s="1431"/>
    </row>
    <row r="79" spans="2:13" x14ac:dyDescent="0.35">
      <c r="B79" s="1411"/>
      <c r="C79" s="1413"/>
      <c r="D79" s="124"/>
      <c r="E79" s="124"/>
      <c r="F79" s="124"/>
      <c r="G79" s="292"/>
      <c r="H79" s="291"/>
      <c r="I79" s="291"/>
      <c r="J79" s="303"/>
      <c r="K79" s="475">
        <v>0</v>
      </c>
      <c r="L79" s="126">
        <f t="shared" si="7"/>
        <v>0</v>
      </c>
      <c r="M79" s="1431"/>
    </row>
    <row r="80" spans="2:13" ht="15" thickBot="1" x14ac:dyDescent="0.4">
      <c r="B80" s="1411"/>
      <c r="C80" s="1414"/>
      <c r="D80" s="129"/>
      <c r="E80" s="129"/>
      <c r="F80" s="129"/>
      <c r="G80" s="293"/>
      <c r="H80" s="294"/>
      <c r="I80" s="294"/>
      <c r="J80" s="341"/>
      <c r="K80" s="476">
        <v>0</v>
      </c>
      <c r="L80" s="134">
        <f t="shared" si="7"/>
        <v>0</v>
      </c>
      <c r="M80" s="1431"/>
    </row>
    <row r="81" spans="2:13" x14ac:dyDescent="0.35">
      <c r="B81" s="1411"/>
      <c r="C81" s="1413" t="s">
        <v>207</v>
      </c>
      <c r="D81" s="140"/>
      <c r="E81" s="140"/>
      <c r="F81" s="140"/>
      <c r="G81" s="298"/>
      <c r="H81" s="299"/>
      <c r="I81" s="299"/>
      <c r="J81" s="343"/>
      <c r="K81" s="475">
        <v>0</v>
      </c>
      <c r="L81" s="122">
        <f t="shared" si="7"/>
        <v>0</v>
      </c>
      <c r="M81" s="1431"/>
    </row>
    <row r="82" spans="2:13" x14ac:dyDescent="0.35">
      <c r="B82" s="1411"/>
      <c r="C82" s="1413"/>
      <c r="D82" s="124"/>
      <c r="E82" s="124"/>
      <c r="F82" s="124"/>
      <c r="G82" s="292"/>
      <c r="H82" s="291"/>
      <c r="I82" s="291"/>
      <c r="J82" s="303"/>
      <c r="K82" s="475">
        <v>0</v>
      </c>
      <c r="L82" s="126">
        <f t="shared" si="7"/>
        <v>0</v>
      </c>
      <c r="M82" s="1431"/>
    </row>
    <row r="83" spans="2:13" x14ac:dyDescent="0.35">
      <c r="B83" s="1411"/>
      <c r="C83" s="1413"/>
      <c r="D83" s="124"/>
      <c r="E83" s="124"/>
      <c r="F83" s="124"/>
      <c r="G83" s="292"/>
      <c r="H83" s="291"/>
      <c r="I83" s="291"/>
      <c r="J83" s="303"/>
      <c r="K83" s="475">
        <v>0</v>
      </c>
      <c r="L83" s="126">
        <f t="shared" si="7"/>
        <v>0</v>
      </c>
      <c r="M83" s="1431"/>
    </row>
    <row r="84" spans="2:13" x14ac:dyDescent="0.35">
      <c r="B84" s="1411"/>
      <c r="C84" s="1413"/>
      <c r="D84" s="124"/>
      <c r="E84" s="124"/>
      <c r="F84" s="124"/>
      <c r="G84" s="292"/>
      <c r="H84" s="291"/>
      <c r="I84" s="291"/>
      <c r="J84" s="303"/>
      <c r="K84" s="475">
        <v>0</v>
      </c>
      <c r="L84" s="126">
        <f t="shared" si="7"/>
        <v>0</v>
      </c>
      <c r="M84" s="1431"/>
    </row>
    <row r="85" spans="2:13" x14ac:dyDescent="0.35">
      <c r="B85" s="1411"/>
      <c r="C85" s="1413"/>
      <c r="D85" s="124"/>
      <c r="E85" s="124"/>
      <c r="F85" s="124"/>
      <c r="G85" s="292"/>
      <c r="H85" s="291"/>
      <c r="I85" s="291"/>
      <c r="J85" s="303"/>
      <c r="K85" s="475">
        <v>0</v>
      </c>
      <c r="L85" s="126">
        <f t="shared" si="7"/>
        <v>0</v>
      </c>
      <c r="M85" s="1431"/>
    </row>
    <row r="86" spans="2:13" x14ac:dyDescent="0.35">
      <c r="B86" s="1411"/>
      <c r="C86" s="1413"/>
      <c r="D86" s="124"/>
      <c r="E86" s="124"/>
      <c r="F86" s="124"/>
      <c r="G86" s="292"/>
      <c r="H86" s="291"/>
      <c r="I86" s="291"/>
      <c r="J86" s="303"/>
      <c r="K86" s="475">
        <v>0</v>
      </c>
      <c r="L86" s="126">
        <f t="shared" si="7"/>
        <v>0</v>
      </c>
      <c r="M86" s="1431"/>
    </row>
    <row r="87" spans="2:13" x14ac:dyDescent="0.35">
      <c r="B87" s="1411"/>
      <c r="C87" s="1413"/>
      <c r="D87" s="124"/>
      <c r="E87" s="124"/>
      <c r="F87" s="124"/>
      <c r="G87" s="292"/>
      <c r="H87" s="291"/>
      <c r="I87" s="291"/>
      <c r="J87" s="303"/>
      <c r="K87" s="475">
        <v>0</v>
      </c>
      <c r="L87" s="126">
        <f t="shared" si="7"/>
        <v>0</v>
      </c>
      <c r="M87" s="1431"/>
    </row>
    <row r="88" spans="2:13" x14ac:dyDescent="0.35">
      <c r="B88" s="1411"/>
      <c r="C88" s="1413"/>
      <c r="D88" s="124"/>
      <c r="E88" s="124"/>
      <c r="F88" s="124"/>
      <c r="G88" s="292"/>
      <c r="H88" s="291"/>
      <c r="I88" s="291"/>
      <c r="J88" s="303"/>
      <c r="K88" s="475">
        <v>0</v>
      </c>
      <c r="L88" s="126">
        <f t="shared" si="7"/>
        <v>0</v>
      </c>
      <c r="M88" s="1431"/>
    </row>
    <row r="89" spans="2:13" x14ac:dyDescent="0.35">
      <c r="B89" s="1411"/>
      <c r="C89" s="1413"/>
      <c r="D89" s="124"/>
      <c r="E89" s="124"/>
      <c r="F89" s="124"/>
      <c r="G89" s="292"/>
      <c r="H89" s="291"/>
      <c r="I89" s="291"/>
      <c r="J89" s="303"/>
      <c r="K89" s="475">
        <v>0</v>
      </c>
      <c r="L89" s="126">
        <f t="shared" si="7"/>
        <v>0</v>
      </c>
      <c r="M89" s="1431"/>
    </row>
    <row r="90" spans="2:13" x14ac:dyDescent="0.35">
      <c r="B90" s="1411"/>
      <c r="C90" s="1413"/>
      <c r="D90" s="124"/>
      <c r="E90" s="124"/>
      <c r="F90" s="124"/>
      <c r="G90" s="292"/>
      <c r="H90" s="291"/>
      <c r="I90" s="291"/>
      <c r="J90" s="303"/>
      <c r="K90" s="475">
        <v>0</v>
      </c>
      <c r="L90" s="126">
        <f t="shared" si="7"/>
        <v>0</v>
      </c>
      <c r="M90" s="1431"/>
    </row>
    <row r="91" spans="2:13" ht="15" thickBot="1" x14ac:dyDescent="0.4">
      <c r="B91" s="1412"/>
      <c r="C91" s="1414"/>
      <c r="D91" s="129"/>
      <c r="E91" s="129"/>
      <c r="F91" s="129"/>
      <c r="G91" s="293"/>
      <c r="H91" s="294"/>
      <c r="I91" s="294"/>
      <c r="J91" s="341"/>
      <c r="K91" s="476">
        <v>0</v>
      </c>
      <c r="L91" s="489">
        <f t="shared" si="7"/>
        <v>0</v>
      </c>
      <c r="M91" s="1432"/>
    </row>
    <row r="92" spans="2:13" x14ac:dyDescent="0.35">
      <c r="B92" s="1421" t="str">
        <f>+'B) Reajuste Tarifas y Ocupación'!A31</f>
        <v>Piscina C.N.C. Tumbes</v>
      </c>
      <c r="C92" s="1417" t="s">
        <v>206</v>
      </c>
      <c r="D92" s="1146" t="s">
        <v>416</v>
      </c>
      <c r="E92" s="1146" t="s">
        <v>416</v>
      </c>
      <c r="F92" s="1146" t="s">
        <v>417</v>
      </c>
      <c r="G92" s="1146" t="s">
        <v>421</v>
      </c>
      <c r="H92" s="120">
        <v>0</v>
      </c>
      <c r="I92" s="299">
        <v>0</v>
      </c>
      <c r="J92" s="299">
        <v>0</v>
      </c>
      <c r="K92" s="474">
        <f t="shared" ref="K92:K112" si="8">SUM(H92:J92)</f>
        <v>0</v>
      </c>
      <c r="L92" s="1151">
        <f t="shared" si="7"/>
        <v>0</v>
      </c>
      <c r="M92" s="1430">
        <f>SUM(L92:L113)</f>
        <v>15844812.5</v>
      </c>
    </row>
    <row r="93" spans="2:13" x14ac:dyDescent="0.35">
      <c r="B93" s="1411"/>
      <c r="C93" s="1413"/>
      <c r="D93" s="1149" t="s">
        <v>422</v>
      </c>
      <c r="E93" s="1149" t="s">
        <v>423</v>
      </c>
      <c r="F93" s="1149" t="s">
        <v>424</v>
      </c>
      <c r="G93" s="1149" t="s">
        <v>418</v>
      </c>
      <c r="H93" s="125">
        <v>0</v>
      </c>
      <c r="I93" s="299">
        <v>0</v>
      </c>
      <c r="J93" s="291">
        <v>0</v>
      </c>
      <c r="K93" s="475">
        <f t="shared" si="8"/>
        <v>0</v>
      </c>
      <c r="L93" s="1152">
        <f t="shared" si="7"/>
        <v>0</v>
      </c>
      <c r="M93" s="1431"/>
    </row>
    <row r="94" spans="2:13" x14ac:dyDescent="0.35">
      <c r="B94" s="1411"/>
      <c r="C94" s="1413"/>
      <c r="D94" s="1149"/>
      <c r="E94" s="1149"/>
      <c r="F94" s="1149"/>
      <c r="G94" s="1149"/>
      <c r="H94" s="291"/>
      <c r="I94" s="291"/>
      <c r="J94" s="303"/>
      <c r="K94" s="475">
        <f t="shared" si="8"/>
        <v>0</v>
      </c>
      <c r="L94" s="1152">
        <f t="shared" si="7"/>
        <v>0</v>
      </c>
      <c r="M94" s="1431"/>
    </row>
    <row r="95" spans="2:13" x14ac:dyDescent="0.35">
      <c r="B95" s="1411"/>
      <c r="C95" s="1413"/>
      <c r="D95" s="124"/>
      <c r="E95" s="124"/>
      <c r="F95" s="124"/>
      <c r="G95" s="124"/>
      <c r="H95" s="291"/>
      <c r="I95" s="291"/>
      <c r="J95" s="303"/>
      <c r="K95" s="475">
        <f t="shared" si="8"/>
        <v>0</v>
      </c>
      <c r="L95" s="126">
        <f t="shared" si="7"/>
        <v>0</v>
      </c>
      <c r="M95" s="1431"/>
    </row>
    <row r="96" spans="2:13" x14ac:dyDescent="0.35">
      <c r="B96" s="1411"/>
      <c r="C96" s="1413"/>
      <c r="D96" s="124"/>
      <c r="E96" s="124"/>
      <c r="F96" s="124"/>
      <c r="G96" s="124"/>
      <c r="H96" s="291"/>
      <c r="I96" s="291"/>
      <c r="J96" s="303"/>
      <c r="K96" s="475">
        <f t="shared" si="8"/>
        <v>0</v>
      </c>
      <c r="L96" s="126">
        <f t="shared" si="7"/>
        <v>0</v>
      </c>
      <c r="M96" s="1431"/>
    </row>
    <row r="97" spans="2:17" x14ac:dyDescent="0.35">
      <c r="B97" s="1411"/>
      <c r="C97" s="1413"/>
      <c r="D97" s="124"/>
      <c r="E97" s="124"/>
      <c r="F97" s="124"/>
      <c r="G97" s="124"/>
      <c r="H97" s="291"/>
      <c r="I97" s="291"/>
      <c r="J97" s="303"/>
      <c r="K97" s="475">
        <f t="shared" si="8"/>
        <v>0</v>
      </c>
      <c r="L97" s="126">
        <f t="shared" si="7"/>
        <v>0</v>
      </c>
      <c r="M97" s="1431"/>
    </row>
    <row r="98" spans="2:17" x14ac:dyDescent="0.35">
      <c r="B98" s="1411"/>
      <c r="C98" s="1413"/>
      <c r="D98" s="124"/>
      <c r="E98" s="124"/>
      <c r="F98" s="124"/>
      <c r="G98" s="124"/>
      <c r="H98" s="291"/>
      <c r="I98" s="291"/>
      <c r="J98" s="303"/>
      <c r="K98" s="475">
        <f t="shared" si="8"/>
        <v>0</v>
      </c>
      <c r="L98" s="126">
        <f t="shared" si="7"/>
        <v>0</v>
      </c>
      <c r="M98" s="1431"/>
    </row>
    <row r="99" spans="2:17" x14ac:dyDescent="0.35">
      <c r="B99" s="1411"/>
      <c r="C99" s="1413"/>
      <c r="D99" s="124"/>
      <c r="E99" s="124"/>
      <c r="F99" s="124"/>
      <c r="G99" s="292"/>
      <c r="H99" s="291"/>
      <c r="I99" s="291"/>
      <c r="J99" s="303"/>
      <c r="K99" s="475">
        <f t="shared" si="8"/>
        <v>0</v>
      </c>
      <c r="L99" s="126">
        <f t="shared" si="7"/>
        <v>0</v>
      </c>
      <c r="M99" s="1431"/>
    </row>
    <row r="100" spans="2:17" x14ac:dyDescent="0.35">
      <c r="B100" s="1411"/>
      <c r="C100" s="1413"/>
      <c r="D100" s="124"/>
      <c r="E100" s="124"/>
      <c r="F100" s="124"/>
      <c r="G100" s="292"/>
      <c r="H100" s="291"/>
      <c r="I100" s="291"/>
      <c r="J100" s="303"/>
      <c r="K100" s="475">
        <f t="shared" si="8"/>
        <v>0</v>
      </c>
      <c r="L100" s="126">
        <f t="shared" si="7"/>
        <v>0</v>
      </c>
      <c r="M100" s="1431"/>
    </row>
    <row r="101" spans="2:17" x14ac:dyDescent="0.35">
      <c r="B101" s="1411"/>
      <c r="C101" s="1413"/>
      <c r="D101" s="124"/>
      <c r="E101" s="124"/>
      <c r="F101" s="124"/>
      <c r="G101" s="292"/>
      <c r="H101" s="291"/>
      <c r="I101" s="291"/>
      <c r="J101" s="303"/>
      <c r="K101" s="475">
        <f t="shared" si="8"/>
        <v>0</v>
      </c>
      <c r="L101" s="126">
        <f t="shared" si="7"/>
        <v>0</v>
      </c>
      <c r="M101" s="1431"/>
    </row>
    <row r="102" spans="2:17" ht="15" thickBot="1" x14ac:dyDescent="0.4">
      <c r="B102" s="1411"/>
      <c r="C102" s="1413"/>
      <c r="D102" s="129"/>
      <c r="E102" s="129"/>
      <c r="F102" s="129"/>
      <c r="G102" s="293"/>
      <c r="H102" s="294"/>
      <c r="I102" s="294"/>
      <c r="J102" s="294"/>
      <c r="K102" s="476">
        <f t="shared" si="8"/>
        <v>0</v>
      </c>
      <c r="L102" s="489">
        <f t="shared" si="7"/>
        <v>0</v>
      </c>
      <c r="M102" s="1431"/>
    </row>
    <row r="103" spans="2:17" ht="15" thickBot="1" x14ac:dyDescent="0.4">
      <c r="B103" s="1410"/>
      <c r="C103" s="1422" t="s">
        <v>207</v>
      </c>
      <c r="D103" s="1146" t="s">
        <v>410</v>
      </c>
      <c r="E103" s="1146" t="s">
        <v>410</v>
      </c>
      <c r="F103" s="1146" t="s">
        <v>641</v>
      </c>
      <c r="G103" s="1146" t="s">
        <v>418</v>
      </c>
      <c r="H103" s="120">
        <f>750000*3+750000/2</f>
        <v>2625000</v>
      </c>
      <c r="I103" s="125">
        <v>0</v>
      </c>
      <c r="J103" s="125">
        <v>0</v>
      </c>
      <c r="K103" s="475">
        <f t="shared" si="8"/>
        <v>2625000</v>
      </c>
      <c r="L103" s="1151">
        <f t="shared" si="7"/>
        <v>2743125</v>
      </c>
      <c r="M103" s="1431"/>
      <c r="N103" s="922"/>
      <c r="P103" s="923"/>
      <c r="Q103" s="923"/>
    </row>
    <row r="104" spans="2:17" x14ac:dyDescent="0.35">
      <c r="B104" s="1410"/>
      <c r="C104" s="1423"/>
      <c r="D104" s="1149" t="s">
        <v>410</v>
      </c>
      <c r="E104" s="1149" t="s">
        <v>410</v>
      </c>
      <c r="F104" s="1146" t="s">
        <v>641</v>
      </c>
      <c r="G104" s="1149" t="s">
        <v>418</v>
      </c>
      <c r="H104" s="125">
        <f>375000*3+375000/2</f>
        <v>1312500</v>
      </c>
      <c r="I104" s="125">
        <v>0</v>
      </c>
      <c r="J104" s="125">
        <v>0</v>
      </c>
      <c r="K104" s="475">
        <f t="shared" si="8"/>
        <v>1312500</v>
      </c>
      <c r="L104" s="1152">
        <f t="shared" si="7"/>
        <v>1371562.5</v>
      </c>
      <c r="M104" s="1431"/>
      <c r="N104" s="922"/>
      <c r="P104" s="923"/>
      <c r="Q104" s="923"/>
    </row>
    <row r="105" spans="2:17" x14ac:dyDescent="0.35">
      <c r="B105" s="1410"/>
      <c r="C105" s="1423"/>
      <c r="D105" s="1149" t="s">
        <v>410</v>
      </c>
      <c r="E105" s="1149" t="s">
        <v>410</v>
      </c>
      <c r="F105" s="1149" t="s">
        <v>420</v>
      </c>
      <c r="G105" s="1149" t="s">
        <v>418</v>
      </c>
      <c r="H105" s="291">
        <f>1500000*3+1500000/2</f>
        <v>5250000</v>
      </c>
      <c r="I105" s="125">
        <v>0</v>
      </c>
      <c r="J105" s="125">
        <v>0</v>
      </c>
      <c r="K105" s="475">
        <f t="shared" si="8"/>
        <v>5250000</v>
      </c>
      <c r="L105" s="1152">
        <f t="shared" si="7"/>
        <v>5486250</v>
      </c>
      <c r="M105" s="1431"/>
      <c r="N105" s="922"/>
      <c r="P105" s="923"/>
      <c r="Q105" s="923"/>
    </row>
    <row r="106" spans="2:17" x14ac:dyDescent="0.35">
      <c r="B106" s="1410"/>
      <c r="C106" s="1423"/>
      <c r="D106" s="1149" t="s">
        <v>410</v>
      </c>
      <c r="E106" s="1149" t="s">
        <v>410</v>
      </c>
      <c r="F106" s="1149" t="s">
        <v>420</v>
      </c>
      <c r="G106" s="1149" t="s">
        <v>418</v>
      </c>
      <c r="H106" s="291">
        <f>(1500000/2)*3+750000/2</f>
        <v>2625000</v>
      </c>
      <c r="I106" s="125">
        <v>0</v>
      </c>
      <c r="J106" s="125">
        <v>0</v>
      </c>
      <c r="K106" s="475">
        <f t="shared" si="8"/>
        <v>2625000</v>
      </c>
      <c r="L106" s="1152">
        <f t="shared" si="7"/>
        <v>2743125</v>
      </c>
      <c r="M106" s="1431"/>
      <c r="N106" s="922"/>
      <c r="P106" s="923"/>
      <c r="Q106" s="923"/>
    </row>
    <row r="107" spans="2:17" x14ac:dyDescent="0.35">
      <c r="B107" s="1410"/>
      <c r="C107" s="1423"/>
      <c r="D107" s="1149" t="s">
        <v>410</v>
      </c>
      <c r="E107" s="1149" t="s">
        <v>410</v>
      </c>
      <c r="F107" s="1149" t="s">
        <v>426</v>
      </c>
      <c r="G107" s="1149" t="s">
        <v>418</v>
      </c>
      <c r="H107" s="291">
        <f>670000*3/2+335000/2</f>
        <v>1172500</v>
      </c>
      <c r="I107" s="125">
        <v>0</v>
      </c>
      <c r="J107" s="125">
        <v>0</v>
      </c>
      <c r="K107" s="475">
        <f t="shared" si="8"/>
        <v>1172500</v>
      </c>
      <c r="L107" s="1152">
        <f t="shared" si="7"/>
        <v>1225262.5</v>
      </c>
      <c r="M107" s="1431"/>
      <c r="N107" s="922"/>
      <c r="P107" s="923"/>
      <c r="Q107" s="923"/>
    </row>
    <row r="108" spans="2:17" x14ac:dyDescent="0.35">
      <c r="B108" s="1410"/>
      <c r="C108" s="1423"/>
      <c r="D108" s="1149" t="s">
        <v>410</v>
      </c>
      <c r="E108" s="1149" t="s">
        <v>410</v>
      </c>
      <c r="F108" s="1149" t="s">
        <v>449</v>
      </c>
      <c r="G108" s="1149" t="s">
        <v>418</v>
      </c>
      <c r="H108" s="291">
        <f>670000*3+335000/2</f>
        <v>2177500</v>
      </c>
      <c r="I108" s="125">
        <v>0</v>
      </c>
      <c r="J108" s="125">
        <v>0</v>
      </c>
      <c r="K108" s="475">
        <f t="shared" si="8"/>
        <v>2177500</v>
      </c>
      <c r="L108" s="1152">
        <f t="shared" si="7"/>
        <v>2275487.5</v>
      </c>
      <c r="M108" s="1431"/>
      <c r="N108" s="922"/>
      <c r="P108" s="923"/>
      <c r="Q108" s="923"/>
    </row>
    <row r="109" spans="2:17" x14ac:dyDescent="0.35">
      <c r="B109" s="1410"/>
      <c r="C109" s="1423"/>
      <c r="D109" s="124"/>
      <c r="E109" s="124"/>
      <c r="F109" s="124"/>
      <c r="G109" s="124"/>
      <c r="H109" s="291"/>
      <c r="I109" s="291"/>
      <c r="J109" s="303"/>
      <c r="K109" s="475">
        <f t="shared" si="8"/>
        <v>0</v>
      </c>
      <c r="L109" s="126">
        <f t="shared" si="7"/>
        <v>0</v>
      </c>
      <c r="M109" s="1431"/>
      <c r="N109" s="922"/>
      <c r="P109" s="923"/>
      <c r="Q109" s="923"/>
    </row>
    <row r="110" spans="2:17" x14ac:dyDescent="0.35">
      <c r="B110" s="1410"/>
      <c r="C110" s="1423"/>
      <c r="D110" s="210"/>
      <c r="E110" s="210"/>
      <c r="F110" s="210"/>
      <c r="G110" s="292"/>
      <c r="H110" s="291"/>
      <c r="I110" s="291"/>
      <c r="J110" s="303"/>
      <c r="K110" s="475">
        <f t="shared" si="8"/>
        <v>0</v>
      </c>
      <c r="L110" s="126">
        <f t="shared" si="7"/>
        <v>0</v>
      </c>
      <c r="M110" s="1431"/>
      <c r="N110" s="922"/>
      <c r="P110" s="923"/>
      <c r="Q110" s="923"/>
    </row>
    <row r="111" spans="2:17" x14ac:dyDescent="0.35">
      <c r="B111" s="1410"/>
      <c r="C111" s="1423"/>
      <c r="D111" s="124"/>
      <c r="E111" s="124"/>
      <c r="F111" s="124"/>
      <c r="G111" s="292"/>
      <c r="H111" s="291"/>
      <c r="I111" s="291"/>
      <c r="J111" s="303"/>
      <c r="K111" s="475">
        <f t="shared" si="8"/>
        <v>0</v>
      </c>
      <c r="L111" s="126">
        <f t="shared" si="7"/>
        <v>0</v>
      </c>
      <c r="M111" s="1431"/>
      <c r="N111" s="922"/>
      <c r="P111" s="923"/>
      <c r="Q111" s="923"/>
    </row>
    <row r="112" spans="2:17" x14ac:dyDescent="0.35">
      <c r="B112" s="1410"/>
      <c r="C112" s="1423"/>
      <c r="D112" s="124"/>
      <c r="E112" s="124"/>
      <c r="F112" s="124"/>
      <c r="G112" s="292"/>
      <c r="H112" s="291"/>
      <c r="I112" s="291"/>
      <c r="J112" s="303"/>
      <c r="K112" s="475">
        <f t="shared" si="8"/>
        <v>0</v>
      </c>
      <c r="L112" s="126">
        <f t="shared" si="7"/>
        <v>0</v>
      </c>
      <c r="M112" s="1431"/>
      <c r="N112" s="922"/>
      <c r="P112" s="923"/>
      <c r="Q112" s="923"/>
    </row>
    <row r="113" spans="2:17" ht="15" thickBot="1" x14ac:dyDescent="0.4">
      <c r="B113" s="1425"/>
      <c r="C113" s="1424"/>
      <c r="D113" s="129"/>
      <c r="E113" s="129"/>
      <c r="F113" s="129"/>
      <c r="G113" s="293"/>
      <c r="H113" s="294"/>
      <c r="I113" s="294"/>
      <c r="J113" s="341"/>
      <c r="K113" s="476">
        <f t="shared" ref="K113:K176" si="9">SUM(H113:J113)</f>
        <v>0</v>
      </c>
      <c r="L113" s="134">
        <f t="shared" si="7"/>
        <v>0</v>
      </c>
      <c r="M113" s="1432"/>
      <c r="N113" s="922"/>
      <c r="P113" s="923"/>
      <c r="Q113" s="923"/>
    </row>
    <row r="114" spans="2:17" x14ac:dyDescent="0.35">
      <c r="B114" s="1418" t="str">
        <f>+'B) Reajuste Tarifas y Ocupación'!A33</f>
        <v>Canchas C.N.C. Tumbes</v>
      </c>
      <c r="C114" s="1417" t="s">
        <v>206</v>
      </c>
      <c r="D114" s="119"/>
      <c r="E114" s="119"/>
      <c r="F114" s="119"/>
      <c r="G114" s="119"/>
      <c r="H114" s="297"/>
      <c r="I114" s="297"/>
      <c r="J114" s="342"/>
      <c r="K114" s="474">
        <f>SUM(H114:J114)</f>
        <v>0</v>
      </c>
      <c r="L114" s="122">
        <f t="shared" si="7"/>
        <v>0</v>
      </c>
      <c r="M114" s="1430">
        <f>SUM(L114:L135)</f>
        <v>0</v>
      </c>
    </row>
    <row r="115" spans="2:17" x14ac:dyDescent="0.35">
      <c r="B115" s="1419"/>
      <c r="C115" s="1413"/>
      <c r="D115" s="124"/>
      <c r="E115" s="124"/>
      <c r="F115" s="124"/>
      <c r="G115" s="124"/>
      <c r="H115" s="291"/>
      <c r="I115" s="291"/>
      <c r="J115" s="303"/>
      <c r="K115" s="475">
        <f t="shared" si="9"/>
        <v>0</v>
      </c>
      <c r="L115" s="126">
        <f t="shared" si="7"/>
        <v>0</v>
      </c>
      <c r="M115" s="1431"/>
    </row>
    <row r="116" spans="2:17" x14ac:dyDescent="0.35">
      <c r="B116" s="1419"/>
      <c r="C116" s="1413"/>
      <c r="D116" s="124"/>
      <c r="E116" s="124"/>
      <c r="F116" s="124"/>
      <c r="G116" s="124"/>
      <c r="H116" s="291"/>
      <c r="I116" s="291"/>
      <c r="J116" s="303"/>
      <c r="K116" s="475">
        <f t="shared" si="9"/>
        <v>0</v>
      </c>
      <c r="L116" s="126">
        <f t="shared" si="7"/>
        <v>0</v>
      </c>
      <c r="M116" s="1431"/>
    </row>
    <row r="117" spans="2:17" x14ac:dyDescent="0.35">
      <c r="B117" s="1419"/>
      <c r="C117" s="1413"/>
      <c r="D117" s="124"/>
      <c r="E117" s="124"/>
      <c r="F117" s="124"/>
      <c r="G117" s="124"/>
      <c r="H117" s="291"/>
      <c r="I117" s="291"/>
      <c r="J117" s="303"/>
      <c r="K117" s="475">
        <f t="shared" si="9"/>
        <v>0</v>
      </c>
      <c r="L117" s="126">
        <f t="shared" si="7"/>
        <v>0</v>
      </c>
      <c r="M117" s="1431"/>
    </row>
    <row r="118" spans="2:17" x14ac:dyDescent="0.35">
      <c r="B118" s="1419"/>
      <c r="C118" s="1413"/>
      <c r="D118" s="124"/>
      <c r="E118" s="124"/>
      <c r="F118" s="124"/>
      <c r="G118" s="124"/>
      <c r="H118" s="291"/>
      <c r="I118" s="291"/>
      <c r="J118" s="303"/>
      <c r="K118" s="475">
        <f t="shared" si="9"/>
        <v>0</v>
      </c>
      <c r="L118" s="126">
        <f t="shared" si="7"/>
        <v>0</v>
      </c>
      <c r="M118" s="1431"/>
    </row>
    <row r="119" spans="2:17" x14ac:dyDescent="0.35">
      <c r="B119" s="1419"/>
      <c r="C119" s="1413"/>
      <c r="D119" s="124"/>
      <c r="E119" s="124"/>
      <c r="F119" s="124"/>
      <c r="G119" s="292"/>
      <c r="H119" s="291"/>
      <c r="I119" s="291"/>
      <c r="J119" s="303"/>
      <c r="K119" s="475">
        <f t="shared" si="9"/>
        <v>0</v>
      </c>
      <c r="L119" s="126">
        <f t="shared" si="7"/>
        <v>0</v>
      </c>
      <c r="M119" s="1431"/>
    </row>
    <row r="120" spans="2:17" x14ac:dyDescent="0.35">
      <c r="B120" s="1419"/>
      <c r="C120" s="1413"/>
      <c r="D120" s="124"/>
      <c r="E120" s="124"/>
      <c r="F120" s="124"/>
      <c r="G120" s="292"/>
      <c r="H120" s="291"/>
      <c r="I120" s="291"/>
      <c r="J120" s="303"/>
      <c r="K120" s="475">
        <f t="shared" si="9"/>
        <v>0</v>
      </c>
      <c r="L120" s="126">
        <f t="shared" si="7"/>
        <v>0</v>
      </c>
      <c r="M120" s="1431"/>
    </row>
    <row r="121" spans="2:17" x14ac:dyDescent="0.35">
      <c r="B121" s="1419"/>
      <c r="C121" s="1413"/>
      <c r="D121" s="124"/>
      <c r="E121" s="124"/>
      <c r="F121" s="124"/>
      <c r="G121" s="292"/>
      <c r="H121" s="291"/>
      <c r="I121" s="291"/>
      <c r="J121" s="303"/>
      <c r="K121" s="475">
        <f t="shared" si="9"/>
        <v>0</v>
      </c>
      <c r="L121" s="126">
        <f t="shared" si="7"/>
        <v>0</v>
      </c>
      <c r="M121" s="1431"/>
    </row>
    <row r="122" spans="2:17" x14ac:dyDescent="0.35">
      <c r="B122" s="1419"/>
      <c r="C122" s="1413"/>
      <c r="D122" s="124"/>
      <c r="E122" s="124"/>
      <c r="F122" s="124"/>
      <c r="G122" s="292"/>
      <c r="H122" s="291"/>
      <c r="I122" s="291"/>
      <c r="J122" s="303"/>
      <c r="K122" s="475">
        <f t="shared" si="9"/>
        <v>0</v>
      </c>
      <c r="L122" s="126">
        <f t="shared" si="7"/>
        <v>0</v>
      </c>
      <c r="M122" s="1431"/>
    </row>
    <row r="123" spans="2:17" x14ac:dyDescent="0.35">
      <c r="B123" s="1419"/>
      <c r="C123" s="1413"/>
      <c r="D123" s="124"/>
      <c r="E123" s="124"/>
      <c r="F123" s="124"/>
      <c r="G123" s="292"/>
      <c r="H123" s="291"/>
      <c r="I123" s="291"/>
      <c r="J123" s="303"/>
      <c r="K123" s="475">
        <f t="shared" si="9"/>
        <v>0</v>
      </c>
      <c r="L123" s="126">
        <f t="shared" si="7"/>
        <v>0</v>
      </c>
      <c r="M123" s="1431"/>
    </row>
    <row r="124" spans="2:17" ht="15" thickBot="1" x14ac:dyDescent="0.4">
      <c r="B124" s="1419"/>
      <c r="C124" s="1414"/>
      <c r="D124" s="129"/>
      <c r="E124" s="129"/>
      <c r="F124" s="129"/>
      <c r="G124" s="293"/>
      <c r="H124" s="294"/>
      <c r="I124" s="294"/>
      <c r="J124" s="341"/>
      <c r="K124" s="476">
        <f t="shared" si="9"/>
        <v>0</v>
      </c>
      <c r="L124" s="134">
        <f t="shared" si="7"/>
        <v>0</v>
      </c>
      <c r="M124" s="1431"/>
    </row>
    <row r="125" spans="2:17" x14ac:dyDescent="0.35">
      <c r="B125" s="1419"/>
      <c r="C125" s="1413" t="s">
        <v>207</v>
      </c>
      <c r="D125" s="140"/>
      <c r="E125" s="140"/>
      <c r="F125" s="140"/>
      <c r="G125" s="298"/>
      <c r="H125" s="299"/>
      <c r="I125" s="299"/>
      <c r="J125" s="343"/>
      <c r="K125" s="475">
        <f t="shared" si="9"/>
        <v>0</v>
      </c>
      <c r="L125" s="122">
        <f t="shared" si="7"/>
        <v>0</v>
      </c>
      <c r="M125" s="1431"/>
    </row>
    <row r="126" spans="2:17" x14ac:dyDescent="0.35">
      <c r="B126" s="1419"/>
      <c r="C126" s="1413"/>
      <c r="D126" s="124"/>
      <c r="E126" s="124"/>
      <c r="F126" s="124"/>
      <c r="G126" s="292"/>
      <c r="H126" s="291"/>
      <c r="I126" s="291"/>
      <c r="J126" s="303"/>
      <c r="K126" s="475">
        <f t="shared" si="9"/>
        <v>0</v>
      </c>
      <c r="L126" s="126">
        <f t="shared" si="7"/>
        <v>0</v>
      </c>
      <c r="M126" s="1431"/>
    </row>
    <row r="127" spans="2:17" x14ac:dyDescent="0.35">
      <c r="B127" s="1419"/>
      <c r="C127" s="1413"/>
      <c r="D127" s="124"/>
      <c r="E127" s="124"/>
      <c r="F127" s="124"/>
      <c r="G127" s="292"/>
      <c r="H127" s="291"/>
      <c r="I127" s="291"/>
      <c r="J127" s="303"/>
      <c r="K127" s="475">
        <f t="shared" si="9"/>
        <v>0</v>
      </c>
      <c r="L127" s="126">
        <f t="shared" si="7"/>
        <v>0</v>
      </c>
      <c r="M127" s="1431"/>
    </row>
    <row r="128" spans="2:17" x14ac:dyDescent="0.35">
      <c r="B128" s="1419"/>
      <c r="C128" s="1413"/>
      <c r="D128" s="124"/>
      <c r="E128" s="124"/>
      <c r="F128" s="124"/>
      <c r="G128" s="292"/>
      <c r="H128" s="291"/>
      <c r="I128" s="291"/>
      <c r="J128" s="303"/>
      <c r="K128" s="475">
        <f t="shared" si="9"/>
        <v>0</v>
      </c>
      <c r="L128" s="126">
        <f t="shared" si="7"/>
        <v>0</v>
      </c>
      <c r="M128" s="1431"/>
    </row>
    <row r="129" spans="2:13" x14ac:dyDescent="0.35">
      <c r="B129" s="1419"/>
      <c r="C129" s="1413"/>
      <c r="D129" s="124"/>
      <c r="E129" s="124"/>
      <c r="F129" s="124"/>
      <c r="G129" s="292"/>
      <c r="H129" s="291"/>
      <c r="I129" s="291"/>
      <c r="J129" s="303"/>
      <c r="K129" s="475">
        <f t="shared" si="9"/>
        <v>0</v>
      </c>
      <c r="L129" s="126">
        <f t="shared" si="7"/>
        <v>0</v>
      </c>
      <c r="M129" s="1431"/>
    </row>
    <row r="130" spans="2:13" x14ac:dyDescent="0.35">
      <c r="B130" s="1419"/>
      <c r="C130" s="1413"/>
      <c r="D130" s="124"/>
      <c r="E130" s="124"/>
      <c r="F130" s="124"/>
      <c r="G130" s="292"/>
      <c r="H130" s="291"/>
      <c r="I130" s="291"/>
      <c r="J130" s="303"/>
      <c r="K130" s="475">
        <f t="shared" si="9"/>
        <v>0</v>
      </c>
      <c r="L130" s="126">
        <f t="shared" si="7"/>
        <v>0</v>
      </c>
      <c r="M130" s="1431"/>
    </row>
    <row r="131" spans="2:13" x14ac:dyDescent="0.35">
      <c r="B131" s="1419"/>
      <c r="C131" s="1413"/>
      <c r="D131" s="124"/>
      <c r="E131" s="124"/>
      <c r="F131" s="124"/>
      <c r="G131" s="292"/>
      <c r="H131" s="291"/>
      <c r="I131" s="291"/>
      <c r="J131" s="303"/>
      <c r="K131" s="475">
        <f t="shared" si="9"/>
        <v>0</v>
      </c>
      <c r="L131" s="126">
        <f t="shared" si="7"/>
        <v>0</v>
      </c>
      <c r="M131" s="1431"/>
    </row>
    <row r="132" spans="2:13" x14ac:dyDescent="0.35">
      <c r="B132" s="1419"/>
      <c r="C132" s="1413"/>
      <c r="D132" s="124"/>
      <c r="E132" s="124"/>
      <c r="F132" s="124"/>
      <c r="G132" s="292"/>
      <c r="H132" s="291"/>
      <c r="I132" s="291"/>
      <c r="J132" s="303"/>
      <c r="K132" s="475">
        <f t="shared" si="9"/>
        <v>0</v>
      </c>
      <c r="L132" s="126">
        <f t="shared" si="7"/>
        <v>0</v>
      </c>
      <c r="M132" s="1431"/>
    </row>
    <row r="133" spans="2:13" x14ac:dyDescent="0.35">
      <c r="B133" s="1419"/>
      <c r="C133" s="1413"/>
      <c r="D133" s="124"/>
      <c r="E133" s="124"/>
      <c r="F133" s="124"/>
      <c r="G133" s="292"/>
      <c r="H133" s="291"/>
      <c r="I133" s="291"/>
      <c r="J133" s="303"/>
      <c r="K133" s="475">
        <f t="shared" si="9"/>
        <v>0</v>
      </c>
      <c r="L133" s="126">
        <f t="shared" si="7"/>
        <v>0</v>
      </c>
      <c r="M133" s="1431"/>
    </row>
    <row r="134" spans="2:13" x14ac:dyDescent="0.35">
      <c r="B134" s="1419"/>
      <c r="C134" s="1413"/>
      <c r="D134" s="124"/>
      <c r="E134" s="124"/>
      <c r="F134" s="124"/>
      <c r="G134" s="292"/>
      <c r="H134" s="291"/>
      <c r="I134" s="291"/>
      <c r="J134" s="303"/>
      <c r="K134" s="475">
        <f t="shared" si="9"/>
        <v>0</v>
      </c>
      <c r="L134" s="126">
        <f t="shared" si="7"/>
        <v>0</v>
      </c>
      <c r="M134" s="1431"/>
    </row>
    <row r="135" spans="2:13" ht="15" thickBot="1" x14ac:dyDescent="0.4">
      <c r="B135" s="1420"/>
      <c r="C135" s="1414"/>
      <c r="D135" s="129"/>
      <c r="E135" s="129"/>
      <c r="F135" s="129"/>
      <c r="G135" s="293"/>
      <c r="H135" s="294"/>
      <c r="I135" s="294"/>
      <c r="J135" s="341"/>
      <c r="K135" s="476">
        <f t="shared" si="9"/>
        <v>0</v>
      </c>
      <c r="L135" s="134">
        <f t="shared" si="7"/>
        <v>0</v>
      </c>
      <c r="M135" s="1432"/>
    </row>
    <row r="136" spans="2:13" x14ac:dyDescent="0.35">
      <c r="B136" s="1421" t="str">
        <f>+'B) Reajuste Tarifas y Ocupación'!A35</f>
        <v>Cabañas C.R. Faro Tumbes</v>
      </c>
      <c r="C136" s="1417" t="s">
        <v>206</v>
      </c>
      <c r="D136" s="124" t="s">
        <v>657</v>
      </c>
      <c r="E136" s="124" t="s">
        <v>658</v>
      </c>
      <c r="F136" s="124" t="s">
        <v>394</v>
      </c>
      <c r="G136" s="124" t="s">
        <v>78</v>
      </c>
      <c r="H136" s="291">
        <v>8229988</v>
      </c>
      <c r="I136" s="120">
        <v>386476</v>
      </c>
      <c r="J136" s="121">
        <v>174472</v>
      </c>
      <c r="K136" s="474">
        <f t="shared" si="9"/>
        <v>8790936</v>
      </c>
      <c r="L136" s="122">
        <f t="shared" si="7"/>
        <v>9161285.459999999</v>
      </c>
      <c r="M136" s="1445">
        <f>SUM(L136:L157)</f>
        <v>9161285.459999999</v>
      </c>
    </row>
    <row r="137" spans="2:13" x14ac:dyDescent="0.35">
      <c r="B137" s="1411"/>
      <c r="C137" s="1413"/>
      <c r="D137" s="124"/>
      <c r="E137" s="124"/>
      <c r="F137" s="124"/>
      <c r="G137" s="124"/>
      <c r="H137" s="291"/>
      <c r="I137" s="291"/>
      <c r="J137" s="291"/>
      <c r="K137" s="475">
        <f t="shared" si="9"/>
        <v>0</v>
      </c>
      <c r="L137" s="126">
        <f t="shared" si="7"/>
        <v>0</v>
      </c>
      <c r="M137" s="1431"/>
    </row>
    <row r="138" spans="2:13" x14ac:dyDescent="0.35">
      <c r="B138" s="1411"/>
      <c r="C138" s="1413"/>
      <c r="D138" s="124"/>
      <c r="E138" s="124"/>
      <c r="F138" s="124"/>
      <c r="G138" s="124"/>
      <c r="H138" s="291"/>
      <c r="I138" s="291"/>
      <c r="J138" s="291"/>
      <c r="K138" s="475">
        <f t="shared" si="9"/>
        <v>0</v>
      </c>
      <c r="L138" s="126">
        <f t="shared" si="7"/>
        <v>0</v>
      </c>
      <c r="M138" s="1431"/>
    </row>
    <row r="139" spans="2:13" x14ac:dyDescent="0.35">
      <c r="B139" s="1411"/>
      <c r="C139" s="1413"/>
      <c r="D139" s="124"/>
      <c r="E139" s="124"/>
      <c r="F139" s="124"/>
      <c r="G139" s="124"/>
      <c r="H139" s="291"/>
      <c r="I139" s="291"/>
      <c r="J139" s="291"/>
      <c r="K139" s="475">
        <f t="shared" si="9"/>
        <v>0</v>
      </c>
      <c r="L139" s="126">
        <f t="shared" si="7"/>
        <v>0</v>
      </c>
      <c r="M139" s="1431"/>
    </row>
    <row r="140" spans="2:13" x14ac:dyDescent="0.35">
      <c r="B140" s="1411"/>
      <c r="C140" s="1413"/>
      <c r="D140" s="124"/>
      <c r="E140" s="124"/>
      <c r="F140" s="124"/>
      <c r="G140" s="124"/>
      <c r="H140" s="291"/>
      <c r="I140" s="291"/>
      <c r="J140" s="291"/>
      <c r="K140" s="475">
        <f t="shared" si="9"/>
        <v>0</v>
      </c>
      <c r="L140" s="126">
        <f t="shared" ref="L140:L201" si="10">+(H140*(1+$M$7))+I140+J140</f>
        <v>0</v>
      </c>
      <c r="M140" s="1431"/>
    </row>
    <row r="141" spans="2:13" x14ac:dyDescent="0.35">
      <c r="B141" s="1411"/>
      <c r="C141" s="1413"/>
      <c r="D141" s="124"/>
      <c r="E141" s="124"/>
      <c r="F141" s="124"/>
      <c r="G141" s="292"/>
      <c r="H141" s="291"/>
      <c r="I141" s="291"/>
      <c r="J141" s="291"/>
      <c r="K141" s="475">
        <f t="shared" si="9"/>
        <v>0</v>
      </c>
      <c r="L141" s="126">
        <f t="shared" si="10"/>
        <v>0</v>
      </c>
      <c r="M141" s="1431"/>
    </row>
    <row r="142" spans="2:13" x14ac:dyDescent="0.35">
      <c r="B142" s="1411"/>
      <c r="C142" s="1413"/>
      <c r="D142" s="124"/>
      <c r="E142" s="124"/>
      <c r="F142" s="124"/>
      <c r="G142" s="292"/>
      <c r="H142" s="291"/>
      <c r="I142" s="291"/>
      <c r="J142" s="291"/>
      <c r="K142" s="475">
        <f t="shared" si="9"/>
        <v>0</v>
      </c>
      <c r="L142" s="126">
        <f t="shared" si="10"/>
        <v>0</v>
      </c>
      <c r="M142" s="1431"/>
    </row>
    <row r="143" spans="2:13" x14ac:dyDescent="0.35">
      <c r="B143" s="1411"/>
      <c r="C143" s="1413"/>
      <c r="D143" s="124"/>
      <c r="E143" s="124"/>
      <c r="F143" s="124"/>
      <c r="G143" s="292"/>
      <c r="H143" s="291"/>
      <c r="I143" s="291"/>
      <c r="J143" s="291"/>
      <c r="K143" s="475">
        <f t="shared" si="9"/>
        <v>0</v>
      </c>
      <c r="L143" s="126">
        <f t="shared" si="10"/>
        <v>0</v>
      </c>
      <c r="M143" s="1431"/>
    </row>
    <row r="144" spans="2:13" x14ac:dyDescent="0.35">
      <c r="B144" s="1411"/>
      <c r="C144" s="1413"/>
      <c r="D144" s="124"/>
      <c r="E144" s="124"/>
      <c r="F144" s="124"/>
      <c r="G144" s="292"/>
      <c r="H144" s="291"/>
      <c r="I144" s="291"/>
      <c r="J144" s="291"/>
      <c r="K144" s="475">
        <f t="shared" si="9"/>
        <v>0</v>
      </c>
      <c r="L144" s="126">
        <f t="shared" si="10"/>
        <v>0</v>
      </c>
      <c r="M144" s="1431"/>
    </row>
    <row r="145" spans="2:13" x14ac:dyDescent="0.35">
      <c r="B145" s="1411"/>
      <c r="C145" s="1413"/>
      <c r="D145" s="124"/>
      <c r="E145" s="124"/>
      <c r="F145" s="124"/>
      <c r="G145" s="292"/>
      <c r="H145" s="291"/>
      <c r="I145" s="291"/>
      <c r="J145" s="291"/>
      <c r="K145" s="475">
        <f t="shared" si="9"/>
        <v>0</v>
      </c>
      <c r="L145" s="126">
        <f t="shared" si="10"/>
        <v>0</v>
      </c>
      <c r="M145" s="1431"/>
    </row>
    <row r="146" spans="2:13" ht="15" thickBot="1" x14ac:dyDescent="0.4">
      <c r="B146" s="1411"/>
      <c r="C146" s="1414"/>
      <c r="D146" s="129"/>
      <c r="E146" s="129"/>
      <c r="F146" s="129"/>
      <c r="G146" s="293"/>
      <c r="H146" s="294"/>
      <c r="I146" s="294"/>
      <c r="J146" s="294"/>
      <c r="K146" s="476">
        <f t="shared" si="9"/>
        <v>0</v>
      </c>
      <c r="L146" s="134">
        <f t="shared" si="10"/>
        <v>0</v>
      </c>
      <c r="M146" s="1431"/>
    </row>
    <row r="147" spans="2:13" x14ac:dyDescent="0.35">
      <c r="B147" s="1411"/>
      <c r="C147" s="1413" t="s">
        <v>207</v>
      </c>
      <c r="D147" s="140"/>
      <c r="E147" s="140"/>
      <c r="F147" s="140"/>
      <c r="G147" s="298"/>
      <c r="H147" s="299"/>
      <c r="I147" s="299"/>
      <c r="J147" s="299"/>
      <c r="K147" s="474">
        <f t="shared" si="9"/>
        <v>0</v>
      </c>
      <c r="L147" s="122">
        <f t="shared" si="10"/>
        <v>0</v>
      </c>
      <c r="M147" s="1431"/>
    </row>
    <row r="148" spans="2:13" x14ac:dyDescent="0.35">
      <c r="B148" s="1411"/>
      <c r="C148" s="1413"/>
      <c r="D148" s="124"/>
      <c r="E148" s="124"/>
      <c r="F148" s="124"/>
      <c r="G148" s="292"/>
      <c r="H148" s="291"/>
      <c r="I148" s="291"/>
      <c r="J148" s="291"/>
      <c r="K148" s="475">
        <f t="shared" si="9"/>
        <v>0</v>
      </c>
      <c r="L148" s="126">
        <f t="shared" si="10"/>
        <v>0</v>
      </c>
      <c r="M148" s="1431"/>
    </row>
    <row r="149" spans="2:13" x14ac:dyDescent="0.35">
      <c r="B149" s="1411"/>
      <c r="C149" s="1413"/>
      <c r="D149" s="124"/>
      <c r="E149" s="124"/>
      <c r="F149" s="124"/>
      <c r="G149" s="292"/>
      <c r="H149" s="291"/>
      <c r="I149" s="291"/>
      <c r="J149" s="291"/>
      <c r="K149" s="475">
        <f t="shared" si="9"/>
        <v>0</v>
      </c>
      <c r="L149" s="126">
        <f t="shared" si="10"/>
        <v>0</v>
      </c>
      <c r="M149" s="1431"/>
    </row>
    <row r="150" spans="2:13" x14ac:dyDescent="0.35">
      <c r="B150" s="1411"/>
      <c r="C150" s="1413"/>
      <c r="D150" s="124"/>
      <c r="E150" s="124"/>
      <c r="F150" s="124"/>
      <c r="G150" s="292"/>
      <c r="H150" s="291"/>
      <c r="I150" s="291"/>
      <c r="J150" s="291"/>
      <c r="K150" s="475">
        <f t="shared" si="9"/>
        <v>0</v>
      </c>
      <c r="L150" s="126">
        <f t="shared" si="10"/>
        <v>0</v>
      </c>
      <c r="M150" s="1431"/>
    </row>
    <row r="151" spans="2:13" x14ac:dyDescent="0.35">
      <c r="B151" s="1411"/>
      <c r="C151" s="1413"/>
      <c r="D151" s="124"/>
      <c r="E151" s="124"/>
      <c r="F151" s="124"/>
      <c r="G151" s="292"/>
      <c r="H151" s="291"/>
      <c r="I151" s="291"/>
      <c r="J151" s="291"/>
      <c r="K151" s="475">
        <f t="shared" si="9"/>
        <v>0</v>
      </c>
      <c r="L151" s="126">
        <f t="shared" si="10"/>
        <v>0</v>
      </c>
      <c r="M151" s="1431"/>
    </row>
    <row r="152" spans="2:13" x14ac:dyDescent="0.35">
      <c r="B152" s="1411"/>
      <c r="C152" s="1413"/>
      <c r="D152" s="124"/>
      <c r="E152" s="124"/>
      <c r="F152" s="124"/>
      <c r="G152" s="292"/>
      <c r="H152" s="291"/>
      <c r="I152" s="291"/>
      <c r="J152" s="291"/>
      <c r="K152" s="475">
        <f t="shared" si="9"/>
        <v>0</v>
      </c>
      <c r="L152" s="126">
        <f t="shared" si="10"/>
        <v>0</v>
      </c>
      <c r="M152" s="1431"/>
    </row>
    <row r="153" spans="2:13" x14ac:dyDescent="0.35">
      <c r="B153" s="1411"/>
      <c r="C153" s="1413"/>
      <c r="D153" s="124"/>
      <c r="E153" s="124"/>
      <c r="F153" s="124"/>
      <c r="G153" s="292"/>
      <c r="H153" s="291"/>
      <c r="I153" s="291"/>
      <c r="J153" s="291"/>
      <c r="K153" s="475">
        <f t="shared" si="9"/>
        <v>0</v>
      </c>
      <c r="L153" s="126">
        <f t="shared" si="10"/>
        <v>0</v>
      </c>
      <c r="M153" s="1431"/>
    </row>
    <row r="154" spans="2:13" x14ac:dyDescent="0.35">
      <c r="B154" s="1411"/>
      <c r="C154" s="1413"/>
      <c r="D154" s="124"/>
      <c r="E154" s="124"/>
      <c r="F154" s="124"/>
      <c r="G154" s="292"/>
      <c r="H154" s="291"/>
      <c r="I154" s="291"/>
      <c r="J154" s="291"/>
      <c r="K154" s="475">
        <f t="shared" si="9"/>
        <v>0</v>
      </c>
      <c r="L154" s="126">
        <f t="shared" si="10"/>
        <v>0</v>
      </c>
      <c r="M154" s="1431"/>
    </row>
    <row r="155" spans="2:13" x14ac:dyDescent="0.35">
      <c r="B155" s="1411"/>
      <c r="C155" s="1413"/>
      <c r="D155" s="124"/>
      <c r="E155" s="124"/>
      <c r="F155" s="124"/>
      <c r="G155" s="292"/>
      <c r="H155" s="291"/>
      <c r="I155" s="291"/>
      <c r="J155" s="291"/>
      <c r="K155" s="475">
        <f t="shared" si="9"/>
        <v>0</v>
      </c>
      <c r="L155" s="126">
        <f t="shared" si="10"/>
        <v>0</v>
      </c>
      <c r="M155" s="1431"/>
    </row>
    <row r="156" spans="2:13" x14ac:dyDescent="0.35">
      <c r="B156" s="1411"/>
      <c r="C156" s="1413"/>
      <c r="D156" s="124"/>
      <c r="E156" s="124"/>
      <c r="F156" s="124"/>
      <c r="G156" s="292"/>
      <c r="H156" s="291"/>
      <c r="I156" s="291"/>
      <c r="J156" s="291"/>
      <c r="K156" s="475">
        <f t="shared" si="9"/>
        <v>0</v>
      </c>
      <c r="L156" s="126">
        <f t="shared" si="10"/>
        <v>0</v>
      </c>
      <c r="M156" s="1431"/>
    </row>
    <row r="157" spans="2:13" ht="15" thickBot="1" x14ac:dyDescent="0.4">
      <c r="B157" s="1412"/>
      <c r="C157" s="1413"/>
      <c r="D157" s="136"/>
      <c r="E157" s="136"/>
      <c r="F157" s="136"/>
      <c r="G157" s="295"/>
      <c r="H157" s="294"/>
      <c r="I157" s="294"/>
      <c r="J157" s="294"/>
      <c r="K157" s="476">
        <f t="shared" si="9"/>
        <v>0</v>
      </c>
      <c r="L157" s="134">
        <f t="shared" si="10"/>
        <v>0</v>
      </c>
      <c r="M157" s="1432"/>
    </row>
    <row r="158" spans="2:13" x14ac:dyDescent="0.35">
      <c r="B158" s="1421" t="str">
        <f>+'B) Reajuste Tarifas y Ocupación'!A38</f>
        <v>Piscina C.R. Faro Tumbes</v>
      </c>
      <c r="C158" s="1417" t="s">
        <v>206</v>
      </c>
      <c r="D158" s="1146" t="s">
        <v>416</v>
      </c>
      <c r="E158" s="1146" t="s">
        <v>416</v>
      </c>
      <c r="F158" s="1146" t="s">
        <v>417</v>
      </c>
      <c r="G158" s="1146" t="s">
        <v>421</v>
      </c>
      <c r="H158" s="120">
        <v>0</v>
      </c>
      <c r="I158" s="299">
        <v>0</v>
      </c>
      <c r="J158" s="299">
        <v>0</v>
      </c>
      <c r="K158" s="474">
        <f t="shared" si="9"/>
        <v>0</v>
      </c>
      <c r="L158" s="122">
        <f t="shared" si="10"/>
        <v>0</v>
      </c>
      <c r="M158" s="1430">
        <f>SUM(L158:L179)</f>
        <v>21796087.5</v>
      </c>
    </row>
    <row r="159" spans="2:13" x14ac:dyDescent="0.35">
      <c r="B159" s="1411"/>
      <c r="C159" s="1413"/>
      <c r="D159" s="1149" t="s">
        <v>422</v>
      </c>
      <c r="E159" s="1149" t="s">
        <v>423</v>
      </c>
      <c r="F159" s="1149" t="s">
        <v>424</v>
      </c>
      <c r="G159" s="1149" t="s">
        <v>418</v>
      </c>
      <c r="H159" s="125">
        <v>0</v>
      </c>
      <c r="I159" s="291">
        <v>0</v>
      </c>
      <c r="J159" s="291">
        <v>0</v>
      </c>
      <c r="K159" s="475">
        <f t="shared" si="9"/>
        <v>0</v>
      </c>
      <c r="L159" s="126">
        <f t="shared" si="10"/>
        <v>0</v>
      </c>
      <c r="M159" s="1431"/>
    </row>
    <row r="160" spans="2:13" x14ac:dyDescent="0.35">
      <c r="B160" s="1411"/>
      <c r="C160" s="1413"/>
      <c r="D160" s="1149"/>
      <c r="E160" s="1149"/>
      <c r="F160" s="1149"/>
      <c r="G160" s="1149"/>
      <c r="H160" s="291"/>
      <c r="I160" s="291"/>
      <c r="J160" s="291"/>
      <c r="K160" s="475">
        <f t="shared" si="9"/>
        <v>0</v>
      </c>
      <c r="L160" s="126">
        <f t="shared" si="10"/>
        <v>0</v>
      </c>
      <c r="M160" s="1431"/>
    </row>
    <row r="161" spans="2:13" x14ac:dyDescent="0.35">
      <c r="B161" s="1411"/>
      <c r="C161" s="1413"/>
      <c r="D161" s="1149"/>
      <c r="E161" s="1149"/>
      <c r="F161" s="1149"/>
      <c r="G161" s="1149"/>
      <c r="H161" s="291"/>
      <c r="I161" s="291"/>
      <c r="J161" s="291"/>
      <c r="K161" s="475">
        <f t="shared" si="9"/>
        <v>0</v>
      </c>
      <c r="L161" s="126">
        <f t="shared" si="10"/>
        <v>0</v>
      </c>
      <c r="M161" s="1431"/>
    </row>
    <row r="162" spans="2:13" x14ac:dyDescent="0.35">
      <c r="B162" s="1411"/>
      <c r="C162" s="1413"/>
      <c r="D162" s="1149"/>
      <c r="E162" s="1149"/>
      <c r="F162" s="1149"/>
      <c r="G162" s="1149"/>
      <c r="H162" s="291"/>
      <c r="I162" s="291"/>
      <c r="J162" s="291"/>
      <c r="K162" s="475">
        <f t="shared" si="9"/>
        <v>0</v>
      </c>
      <c r="L162" s="126">
        <f t="shared" si="10"/>
        <v>0</v>
      </c>
      <c r="M162" s="1431"/>
    </row>
    <row r="163" spans="2:13" x14ac:dyDescent="0.35">
      <c r="B163" s="1411"/>
      <c r="C163" s="1413"/>
      <c r="D163" s="1149"/>
      <c r="E163" s="1149"/>
      <c r="F163" s="1149"/>
      <c r="G163" s="1149"/>
      <c r="H163" s="291"/>
      <c r="I163" s="291"/>
      <c r="J163" s="291"/>
      <c r="K163" s="475">
        <f t="shared" si="9"/>
        <v>0</v>
      </c>
      <c r="L163" s="126">
        <f t="shared" si="10"/>
        <v>0</v>
      </c>
      <c r="M163" s="1431"/>
    </row>
    <row r="164" spans="2:13" x14ac:dyDescent="0.35">
      <c r="B164" s="1411"/>
      <c r="C164" s="1413"/>
      <c r="D164" s="1149"/>
      <c r="E164" s="1149"/>
      <c r="F164" s="1149"/>
      <c r="G164" s="1149"/>
      <c r="H164" s="291"/>
      <c r="I164" s="291"/>
      <c r="J164" s="291"/>
      <c r="K164" s="475">
        <f t="shared" si="9"/>
        <v>0</v>
      </c>
      <c r="L164" s="126">
        <f t="shared" si="10"/>
        <v>0</v>
      </c>
      <c r="M164" s="1431"/>
    </row>
    <row r="165" spans="2:13" x14ac:dyDescent="0.35">
      <c r="B165" s="1411"/>
      <c r="C165" s="1413"/>
      <c r="D165" s="1149"/>
      <c r="E165" s="1149"/>
      <c r="F165" s="1149"/>
      <c r="G165" s="1158"/>
      <c r="H165" s="291"/>
      <c r="I165" s="291"/>
      <c r="J165" s="291"/>
      <c r="K165" s="475">
        <f t="shared" si="9"/>
        <v>0</v>
      </c>
      <c r="L165" s="126">
        <f t="shared" si="10"/>
        <v>0</v>
      </c>
      <c r="M165" s="1431"/>
    </row>
    <row r="166" spans="2:13" x14ac:dyDescent="0.35">
      <c r="B166" s="1411"/>
      <c r="C166" s="1413"/>
      <c r="D166" s="1149"/>
      <c r="E166" s="1149"/>
      <c r="F166" s="1149"/>
      <c r="G166" s="1158"/>
      <c r="H166" s="291"/>
      <c r="I166" s="291"/>
      <c r="J166" s="291"/>
      <c r="K166" s="475">
        <f t="shared" si="9"/>
        <v>0</v>
      </c>
      <c r="L166" s="126">
        <f t="shared" si="10"/>
        <v>0</v>
      </c>
      <c r="M166" s="1431"/>
    </row>
    <row r="167" spans="2:13" x14ac:dyDescent="0.35">
      <c r="B167" s="1411"/>
      <c r="C167" s="1413"/>
      <c r="D167" s="1149"/>
      <c r="E167" s="1149"/>
      <c r="F167" s="1149"/>
      <c r="G167" s="1158"/>
      <c r="H167" s="291"/>
      <c r="I167" s="291"/>
      <c r="J167" s="291"/>
      <c r="K167" s="475">
        <f t="shared" si="9"/>
        <v>0</v>
      </c>
      <c r="L167" s="126">
        <f t="shared" si="10"/>
        <v>0</v>
      </c>
      <c r="M167" s="1431"/>
    </row>
    <row r="168" spans="2:13" ht="15" thickBot="1" x14ac:dyDescent="0.4">
      <c r="B168" s="1411"/>
      <c r="C168" s="1414"/>
      <c r="D168" s="1154"/>
      <c r="E168" s="1154"/>
      <c r="F168" s="1154"/>
      <c r="G168" s="1159"/>
      <c r="H168" s="294"/>
      <c r="I168" s="294"/>
      <c r="J168" s="294"/>
      <c r="K168" s="476">
        <f t="shared" si="9"/>
        <v>0</v>
      </c>
      <c r="L168" s="489">
        <f t="shared" si="10"/>
        <v>0</v>
      </c>
      <c r="M168" s="1431"/>
    </row>
    <row r="169" spans="2:13" x14ac:dyDescent="0.35">
      <c r="B169" s="1411"/>
      <c r="C169" s="1417" t="s">
        <v>207</v>
      </c>
      <c r="D169" s="1146" t="s">
        <v>410</v>
      </c>
      <c r="E169" s="1146" t="s">
        <v>410</v>
      </c>
      <c r="F169" s="1146" t="s">
        <v>419</v>
      </c>
      <c r="G169" s="1146" t="s">
        <v>421</v>
      </c>
      <c r="H169" s="291">
        <f>670000*3+670000/2</f>
        <v>2345000</v>
      </c>
      <c r="I169" s="120"/>
      <c r="J169" s="291"/>
      <c r="K169" s="474">
        <f t="shared" si="9"/>
        <v>2345000</v>
      </c>
      <c r="L169" s="122">
        <f t="shared" si="10"/>
        <v>2450525</v>
      </c>
      <c r="M169" s="1431"/>
    </row>
    <row r="170" spans="2:13" x14ac:dyDescent="0.35">
      <c r="B170" s="1411"/>
      <c r="C170" s="1413"/>
      <c r="D170" s="1149" t="s">
        <v>410</v>
      </c>
      <c r="E170" s="1149" t="s">
        <v>410</v>
      </c>
      <c r="F170" s="1149" t="s">
        <v>420</v>
      </c>
      <c r="G170" s="1149" t="s">
        <v>421</v>
      </c>
      <c r="H170" s="291">
        <f>1500000*3+1500000/2</f>
        <v>5250000</v>
      </c>
      <c r="I170" s="125"/>
      <c r="J170" s="291"/>
      <c r="K170" s="475">
        <f t="shared" si="9"/>
        <v>5250000</v>
      </c>
      <c r="L170" s="126">
        <f t="shared" si="10"/>
        <v>5486250</v>
      </c>
      <c r="M170" s="1431"/>
    </row>
    <row r="171" spans="2:13" x14ac:dyDescent="0.35">
      <c r="B171" s="1411"/>
      <c r="C171" s="1413"/>
      <c r="D171" s="1149" t="s">
        <v>410</v>
      </c>
      <c r="E171" s="1149" t="s">
        <v>410</v>
      </c>
      <c r="F171" s="1149" t="s">
        <v>420</v>
      </c>
      <c r="G171" s="1149" t="s">
        <v>421</v>
      </c>
      <c r="H171" s="291">
        <f>(1500000/2)*3+750000/2</f>
        <v>2625000</v>
      </c>
      <c r="I171" s="125"/>
      <c r="J171" s="291"/>
      <c r="K171" s="475">
        <f t="shared" si="9"/>
        <v>2625000</v>
      </c>
      <c r="L171" s="126">
        <f t="shared" si="10"/>
        <v>2743125</v>
      </c>
      <c r="M171" s="1431"/>
    </row>
    <row r="172" spans="2:13" x14ac:dyDescent="0.35">
      <c r="B172" s="1411"/>
      <c r="C172" s="1413"/>
      <c r="D172" s="1149" t="s">
        <v>410</v>
      </c>
      <c r="E172" s="1149" t="s">
        <v>410</v>
      </c>
      <c r="F172" s="1149" t="s">
        <v>642</v>
      </c>
      <c r="G172" s="1149" t="s">
        <v>421</v>
      </c>
      <c r="H172" s="291">
        <f>670000*3+670000/2</f>
        <v>2345000</v>
      </c>
      <c r="I172" s="125"/>
      <c r="J172" s="291"/>
      <c r="K172" s="475">
        <f t="shared" si="9"/>
        <v>2345000</v>
      </c>
      <c r="L172" s="126">
        <f t="shared" si="10"/>
        <v>2450525</v>
      </c>
      <c r="M172" s="1431"/>
    </row>
    <row r="173" spans="2:13" x14ac:dyDescent="0.35">
      <c r="B173" s="1411"/>
      <c r="C173" s="1413"/>
      <c r="D173" s="1149" t="s">
        <v>410</v>
      </c>
      <c r="E173" s="1149" t="s">
        <v>410</v>
      </c>
      <c r="F173" s="1149" t="s">
        <v>643</v>
      </c>
      <c r="G173" s="1149" t="s">
        <v>421</v>
      </c>
      <c r="H173" s="291">
        <f>670000*3+335000/2</f>
        <v>2177500</v>
      </c>
      <c r="I173" s="125"/>
      <c r="J173" s="291"/>
      <c r="K173" s="475">
        <f t="shared" si="9"/>
        <v>2177500</v>
      </c>
      <c r="L173" s="126">
        <f t="shared" si="10"/>
        <v>2275487.5</v>
      </c>
      <c r="M173" s="1431"/>
    </row>
    <row r="174" spans="2:13" x14ac:dyDescent="0.35">
      <c r="B174" s="1411"/>
      <c r="C174" s="1413"/>
      <c r="D174" s="1149" t="s">
        <v>410</v>
      </c>
      <c r="E174" s="1149" t="s">
        <v>410</v>
      </c>
      <c r="F174" s="1149" t="s">
        <v>348</v>
      </c>
      <c r="G174" s="1149" t="s">
        <v>421</v>
      </c>
      <c r="H174" s="291">
        <f>750000*3+375000/2</f>
        <v>2437500</v>
      </c>
      <c r="I174" s="125"/>
      <c r="J174" s="291"/>
      <c r="K174" s="475">
        <f t="shared" si="9"/>
        <v>2437500</v>
      </c>
      <c r="L174" s="126">
        <f t="shared" si="10"/>
        <v>2547187.5</v>
      </c>
      <c r="M174" s="1431"/>
    </row>
    <row r="175" spans="2:13" x14ac:dyDescent="0.35">
      <c r="B175" s="1411"/>
      <c r="C175" s="1413"/>
      <c r="D175" s="1149" t="s">
        <v>410</v>
      </c>
      <c r="E175" s="1149" t="s">
        <v>410</v>
      </c>
      <c r="F175" s="1149" t="s">
        <v>348</v>
      </c>
      <c r="G175" s="1149" t="s">
        <v>421</v>
      </c>
      <c r="H175" s="291">
        <f>375000*3+375000</f>
        <v>1500000</v>
      </c>
      <c r="I175" s="125"/>
      <c r="J175" s="291"/>
      <c r="K175" s="475">
        <f t="shared" si="9"/>
        <v>1500000</v>
      </c>
      <c r="L175" s="126">
        <f t="shared" si="10"/>
        <v>1567500</v>
      </c>
      <c r="M175" s="1431"/>
    </row>
    <row r="176" spans="2:13" x14ac:dyDescent="0.35">
      <c r="B176" s="1411"/>
      <c r="C176" s="1413"/>
      <c r="D176" s="124" t="s">
        <v>410</v>
      </c>
      <c r="E176" s="124" t="s">
        <v>410</v>
      </c>
      <c r="F176" s="124" t="s">
        <v>644</v>
      </c>
      <c r="G176" s="124" t="s">
        <v>421</v>
      </c>
      <c r="H176" s="291">
        <f>670000*3+335000/2</f>
        <v>2177500</v>
      </c>
      <c r="I176" s="125"/>
      <c r="J176" s="291"/>
      <c r="K176" s="475">
        <f t="shared" si="9"/>
        <v>2177500</v>
      </c>
      <c r="L176" s="126">
        <f t="shared" si="10"/>
        <v>2275487.5</v>
      </c>
      <c r="M176" s="1431"/>
    </row>
    <row r="177" spans="2:13" x14ac:dyDescent="0.35">
      <c r="B177" s="1411"/>
      <c r="C177" s="1413"/>
      <c r="D177" s="124"/>
      <c r="E177" s="124"/>
      <c r="F177" s="124"/>
      <c r="G177" s="124"/>
      <c r="H177" s="291"/>
      <c r="I177" s="291"/>
      <c r="J177" s="291"/>
      <c r="K177" s="475">
        <f t="shared" ref="K177:K223" si="11">SUM(H177:J177)</f>
        <v>0</v>
      </c>
      <c r="L177" s="126">
        <f t="shared" si="10"/>
        <v>0</v>
      </c>
      <c r="M177" s="1431"/>
    </row>
    <row r="178" spans="2:13" x14ac:dyDescent="0.35">
      <c r="B178" s="1411"/>
      <c r="C178" s="1413"/>
      <c r="D178" s="124"/>
      <c r="E178" s="124"/>
      <c r="F178" s="124"/>
      <c r="G178" s="292"/>
      <c r="H178" s="291"/>
      <c r="I178" s="291"/>
      <c r="J178" s="291"/>
      <c r="K178" s="475">
        <f t="shared" si="11"/>
        <v>0</v>
      </c>
      <c r="L178" s="126">
        <f t="shared" si="10"/>
        <v>0</v>
      </c>
      <c r="M178" s="1431"/>
    </row>
    <row r="179" spans="2:13" ht="15" thickBot="1" x14ac:dyDescent="0.4">
      <c r="B179" s="1412"/>
      <c r="C179" s="1414"/>
      <c r="D179" s="129"/>
      <c r="E179" s="129"/>
      <c r="F179" s="129"/>
      <c r="G179" s="295"/>
      <c r="H179" s="294"/>
      <c r="I179" s="294"/>
      <c r="J179" s="294"/>
      <c r="K179" s="476">
        <f t="shared" si="11"/>
        <v>0</v>
      </c>
      <c r="L179" s="134">
        <f t="shared" si="10"/>
        <v>0</v>
      </c>
      <c r="M179" s="1432"/>
    </row>
    <row r="180" spans="2:13" x14ac:dyDescent="0.35">
      <c r="B180" s="1421" t="str">
        <f>+'B) Reajuste Tarifas y Ocupación'!A40</f>
        <v>Quinchos y Canchas 
C.R. Faro Tumbes</v>
      </c>
      <c r="C180" s="1417" t="s">
        <v>206</v>
      </c>
      <c r="D180" s="1146" t="s">
        <v>416</v>
      </c>
      <c r="E180" s="1146" t="s">
        <v>416</v>
      </c>
      <c r="F180" s="1146" t="s">
        <v>417</v>
      </c>
      <c r="G180" s="1149" t="s">
        <v>421</v>
      </c>
      <c r="H180" s="120">
        <f>12238765.875*(1+4.5%)</f>
        <v>12789510.339374999</v>
      </c>
      <c r="I180" s="299">
        <v>386476</v>
      </c>
      <c r="J180" s="299">
        <v>174472</v>
      </c>
      <c r="K180" s="474">
        <f t="shared" si="11"/>
        <v>13350458.339374999</v>
      </c>
      <c r="L180" s="122">
        <f t="shared" si="10"/>
        <v>13925986.304646872</v>
      </c>
      <c r="M180" s="1430">
        <f>SUM(L180:L201)</f>
        <v>33704127.360206246</v>
      </c>
    </row>
    <row r="181" spans="2:13" x14ac:dyDescent="0.35">
      <c r="B181" s="1411"/>
      <c r="C181" s="1413"/>
      <c r="D181" s="1149" t="s">
        <v>422</v>
      </c>
      <c r="E181" s="1149" t="s">
        <v>423</v>
      </c>
      <c r="F181" s="1149" t="s">
        <v>424</v>
      </c>
      <c r="G181" s="1149" t="s">
        <v>421</v>
      </c>
      <c r="H181" s="125">
        <f>9049492.625*(1+4.5%)</f>
        <v>9456719.7931249999</v>
      </c>
      <c r="I181" s="299">
        <v>386476</v>
      </c>
      <c r="J181" s="303">
        <f>174472</f>
        <v>174472</v>
      </c>
      <c r="K181" s="475">
        <f t="shared" si="11"/>
        <v>10017667.793125</v>
      </c>
      <c r="L181" s="126">
        <f t="shared" si="10"/>
        <v>10443220.183815625</v>
      </c>
      <c r="M181" s="1431"/>
    </row>
    <row r="182" spans="2:13" x14ac:dyDescent="0.35">
      <c r="B182" s="1411"/>
      <c r="C182" s="1413"/>
      <c r="D182" s="1149" t="s">
        <v>430</v>
      </c>
      <c r="E182" s="1149" t="s">
        <v>431</v>
      </c>
      <c r="F182" s="1149" t="s">
        <v>402</v>
      </c>
      <c r="G182" s="1149" t="s">
        <v>421</v>
      </c>
      <c r="H182" s="291">
        <f>8034589.75*(1+4.5%)</f>
        <v>8396146.2887500003</v>
      </c>
      <c r="I182" s="299">
        <v>386476</v>
      </c>
      <c r="J182" s="303">
        <f>174472</f>
        <v>174472</v>
      </c>
      <c r="K182" s="475">
        <f t="shared" si="11"/>
        <v>8957094.2887500003</v>
      </c>
      <c r="L182" s="126">
        <f t="shared" si="10"/>
        <v>9334920.8717437498</v>
      </c>
      <c r="M182" s="1431"/>
    </row>
    <row r="183" spans="2:13" x14ac:dyDescent="0.35">
      <c r="B183" s="1411"/>
      <c r="C183" s="1413"/>
      <c r="D183" s="124"/>
      <c r="E183" s="124"/>
      <c r="F183" s="124"/>
      <c r="G183" s="124"/>
      <c r="H183" s="291"/>
      <c r="I183" s="291"/>
      <c r="J183" s="291"/>
      <c r="K183" s="475">
        <f t="shared" si="11"/>
        <v>0</v>
      </c>
      <c r="L183" s="126">
        <f t="shared" si="10"/>
        <v>0</v>
      </c>
      <c r="M183" s="1431"/>
    </row>
    <row r="184" spans="2:13" x14ac:dyDescent="0.35">
      <c r="B184" s="1411"/>
      <c r="C184" s="1413"/>
      <c r="D184" s="124"/>
      <c r="E184" s="124"/>
      <c r="F184" s="124"/>
      <c r="G184" s="124"/>
      <c r="H184" s="291"/>
      <c r="I184" s="291"/>
      <c r="J184" s="291"/>
      <c r="K184" s="475">
        <f t="shared" si="11"/>
        <v>0</v>
      </c>
      <c r="L184" s="126">
        <f t="shared" si="10"/>
        <v>0</v>
      </c>
      <c r="M184" s="1431"/>
    </row>
    <row r="185" spans="2:13" x14ac:dyDescent="0.35">
      <c r="B185" s="1411"/>
      <c r="C185" s="1413"/>
      <c r="D185" s="124"/>
      <c r="E185" s="124"/>
      <c r="F185" s="124"/>
      <c r="G185" s="292"/>
      <c r="H185" s="291"/>
      <c r="I185" s="291"/>
      <c r="J185" s="291"/>
      <c r="K185" s="475">
        <f t="shared" si="11"/>
        <v>0</v>
      </c>
      <c r="L185" s="126">
        <f t="shared" si="10"/>
        <v>0</v>
      </c>
      <c r="M185" s="1431"/>
    </row>
    <row r="186" spans="2:13" x14ac:dyDescent="0.35">
      <c r="B186" s="1411"/>
      <c r="C186" s="1413"/>
      <c r="D186" s="124"/>
      <c r="E186" s="124"/>
      <c r="F186" s="124"/>
      <c r="G186" s="292"/>
      <c r="H186" s="291"/>
      <c r="I186" s="291"/>
      <c r="J186" s="291"/>
      <c r="K186" s="475">
        <f t="shared" si="11"/>
        <v>0</v>
      </c>
      <c r="L186" s="126">
        <f t="shared" si="10"/>
        <v>0</v>
      </c>
      <c r="M186" s="1431"/>
    </row>
    <row r="187" spans="2:13" x14ac:dyDescent="0.35">
      <c r="B187" s="1411"/>
      <c r="C187" s="1413"/>
      <c r="D187" s="124"/>
      <c r="E187" s="124"/>
      <c r="F187" s="124"/>
      <c r="G187" s="292"/>
      <c r="H187" s="291"/>
      <c r="I187" s="291"/>
      <c r="J187" s="291"/>
      <c r="K187" s="475">
        <f t="shared" si="11"/>
        <v>0</v>
      </c>
      <c r="L187" s="126">
        <f t="shared" si="10"/>
        <v>0</v>
      </c>
      <c r="M187" s="1431"/>
    </row>
    <row r="188" spans="2:13" x14ac:dyDescent="0.35">
      <c r="B188" s="1411"/>
      <c r="C188" s="1413"/>
      <c r="D188" s="124"/>
      <c r="E188" s="124"/>
      <c r="F188" s="124"/>
      <c r="G188" s="292"/>
      <c r="H188" s="291"/>
      <c r="I188" s="291"/>
      <c r="J188" s="291"/>
      <c r="K188" s="475">
        <f t="shared" si="11"/>
        <v>0</v>
      </c>
      <c r="L188" s="126">
        <f t="shared" si="10"/>
        <v>0</v>
      </c>
      <c r="M188" s="1431"/>
    </row>
    <row r="189" spans="2:13" x14ac:dyDescent="0.35">
      <c r="B189" s="1411"/>
      <c r="C189" s="1413"/>
      <c r="D189" s="124"/>
      <c r="E189" s="124"/>
      <c r="F189" s="124"/>
      <c r="G189" s="292"/>
      <c r="H189" s="291"/>
      <c r="I189" s="291"/>
      <c r="J189" s="291"/>
      <c r="K189" s="475">
        <f t="shared" si="11"/>
        <v>0</v>
      </c>
      <c r="L189" s="126">
        <f t="shared" si="10"/>
        <v>0</v>
      </c>
      <c r="M189" s="1431"/>
    </row>
    <row r="190" spans="2:13" ht="15" thickBot="1" x14ac:dyDescent="0.4">
      <c r="B190" s="1411"/>
      <c r="C190" s="1414"/>
      <c r="D190" s="129"/>
      <c r="E190" s="129"/>
      <c r="F190" s="129"/>
      <c r="G190" s="293"/>
      <c r="H190" s="294"/>
      <c r="I190" s="294"/>
      <c r="J190" s="294"/>
      <c r="K190" s="476">
        <f t="shared" si="11"/>
        <v>0</v>
      </c>
      <c r="L190" s="134">
        <f t="shared" si="10"/>
        <v>0</v>
      </c>
      <c r="M190" s="1431"/>
    </row>
    <row r="191" spans="2:13" x14ac:dyDescent="0.35">
      <c r="B191" s="1411"/>
      <c r="C191" s="1417" t="s">
        <v>207</v>
      </c>
      <c r="D191" s="119"/>
      <c r="E191" s="119"/>
      <c r="F191" s="119"/>
      <c r="G191" s="300"/>
      <c r="H191" s="297"/>
      <c r="I191" s="297"/>
      <c r="J191" s="297"/>
      <c r="K191" s="474">
        <f t="shared" si="11"/>
        <v>0</v>
      </c>
      <c r="L191" s="122">
        <f t="shared" si="10"/>
        <v>0</v>
      </c>
      <c r="M191" s="1431"/>
    </row>
    <row r="192" spans="2:13" x14ac:dyDescent="0.35">
      <c r="B192" s="1411"/>
      <c r="C192" s="1413"/>
      <c r="D192" s="124"/>
      <c r="E192" s="124"/>
      <c r="F192" s="124"/>
      <c r="G192" s="292"/>
      <c r="H192" s="291"/>
      <c r="I192" s="291"/>
      <c r="J192" s="291"/>
      <c r="K192" s="475">
        <f t="shared" si="11"/>
        <v>0</v>
      </c>
      <c r="L192" s="126">
        <f t="shared" si="10"/>
        <v>0</v>
      </c>
      <c r="M192" s="1431"/>
    </row>
    <row r="193" spans="2:13" x14ac:dyDescent="0.35">
      <c r="B193" s="1411"/>
      <c r="C193" s="1413"/>
      <c r="D193" s="124"/>
      <c r="E193" s="124"/>
      <c r="F193" s="124"/>
      <c r="G193" s="292"/>
      <c r="H193" s="291"/>
      <c r="I193" s="291"/>
      <c r="J193" s="291"/>
      <c r="K193" s="475">
        <f t="shared" si="11"/>
        <v>0</v>
      </c>
      <c r="L193" s="126">
        <f t="shared" si="10"/>
        <v>0</v>
      </c>
      <c r="M193" s="1431"/>
    </row>
    <row r="194" spans="2:13" x14ac:dyDescent="0.35">
      <c r="B194" s="1411"/>
      <c r="C194" s="1413"/>
      <c r="D194" s="124"/>
      <c r="E194" s="124"/>
      <c r="F194" s="124"/>
      <c r="G194" s="292"/>
      <c r="H194" s="291"/>
      <c r="I194" s="291"/>
      <c r="J194" s="291"/>
      <c r="K194" s="475">
        <f t="shared" si="11"/>
        <v>0</v>
      </c>
      <c r="L194" s="126">
        <f t="shared" si="10"/>
        <v>0</v>
      </c>
      <c r="M194" s="1431"/>
    </row>
    <row r="195" spans="2:13" x14ac:dyDescent="0.35">
      <c r="B195" s="1411"/>
      <c r="C195" s="1413"/>
      <c r="D195" s="124"/>
      <c r="E195" s="124"/>
      <c r="F195" s="124"/>
      <c r="G195" s="292"/>
      <c r="H195" s="291"/>
      <c r="I195" s="291"/>
      <c r="J195" s="291"/>
      <c r="K195" s="475">
        <f t="shared" si="11"/>
        <v>0</v>
      </c>
      <c r="L195" s="126">
        <f t="shared" si="10"/>
        <v>0</v>
      </c>
      <c r="M195" s="1431"/>
    </row>
    <row r="196" spans="2:13" x14ac:dyDescent="0.35">
      <c r="B196" s="1411"/>
      <c r="C196" s="1413"/>
      <c r="D196" s="124"/>
      <c r="E196" s="124"/>
      <c r="F196" s="124"/>
      <c r="G196" s="292"/>
      <c r="H196" s="291"/>
      <c r="I196" s="291"/>
      <c r="J196" s="291"/>
      <c r="K196" s="475">
        <f t="shared" si="11"/>
        <v>0</v>
      </c>
      <c r="L196" s="126">
        <f t="shared" si="10"/>
        <v>0</v>
      </c>
      <c r="M196" s="1431"/>
    </row>
    <row r="197" spans="2:13" x14ac:dyDescent="0.35">
      <c r="B197" s="1411"/>
      <c r="C197" s="1413"/>
      <c r="D197" s="124"/>
      <c r="E197" s="124"/>
      <c r="F197" s="124"/>
      <c r="G197" s="292"/>
      <c r="H197" s="291"/>
      <c r="I197" s="291"/>
      <c r="J197" s="291"/>
      <c r="K197" s="475">
        <f t="shared" si="11"/>
        <v>0</v>
      </c>
      <c r="L197" s="126">
        <f t="shared" si="10"/>
        <v>0</v>
      </c>
      <c r="M197" s="1431"/>
    </row>
    <row r="198" spans="2:13" x14ac:dyDescent="0.35">
      <c r="B198" s="1411"/>
      <c r="C198" s="1413"/>
      <c r="D198" s="124"/>
      <c r="E198" s="124"/>
      <c r="F198" s="124"/>
      <c r="G198" s="292"/>
      <c r="H198" s="291"/>
      <c r="I198" s="291"/>
      <c r="J198" s="291"/>
      <c r="K198" s="475">
        <f t="shared" si="11"/>
        <v>0</v>
      </c>
      <c r="L198" s="126">
        <f t="shared" si="10"/>
        <v>0</v>
      </c>
      <c r="M198" s="1431"/>
    </row>
    <row r="199" spans="2:13" x14ac:dyDescent="0.35">
      <c r="B199" s="1411"/>
      <c r="C199" s="1413"/>
      <c r="D199" s="124"/>
      <c r="E199" s="124"/>
      <c r="F199" s="124"/>
      <c r="G199" s="292"/>
      <c r="H199" s="291"/>
      <c r="I199" s="291"/>
      <c r="J199" s="291"/>
      <c r="K199" s="475">
        <f t="shared" si="11"/>
        <v>0</v>
      </c>
      <c r="L199" s="126">
        <f t="shared" si="10"/>
        <v>0</v>
      </c>
      <c r="M199" s="1431"/>
    </row>
    <row r="200" spans="2:13" x14ac:dyDescent="0.35">
      <c r="B200" s="1411"/>
      <c r="C200" s="1413"/>
      <c r="D200" s="124"/>
      <c r="E200" s="124"/>
      <c r="F200" s="124"/>
      <c r="G200" s="292"/>
      <c r="H200" s="291"/>
      <c r="I200" s="291"/>
      <c r="J200" s="291"/>
      <c r="K200" s="475">
        <f t="shared" si="11"/>
        <v>0</v>
      </c>
      <c r="L200" s="126">
        <f t="shared" si="10"/>
        <v>0</v>
      </c>
      <c r="M200" s="1431"/>
    </row>
    <row r="201" spans="2:13" ht="15" thickBot="1" x14ac:dyDescent="0.4">
      <c r="B201" s="1412"/>
      <c r="C201" s="1414"/>
      <c r="D201" s="129"/>
      <c r="E201" s="129"/>
      <c r="F201" s="129"/>
      <c r="G201" s="293"/>
      <c r="H201" s="294"/>
      <c r="I201" s="296"/>
      <c r="J201" s="296"/>
      <c r="K201" s="476">
        <f t="shared" si="11"/>
        <v>0</v>
      </c>
      <c r="L201" s="134">
        <f t="shared" si="10"/>
        <v>0</v>
      </c>
      <c r="M201" s="1432"/>
    </row>
    <row r="202" spans="2:13" x14ac:dyDescent="0.35">
      <c r="B202" s="1409" t="str">
        <f>+'A) Resumen Ingresos y Egresos'!A159</f>
        <v>C.N.C. Tumbes</v>
      </c>
      <c r="C202" s="1422" t="s">
        <v>206</v>
      </c>
      <c r="D202" s="1146" t="s">
        <v>568</v>
      </c>
      <c r="E202" s="1146" t="s">
        <v>569</v>
      </c>
      <c r="F202" s="1146" t="s">
        <v>402</v>
      </c>
      <c r="G202" s="1146" t="s">
        <v>429</v>
      </c>
      <c r="H202" s="297">
        <v>8414300</v>
      </c>
      <c r="I202" s="291">
        <v>386476</v>
      </c>
      <c r="J202" s="291">
        <v>174472</v>
      </c>
      <c r="K202" s="1512">
        <f>SUM(H202:J202)</f>
        <v>8975248</v>
      </c>
      <c r="L202" s="122">
        <f t="shared" ref="L202:L245" si="12">+(H202*(1+$M$7))+I202+J202</f>
        <v>9353891.5</v>
      </c>
      <c r="M202" s="1430">
        <f>SUM(L202:L229)</f>
        <v>134694055.93749997</v>
      </c>
    </row>
    <row r="203" spans="2:13" x14ac:dyDescent="0.35">
      <c r="B203" s="1410"/>
      <c r="C203" s="1423"/>
      <c r="D203" s="1149" t="s">
        <v>570</v>
      </c>
      <c r="E203" s="1149" t="s">
        <v>571</v>
      </c>
      <c r="F203" s="1149" t="s">
        <v>403</v>
      </c>
      <c r="G203" s="1149" t="s">
        <v>429</v>
      </c>
      <c r="H203" s="291">
        <v>10084325.375</v>
      </c>
      <c r="I203" s="291">
        <v>386476</v>
      </c>
      <c r="J203" s="291">
        <v>174472</v>
      </c>
      <c r="K203" s="1513">
        <f t="shared" si="11"/>
        <v>10645273.375</v>
      </c>
      <c r="L203" s="126">
        <f t="shared" si="12"/>
        <v>11099068.016874999</v>
      </c>
      <c r="M203" s="1431"/>
    </row>
    <row r="204" spans="2:13" x14ac:dyDescent="0.35">
      <c r="B204" s="1410"/>
      <c r="C204" s="1423"/>
      <c r="D204" s="1149" t="s">
        <v>572</v>
      </c>
      <c r="E204" s="1149" t="s">
        <v>573</v>
      </c>
      <c r="F204" s="1149" t="s">
        <v>406</v>
      </c>
      <c r="G204" s="1149" t="s">
        <v>429</v>
      </c>
      <c r="H204" s="291">
        <v>9487663.25</v>
      </c>
      <c r="I204" s="291">
        <v>386476</v>
      </c>
      <c r="J204" s="291">
        <v>174472</v>
      </c>
      <c r="K204" s="1513">
        <f t="shared" si="11"/>
        <v>10048611.25</v>
      </c>
      <c r="L204" s="126">
        <f t="shared" si="12"/>
        <v>10475556.096249999</v>
      </c>
      <c r="M204" s="1431"/>
    </row>
    <row r="205" spans="2:13" x14ac:dyDescent="0.35">
      <c r="B205" s="1410"/>
      <c r="C205" s="1423"/>
      <c r="D205" s="1149" t="s">
        <v>574</v>
      </c>
      <c r="E205" s="1149" t="s">
        <v>575</v>
      </c>
      <c r="F205" s="1149" t="s">
        <v>404</v>
      </c>
      <c r="G205" s="1149" t="s">
        <v>429</v>
      </c>
      <c r="H205" s="291">
        <v>7157637.5</v>
      </c>
      <c r="I205" s="291">
        <v>386476</v>
      </c>
      <c r="J205" s="291">
        <v>174472</v>
      </c>
      <c r="K205" s="1513">
        <f t="shared" si="11"/>
        <v>7718585.5</v>
      </c>
      <c r="L205" s="126">
        <f t="shared" si="12"/>
        <v>8040679.1874999991</v>
      </c>
      <c r="M205" s="1431"/>
    </row>
    <row r="206" spans="2:13" x14ac:dyDescent="0.35">
      <c r="B206" s="1410"/>
      <c r="C206" s="1423"/>
      <c r="D206" s="1149" t="s">
        <v>576</v>
      </c>
      <c r="E206" s="1149" t="s">
        <v>577</v>
      </c>
      <c r="F206" s="1149" t="s">
        <v>403</v>
      </c>
      <c r="G206" s="1149" t="s">
        <v>429</v>
      </c>
      <c r="H206" s="291">
        <v>5151576.5</v>
      </c>
      <c r="I206" s="291">
        <v>386476</v>
      </c>
      <c r="J206" s="291">
        <v>174472</v>
      </c>
      <c r="K206" s="1513">
        <f t="shared" si="11"/>
        <v>5712524.5</v>
      </c>
      <c r="L206" s="126">
        <f t="shared" si="12"/>
        <v>5944345.4424999999</v>
      </c>
      <c r="M206" s="1431"/>
    </row>
    <row r="207" spans="2:13" x14ac:dyDescent="0.35">
      <c r="B207" s="1410"/>
      <c r="C207" s="1423"/>
      <c r="D207" s="1149" t="s">
        <v>578</v>
      </c>
      <c r="E207" s="1149" t="s">
        <v>577</v>
      </c>
      <c r="F207" s="1149" t="s">
        <v>403</v>
      </c>
      <c r="G207" s="1149" t="s">
        <v>429</v>
      </c>
      <c r="H207" s="291">
        <v>5414898.5</v>
      </c>
      <c r="I207" s="291">
        <v>386476</v>
      </c>
      <c r="J207" s="291">
        <v>174472</v>
      </c>
      <c r="K207" s="1513">
        <f t="shared" si="11"/>
        <v>5975846.5</v>
      </c>
      <c r="L207" s="126">
        <f t="shared" si="12"/>
        <v>6219516.9324999992</v>
      </c>
      <c r="M207" s="1431"/>
    </row>
    <row r="208" spans="2:13" x14ac:dyDescent="0.35">
      <c r="B208" s="1410"/>
      <c r="C208" s="1423"/>
      <c r="D208" s="1149" t="s">
        <v>579</v>
      </c>
      <c r="E208" s="1149" t="s">
        <v>580</v>
      </c>
      <c r="F208" s="1149" t="s">
        <v>403</v>
      </c>
      <c r="G208" s="1149" t="s">
        <v>429</v>
      </c>
      <c r="H208" s="291">
        <v>9618892.125</v>
      </c>
      <c r="I208" s="291">
        <v>386476</v>
      </c>
      <c r="J208" s="291">
        <v>174472</v>
      </c>
      <c r="K208" s="1513">
        <f t="shared" si="11"/>
        <v>10179840.125</v>
      </c>
      <c r="L208" s="126">
        <f t="shared" si="12"/>
        <v>10612690.270624999</v>
      </c>
      <c r="M208" s="1431"/>
    </row>
    <row r="209" spans="2:13" x14ac:dyDescent="0.35">
      <c r="B209" s="1410"/>
      <c r="C209" s="1423"/>
      <c r="D209" s="1149" t="s">
        <v>581</v>
      </c>
      <c r="E209" s="1149" t="s">
        <v>582</v>
      </c>
      <c r="F209" s="1149" t="s">
        <v>583</v>
      </c>
      <c r="G209" s="1149" t="s">
        <v>429</v>
      </c>
      <c r="H209" s="291">
        <v>9262259.875</v>
      </c>
      <c r="I209" s="291">
        <v>386476</v>
      </c>
      <c r="J209" s="291">
        <v>174472</v>
      </c>
      <c r="K209" s="1513">
        <f t="shared" si="11"/>
        <v>9823207.875</v>
      </c>
      <c r="L209" s="126">
        <f t="shared" si="12"/>
        <v>10240009.569374999</v>
      </c>
      <c r="M209" s="1431"/>
    </row>
    <row r="210" spans="2:13" x14ac:dyDescent="0.35">
      <c r="B210" s="1410"/>
      <c r="C210" s="1423"/>
      <c r="D210" s="1149" t="s">
        <v>584</v>
      </c>
      <c r="E210" s="1149" t="s">
        <v>585</v>
      </c>
      <c r="F210" s="1149" t="s">
        <v>425</v>
      </c>
      <c r="G210" s="1149" t="s">
        <v>429</v>
      </c>
      <c r="H210" s="291">
        <v>9390185.625</v>
      </c>
      <c r="I210" s="291">
        <v>386476</v>
      </c>
      <c r="J210" s="291">
        <v>174472</v>
      </c>
      <c r="K210" s="1513">
        <f t="shared" si="11"/>
        <v>9951133.625</v>
      </c>
      <c r="L210" s="126">
        <f t="shared" si="12"/>
        <v>10373691.978124999</v>
      </c>
      <c r="M210" s="1431"/>
    </row>
    <row r="211" spans="2:13" x14ac:dyDescent="0.35">
      <c r="B211" s="1410"/>
      <c r="C211" s="1423"/>
      <c r="D211" s="1149" t="s">
        <v>586</v>
      </c>
      <c r="E211" s="1149" t="s">
        <v>587</v>
      </c>
      <c r="F211" s="1149" t="s">
        <v>404</v>
      </c>
      <c r="G211" s="1149" t="s">
        <v>429</v>
      </c>
      <c r="H211" s="291">
        <v>6584683.625</v>
      </c>
      <c r="I211" s="291">
        <v>386476</v>
      </c>
      <c r="J211" s="291">
        <v>174472</v>
      </c>
      <c r="K211" s="1513">
        <f t="shared" si="11"/>
        <v>7145631.625</v>
      </c>
      <c r="L211" s="126">
        <f t="shared" si="12"/>
        <v>7441942.3881249996</v>
      </c>
      <c r="M211" s="1431"/>
    </row>
    <row r="212" spans="2:13" x14ac:dyDescent="0.35">
      <c r="B212" s="1410"/>
      <c r="C212" s="1423"/>
      <c r="D212" s="1149" t="s">
        <v>588</v>
      </c>
      <c r="E212" s="1149" t="s">
        <v>589</v>
      </c>
      <c r="F212" s="1149" t="s">
        <v>426</v>
      </c>
      <c r="G212" s="1149" t="s">
        <v>429</v>
      </c>
      <c r="H212" s="291">
        <v>6997564.375</v>
      </c>
      <c r="I212" s="291">
        <v>386476</v>
      </c>
      <c r="J212" s="291">
        <v>174472</v>
      </c>
      <c r="K212" s="1514">
        <f t="shared" ref="K212:K218" si="13">SUM(H212:J212)</f>
        <v>7558512.375</v>
      </c>
      <c r="L212" s="126">
        <f t="shared" si="12"/>
        <v>7873402.7718749996</v>
      </c>
      <c r="M212" s="1431"/>
    </row>
    <row r="213" spans="2:13" x14ac:dyDescent="0.35">
      <c r="B213" s="1410"/>
      <c r="C213" s="1423"/>
      <c r="D213" s="1149" t="s">
        <v>590</v>
      </c>
      <c r="E213" s="1149" t="s">
        <v>591</v>
      </c>
      <c r="F213" s="1149" t="s">
        <v>592</v>
      </c>
      <c r="G213" s="1149" t="s">
        <v>429</v>
      </c>
      <c r="H213" s="291">
        <v>7641560.75</v>
      </c>
      <c r="I213" s="291">
        <v>386476</v>
      </c>
      <c r="J213" s="291">
        <v>174472</v>
      </c>
      <c r="K213" s="1513">
        <f t="shared" si="13"/>
        <v>8202508.75</v>
      </c>
      <c r="L213" s="126">
        <f t="shared" si="12"/>
        <v>8546378.9837500006</v>
      </c>
      <c r="M213" s="1431"/>
    </row>
    <row r="214" spans="2:13" x14ac:dyDescent="0.35">
      <c r="B214" s="1410"/>
      <c r="C214" s="1423"/>
      <c r="D214" s="1149" t="s">
        <v>593</v>
      </c>
      <c r="E214" s="1149" t="s">
        <v>594</v>
      </c>
      <c r="F214" s="1149" t="s">
        <v>404</v>
      </c>
      <c r="G214" s="1149" t="s">
        <v>429</v>
      </c>
      <c r="H214" s="291">
        <v>5822191.875</v>
      </c>
      <c r="I214" s="291">
        <v>386476</v>
      </c>
      <c r="J214" s="291">
        <v>174472</v>
      </c>
      <c r="K214" s="1513">
        <f t="shared" si="13"/>
        <v>6383139.875</v>
      </c>
      <c r="L214" s="126">
        <f t="shared" si="12"/>
        <v>6645138.5093749994</v>
      </c>
      <c r="M214" s="1431"/>
    </row>
    <row r="215" spans="2:13" x14ac:dyDescent="0.35">
      <c r="B215" s="1410"/>
      <c r="C215" s="1423"/>
      <c r="D215" s="1149" t="s">
        <v>595</v>
      </c>
      <c r="E215" s="1149" t="s">
        <v>596</v>
      </c>
      <c r="F215" s="1149" t="s">
        <v>547</v>
      </c>
      <c r="G215" s="1149" t="s">
        <v>429</v>
      </c>
      <c r="H215" s="291">
        <v>12653457.75</v>
      </c>
      <c r="I215" s="291">
        <v>217145</v>
      </c>
      <c r="J215" s="291">
        <v>174472</v>
      </c>
      <c r="K215" s="1513">
        <f t="shared" si="13"/>
        <v>13045074.75</v>
      </c>
      <c r="L215" s="126">
        <f t="shared" si="12"/>
        <v>13614480.348749999</v>
      </c>
      <c r="M215" s="1431"/>
    </row>
    <row r="216" spans="2:13" x14ac:dyDescent="0.35">
      <c r="B216" s="1410"/>
      <c r="C216" s="1423"/>
      <c r="D216" s="124" t="s">
        <v>597</v>
      </c>
      <c r="E216" s="124" t="s">
        <v>598</v>
      </c>
      <c r="F216" s="124" t="s">
        <v>403</v>
      </c>
      <c r="G216" s="124" t="s">
        <v>429</v>
      </c>
      <c r="H216" s="291">
        <v>7322790.375</v>
      </c>
      <c r="I216" s="291">
        <v>386476</v>
      </c>
      <c r="J216" s="291">
        <v>174472</v>
      </c>
      <c r="K216" s="1513">
        <f t="shared" si="13"/>
        <v>7883738.375</v>
      </c>
      <c r="L216" s="126">
        <f t="shared" si="12"/>
        <v>8213263.9418749996</v>
      </c>
      <c r="M216" s="1431"/>
    </row>
    <row r="217" spans="2:13" x14ac:dyDescent="0.35">
      <c r="B217" s="1410"/>
      <c r="C217" s="1423"/>
      <c r="D217" s="124"/>
      <c r="E217" s="124"/>
      <c r="F217" s="124"/>
      <c r="G217" s="124"/>
      <c r="H217" s="291"/>
      <c r="I217" s="291"/>
      <c r="J217" s="303"/>
      <c r="K217" s="582">
        <f t="shared" si="13"/>
        <v>0</v>
      </c>
      <c r="L217" s="126">
        <f t="shared" si="12"/>
        <v>0</v>
      </c>
      <c r="M217" s="1431"/>
    </row>
    <row r="218" spans="2:13" ht="15" thickBot="1" x14ac:dyDescent="0.4">
      <c r="B218" s="1410"/>
      <c r="C218" s="1424"/>
      <c r="D218" s="129"/>
      <c r="E218" s="129"/>
      <c r="F218" s="129"/>
      <c r="G218" s="129"/>
      <c r="H218" s="294"/>
      <c r="I218" s="294"/>
      <c r="J218" s="341"/>
      <c r="K218" s="583">
        <f t="shared" si="13"/>
        <v>0</v>
      </c>
      <c r="L218" s="134">
        <f t="shared" si="12"/>
        <v>0</v>
      </c>
      <c r="M218" s="1431"/>
    </row>
    <row r="219" spans="2:13" x14ac:dyDescent="0.35">
      <c r="B219" s="1411"/>
      <c r="C219" s="1410" t="s">
        <v>207</v>
      </c>
      <c r="D219" s="124"/>
      <c r="E219" s="124"/>
      <c r="F219" s="140"/>
      <c r="G219" s="119"/>
      <c r="H219" s="299"/>
      <c r="I219" s="299"/>
      <c r="J219" s="299"/>
      <c r="K219" s="477">
        <f t="shared" si="11"/>
        <v>0</v>
      </c>
      <c r="L219" s="478">
        <f t="shared" si="12"/>
        <v>0</v>
      </c>
      <c r="M219" s="1431"/>
    </row>
    <row r="220" spans="2:13" x14ac:dyDescent="0.35">
      <c r="B220" s="1411"/>
      <c r="C220" s="1410"/>
      <c r="D220" s="124"/>
      <c r="E220" s="124"/>
      <c r="F220" s="124"/>
      <c r="G220" s="124"/>
      <c r="H220" s="291"/>
      <c r="I220" s="291"/>
      <c r="J220" s="291"/>
      <c r="K220" s="475">
        <f t="shared" si="11"/>
        <v>0</v>
      </c>
      <c r="L220" s="126">
        <f t="shared" si="12"/>
        <v>0</v>
      </c>
      <c r="M220" s="1431"/>
    </row>
    <row r="221" spans="2:13" x14ac:dyDescent="0.35">
      <c r="B221" s="1411"/>
      <c r="C221" s="1410"/>
      <c r="D221" s="124"/>
      <c r="E221" s="124"/>
      <c r="F221" s="124"/>
      <c r="G221" s="124"/>
      <c r="H221" s="291"/>
      <c r="I221" s="291"/>
      <c r="J221" s="291"/>
      <c r="K221" s="475">
        <f t="shared" si="11"/>
        <v>0</v>
      </c>
      <c r="L221" s="126">
        <f t="shared" si="12"/>
        <v>0</v>
      </c>
      <c r="M221" s="1431"/>
    </row>
    <row r="222" spans="2:13" x14ac:dyDescent="0.35">
      <c r="B222" s="1411"/>
      <c r="C222" s="1410"/>
      <c r="D222" s="124"/>
      <c r="E222" s="124"/>
      <c r="F222" s="124"/>
      <c r="G222" s="124"/>
      <c r="H222" s="291"/>
      <c r="I222" s="291"/>
      <c r="J222" s="291"/>
      <c r="K222" s="475">
        <f t="shared" si="11"/>
        <v>0</v>
      </c>
      <c r="L222" s="126">
        <f t="shared" si="12"/>
        <v>0</v>
      </c>
      <c r="M222" s="1431"/>
    </row>
    <row r="223" spans="2:13" x14ac:dyDescent="0.35">
      <c r="B223" s="1411"/>
      <c r="C223" s="1410"/>
      <c r="D223" s="124"/>
      <c r="E223" s="124"/>
      <c r="F223" s="124"/>
      <c r="G223" s="124"/>
      <c r="H223" s="291"/>
      <c r="I223" s="291"/>
      <c r="J223" s="291"/>
      <c r="K223" s="475">
        <f t="shared" si="11"/>
        <v>0</v>
      </c>
      <c r="L223" s="126">
        <f t="shared" si="12"/>
        <v>0</v>
      </c>
      <c r="M223" s="1431"/>
    </row>
    <row r="224" spans="2:13" x14ac:dyDescent="0.35">
      <c r="B224" s="1411"/>
      <c r="C224" s="1410"/>
      <c r="D224" s="124"/>
      <c r="E224" s="124"/>
      <c r="F224" s="124"/>
      <c r="G224" s="124"/>
      <c r="H224" s="291"/>
      <c r="I224" s="291"/>
      <c r="J224" s="291"/>
      <c r="K224" s="475">
        <f t="shared" ref="K224:K273" si="14">SUM(H224:J224)</f>
        <v>0</v>
      </c>
      <c r="L224" s="126">
        <f t="shared" si="12"/>
        <v>0</v>
      </c>
      <c r="M224" s="1431"/>
    </row>
    <row r="225" spans="2:13" x14ac:dyDescent="0.35">
      <c r="B225" s="1411"/>
      <c r="C225" s="1410"/>
      <c r="D225" s="124"/>
      <c r="E225" s="124"/>
      <c r="F225" s="124"/>
      <c r="G225" s="124"/>
      <c r="H225" s="291"/>
      <c r="I225" s="291"/>
      <c r="J225" s="291"/>
      <c r="K225" s="475">
        <f t="shared" si="14"/>
        <v>0</v>
      </c>
      <c r="L225" s="126">
        <f t="shared" si="12"/>
        <v>0</v>
      </c>
      <c r="M225" s="1431"/>
    </row>
    <row r="226" spans="2:13" x14ac:dyDescent="0.35">
      <c r="B226" s="1411"/>
      <c r="C226" s="1410"/>
      <c r="D226" s="124"/>
      <c r="E226" s="124"/>
      <c r="F226" s="124"/>
      <c r="G226" s="124"/>
      <c r="H226" s="291"/>
      <c r="I226" s="291"/>
      <c r="J226" s="291"/>
      <c r="K226" s="475">
        <f t="shared" si="14"/>
        <v>0</v>
      </c>
      <c r="L226" s="126">
        <f t="shared" si="12"/>
        <v>0</v>
      </c>
      <c r="M226" s="1431"/>
    </row>
    <row r="227" spans="2:13" x14ac:dyDescent="0.35">
      <c r="B227" s="1411"/>
      <c r="C227" s="1410"/>
      <c r="D227" s="124"/>
      <c r="E227" s="124"/>
      <c r="F227" s="124"/>
      <c r="G227" s="124"/>
      <c r="H227" s="291"/>
      <c r="I227" s="291"/>
      <c r="J227" s="291"/>
      <c r="K227" s="475">
        <f t="shared" si="14"/>
        <v>0</v>
      </c>
      <c r="L227" s="126">
        <f t="shared" si="12"/>
        <v>0</v>
      </c>
      <c r="M227" s="1431"/>
    </row>
    <row r="228" spans="2:13" x14ac:dyDescent="0.35">
      <c r="B228" s="1411"/>
      <c r="C228" s="1410"/>
      <c r="D228" s="124"/>
      <c r="E228" s="124"/>
      <c r="F228" s="124"/>
      <c r="G228" s="124"/>
      <c r="H228" s="291"/>
      <c r="I228" s="291"/>
      <c r="J228" s="291"/>
      <c r="K228" s="475">
        <f t="shared" si="14"/>
        <v>0</v>
      </c>
      <c r="L228" s="126">
        <f t="shared" si="12"/>
        <v>0</v>
      </c>
      <c r="M228" s="1431"/>
    </row>
    <row r="229" spans="2:13" ht="15" thickBot="1" x14ac:dyDescent="0.4">
      <c r="B229" s="1412"/>
      <c r="C229" s="1410"/>
      <c r="D229" s="129"/>
      <c r="E229" s="129"/>
      <c r="F229" s="129"/>
      <c r="G229" s="293"/>
      <c r="H229" s="294"/>
      <c r="I229" s="294"/>
      <c r="J229" s="294"/>
      <c r="K229" s="476">
        <f t="shared" si="14"/>
        <v>0</v>
      </c>
      <c r="L229" s="126">
        <f t="shared" si="12"/>
        <v>0</v>
      </c>
      <c r="M229" s="1432"/>
    </row>
    <row r="230" spans="2:13" x14ac:dyDescent="0.35">
      <c r="B230" s="1421" t="str">
        <f>+'A) Resumen Ingresos y Egresos'!A164</f>
        <v>C.R. Faro Tumbes</v>
      </c>
      <c r="C230" s="1417" t="s">
        <v>206</v>
      </c>
      <c r="D230" s="1146" t="s">
        <v>433</v>
      </c>
      <c r="E230" s="1146" t="s">
        <v>435</v>
      </c>
      <c r="F230" s="1146" t="s">
        <v>426</v>
      </c>
      <c r="G230" s="1146" t="s">
        <v>437</v>
      </c>
      <c r="H230" s="299">
        <v>5588476</v>
      </c>
      <c r="I230" s="120">
        <v>389357</v>
      </c>
      <c r="J230" s="121">
        <v>174472</v>
      </c>
      <c r="K230" s="474">
        <f t="shared" si="14"/>
        <v>6152305</v>
      </c>
      <c r="L230" s="122">
        <f t="shared" si="12"/>
        <v>6403786.4199999999</v>
      </c>
      <c r="M230" s="1430">
        <f>SUM(L230:L251)</f>
        <v>29667298.289999999</v>
      </c>
    </row>
    <row r="231" spans="2:13" x14ac:dyDescent="0.35">
      <c r="B231" s="1411"/>
      <c r="C231" s="1413"/>
      <c r="D231" s="1149" t="s">
        <v>434</v>
      </c>
      <c r="E231" s="1149" t="s">
        <v>436</v>
      </c>
      <c r="F231" s="1149" t="s">
        <v>432</v>
      </c>
      <c r="G231" s="1149" t="s">
        <v>437</v>
      </c>
      <c r="H231" s="291">
        <v>21886286</v>
      </c>
      <c r="I231" s="524">
        <v>217145</v>
      </c>
      <c r="J231" s="522">
        <v>175198</v>
      </c>
      <c r="K231" s="475">
        <f t="shared" si="14"/>
        <v>22278629</v>
      </c>
      <c r="L231" s="126">
        <f t="shared" si="12"/>
        <v>23263511.869999997</v>
      </c>
      <c r="M231" s="1431"/>
    </row>
    <row r="232" spans="2:13" x14ac:dyDescent="0.35">
      <c r="B232" s="1411"/>
      <c r="C232" s="1413"/>
      <c r="D232" s="124"/>
      <c r="E232" s="124"/>
      <c r="F232" s="124"/>
      <c r="G232" s="124"/>
      <c r="H232" s="291"/>
      <c r="I232" s="524"/>
      <c r="J232" s="522"/>
      <c r="K232" s="475">
        <f t="shared" si="14"/>
        <v>0</v>
      </c>
      <c r="L232" s="126">
        <f t="shared" si="12"/>
        <v>0</v>
      </c>
      <c r="M232" s="1431"/>
    </row>
    <row r="233" spans="2:13" x14ac:dyDescent="0.35">
      <c r="B233" s="1411"/>
      <c r="C233" s="1413"/>
      <c r="D233" s="210"/>
      <c r="E233" s="210"/>
      <c r="F233" s="124"/>
      <c r="G233" s="292"/>
      <c r="H233" s="291"/>
      <c r="I233" s="291"/>
      <c r="J233" s="291"/>
      <c r="K233" s="475">
        <f t="shared" si="14"/>
        <v>0</v>
      </c>
      <c r="L233" s="126">
        <f t="shared" si="12"/>
        <v>0</v>
      </c>
      <c r="M233" s="1431"/>
    </row>
    <row r="234" spans="2:13" x14ac:dyDescent="0.35">
      <c r="B234" s="1411"/>
      <c r="C234" s="1413"/>
      <c r="D234" s="124"/>
      <c r="E234" s="124"/>
      <c r="F234" s="124"/>
      <c r="G234" s="292"/>
      <c r="H234" s="291"/>
      <c r="I234" s="291"/>
      <c r="J234" s="291"/>
      <c r="K234" s="475">
        <f t="shared" si="14"/>
        <v>0</v>
      </c>
      <c r="L234" s="126">
        <f t="shared" si="12"/>
        <v>0</v>
      </c>
      <c r="M234" s="1431"/>
    </row>
    <row r="235" spans="2:13" x14ac:dyDescent="0.35">
      <c r="B235" s="1411"/>
      <c r="C235" s="1413"/>
      <c r="D235" s="124"/>
      <c r="E235" s="124"/>
      <c r="F235" s="124"/>
      <c r="G235" s="292"/>
      <c r="H235" s="291"/>
      <c r="I235" s="291"/>
      <c r="J235" s="291"/>
      <c r="K235" s="475">
        <f t="shared" si="14"/>
        <v>0</v>
      </c>
      <c r="L235" s="126">
        <f t="shared" si="12"/>
        <v>0</v>
      </c>
      <c r="M235" s="1431"/>
    </row>
    <row r="236" spans="2:13" x14ac:dyDescent="0.35">
      <c r="B236" s="1411"/>
      <c r="C236" s="1413"/>
      <c r="D236" s="124"/>
      <c r="E236" s="124"/>
      <c r="F236" s="124"/>
      <c r="G236" s="292"/>
      <c r="H236" s="291"/>
      <c r="I236" s="291"/>
      <c r="J236" s="291"/>
      <c r="K236" s="475">
        <f t="shared" si="14"/>
        <v>0</v>
      </c>
      <c r="L236" s="126">
        <f t="shared" si="12"/>
        <v>0</v>
      </c>
      <c r="M236" s="1431"/>
    </row>
    <row r="237" spans="2:13" x14ac:dyDescent="0.35">
      <c r="B237" s="1411"/>
      <c r="C237" s="1413"/>
      <c r="D237" s="124"/>
      <c r="E237" s="124"/>
      <c r="F237" s="124"/>
      <c r="G237" s="292"/>
      <c r="H237" s="291"/>
      <c r="I237" s="291"/>
      <c r="J237" s="291"/>
      <c r="K237" s="475">
        <f t="shared" si="14"/>
        <v>0</v>
      </c>
      <c r="L237" s="126">
        <f t="shared" si="12"/>
        <v>0</v>
      </c>
      <c r="M237" s="1431"/>
    </row>
    <row r="238" spans="2:13" x14ac:dyDescent="0.35">
      <c r="B238" s="1411"/>
      <c r="C238" s="1413"/>
      <c r="D238" s="124"/>
      <c r="E238" s="124"/>
      <c r="F238" s="124"/>
      <c r="G238" s="292"/>
      <c r="H238" s="291"/>
      <c r="I238" s="291"/>
      <c r="J238" s="291"/>
      <c r="K238" s="475">
        <f t="shared" si="14"/>
        <v>0</v>
      </c>
      <c r="L238" s="126">
        <f t="shared" si="12"/>
        <v>0</v>
      </c>
      <c r="M238" s="1431"/>
    </row>
    <row r="239" spans="2:13" x14ac:dyDescent="0.35">
      <c r="B239" s="1411"/>
      <c r="C239" s="1413"/>
      <c r="D239" s="124"/>
      <c r="E239" s="124"/>
      <c r="F239" s="124"/>
      <c r="G239" s="292"/>
      <c r="H239" s="291"/>
      <c r="I239" s="291"/>
      <c r="J239" s="291"/>
      <c r="K239" s="475">
        <f t="shared" si="14"/>
        <v>0</v>
      </c>
      <c r="L239" s="126">
        <f t="shared" si="12"/>
        <v>0</v>
      </c>
      <c r="M239" s="1431"/>
    </row>
    <row r="240" spans="2:13" ht="15" thickBot="1" x14ac:dyDescent="0.4">
      <c r="B240" s="1411"/>
      <c r="C240" s="1414"/>
      <c r="D240" s="129"/>
      <c r="E240" s="129"/>
      <c r="F240" s="129"/>
      <c r="G240" s="293"/>
      <c r="H240" s="294"/>
      <c r="I240" s="294"/>
      <c r="J240" s="294"/>
      <c r="K240" s="476">
        <f t="shared" si="14"/>
        <v>0</v>
      </c>
      <c r="L240" s="126">
        <f t="shared" si="12"/>
        <v>0</v>
      </c>
      <c r="M240" s="1431"/>
    </row>
    <row r="241" spans="2:13" x14ac:dyDescent="0.35">
      <c r="B241" s="1411"/>
      <c r="C241" s="1413" t="s">
        <v>207</v>
      </c>
      <c r="D241" s="140"/>
      <c r="E241" s="140"/>
      <c r="F241" s="140"/>
      <c r="G241" s="298"/>
      <c r="H241" s="299"/>
      <c r="I241" s="299"/>
      <c r="J241" s="299"/>
      <c r="K241" s="474">
        <f t="shared" si="14"/>
        <v>0</v>
      </c>
      <c r="L241" s="122">
        <f t="shared" si="12"/>
        <v>0</v>
      </c>
      <c r="M241" s="1431"/>
    </row>
    <row r="242" spans="2:13" x14ac:dyDescent="0.35">
      <c r="B242" s="1411"/>
      <c r="C242" s="1413"/>
      <c r="D242" s="124"/>
      <c r="E242" s="124"/>
      <c r="F242" s="124"/>
      <c r="G242" s="292"/>
      <c r="H242" s="291"/>
      <c r="I242" s="291"/>
      <c r="J242" s="291"/>
      <c r="K242" s="475">
        <f t="shared" si="14"/>
        <v>0</v>
      </c>
      <c r="L242" s="126">
        <f t="shared" si="12"/>
        <v>0</v>
      </c>
      <c r="M242" s="1431"/>
    </row>
    <row r="243" spans="2:13" x14ac:dyDescent="0.35">
      <c r="B243" s="1411"/>
      <c r="C243" s="1413"/>
      <c r="D243" s="124"/>
      <c r="E243" s="124"/>
      <c r="F243" s="124"/>
      <c r="G243" s="292"/>
      <c r="H243" s="291"/>
      <c r="I243" s="291"/>
      <c r="J243" s="291"/>
      <c r="K243" s="475">
        <f t="shared" si="14"/>
        <v>0</v>
      </c>
      <c r="L243" s="126">
        <f t="shared" si="12"/>
        <v>0</v>
      </c>
      <c r="M243" s="1431"/>
    </row>
    <row r="244" spans="2:13" x14ac:dyDescent="0.35">
      <c r="B244" s="1411"/>
      <c r="C244" s="1413"/>
      <c r="D244" s="124"/>
      <c r="E244" s="124"/>
      <c r="F244" s="124"/>
      <c r="G244" s="292"/>
      <c r="H244" s="291"/>
      <c r="I244" s="291"/>
      <c r="J244" s="291"/>
      <c r="K244" s="475">
        <f t="shared" si="14"/>
        <v>0</v>
      </c>
      <c r="L244" s="126">
        <f t="shared" si="12"/>
        <v>0</v>
      </c>
      <c r="M244" s="1431"/>
    </row>
    <row r="245" spans="2:13" x14ac:dyDescent="0.35">
      <c r="B245" s="1411"/>
      <c r="C245" s="1413"/>
      <c r="D245" s="124"/>
      <c r="E245" s="124"/>
      <c r="F245" s="124"/>
      <c r="G245" s="292"/>
      <c r="H245" s="291"/>
      <c r="I245" s="291"/>
      <c r="J245" s="291"/>
      <c r="K245" s="475">
        <f t="shared" si="14"/>
        <v>0</v>
      </c>
      <c r="L245" s="126">
        <f t="shared" si="12"/>
        <v>0</v>
      </c>
      <c r="M245" s="1431"/>
    </row>
    <row r="246" spans="2:13" x14ac:dyDescent="0.35">
      <c r="B246" s="1411"/>
      <c r="C246" s="1413"/>
      <c r="D246" s="124"/>
      <c r="E246" s="124"/>
      <c r="F246" s="124"/>
      <c r="G246" s="292"/>
      <c r="H246" s="291"/>
      <c r="I246" s="291"/>
      <c r="J246" s="291"/>
      <c r="K246" s="475">
        <f t="shared" si="14"/>
        <v>0</v>
      </c>
      <c r="L246" s="126">
        <f t="shared" ref="L246:L295" si="15">+(H246*(1+$M$7))+I246+J246</f>
        <v>0</v>
      </c>
      <c r="M246" s="1431"/>
    </row>
    <row r="247" spans="2:13" x14ac:dyDescent="0.35">
      <c r="B247" s="1411"/>
      <c r="C247" s="1413"/>
      <c r="D247" s="124"/>
      <c r="E247" s="124"/>
      <c r="F247" s="124"/>
      <c r="G247" s="292"/>
      <c r="H247" s="291"/>
      <c r="I247" s="291"/>
      <c r="J247" s="291"/>
      <c r="K247" s="475">
        <f t="shared" si="14"/>
        <v>0</v>
      </c>
      <c r="L247" s="126">
        <f t="shared" si="15"/>
        <v>0</v>
      </c>
      <c r="M247" s="1431"/>
    </row>
    <row r="248" spans="2:13" x14ac:dyDescent="0.35">
      <c r="B248" s="1411"/>
      <c r="C248" s="1413"/>
      <c r="D248" s="124"/>
      <c r="E248" s="124"/>
      <c r="F248" s="124"/>
      <c r="G248" s="292"/>
      <c r="H248" s="291"/>
      <c r="I248" s="291"/>
      <c r="J248" s="291"/>
      <c r="K248" s="475">
        <f t="shared" si="14"/>
        <v>0</v>
      </c>
      <c r="L248" s="126">
        <f t="shared" si="15"/>
        <v>0</v>
      </c>
      <c r="M248" s="1431"/>
    </row>
    <row r="249" spans="2:13" x14ac:dyDescent="0.35">
      <c r="B249" s="1411"/>
      <c r="C249" s="1413"/>
      <c r="D249" s="124"/>
      <c r="E249" s="124"/>
      <c r="F249" s="124"/>
      <c r="G249" s="292"/>
      <c r="H249" s="291"/>
      <c r="I249" s="291"/>
      <c r="J249" s="291"/>
      <c r="K249" s="475">
        <f t="shared" si="14"/>
        <v>0</v>
      </c>
      <c r="L249" s="126">
        <f t="shared" si="15"/>
        <v>0</v>
      </c>
      <c r="M249" s="1431"/>
    </row>
    <row r="250" spans="2:13" x14ac:dyDescent="0.35">
      <c r="B250" s="1411"/>
      <c r="C250" s="1413"/>
      <c r="D250" s="124"/>
      <c r="E250" s="124"/>
      <c r="F250" s="124"/>
      <c r="G250" s="292"/>
      <c r="H250" s="291"/>
      <c r="I250" s="291"/>
      <c r="J250" s="291"/>
      <c r="K250" s="475">
        <f t="shared" si="14"/>
        <v>0</v>
      </c>
      <c r="L250" s="126">
        <f t="shared" si="15"/>
        <v>0</v>
      </c>
      <c r="M250" s="1431"/>
    </row>
    <row r="251" spans="2:13" ht="15" thickBot="1" x14ac:dyDescent="0.4">
      <c r="B251" s="1412"/>
      <c r="C251" s="1413"/>
      <c r="D251" s="136"/>
      <c r="E251" s="136"/>
      <c r="F251" s="136"/>
      <c r="G251" s="295"/>
      <c r="H251" s="296"/>
      <c r="I251" s="296"/>
      <c r="J251" s="296"/>
      <c r="K251" s="476">
        <f t="shared" si="14"/>
        <v>0</v>
      </c>
      <c r="L251" s="126">
        <f t="shared" si="15"/>
        <v>0</v>
      </c>
      <c r="M251" s="1432"/>
    </row>
    <row r="252" spans="2:13" x14ac:dyDescent="0.35">
      <c r="B252" s="1409" t="str">
        <f>+'A) Resumen Ingresos y Egresos'!A169</f>
        <v>Cancha de Golf Tumbes</v>
      </c>
      <c r="C252" s="1422" t="s">
        <v>206</v>
      </c>
      <c r="D252" s="1146" t="s">
        <v>439</v>
      </c>
      <c r="E252" s="1146" t="s">
        <v>443</v>
      </c>
      <c r="F252" s="1146" t="s">
        <v>402</v>
      </c>
      <c r="G252" s="1146" t="s">
        <v>438</v>
      </c>
      <c r="H252" s="297">
        <v>8076550</v>
      </c>
      <c r="I252" s="125">
        <v>386476</v>
      </c>
      <c r="J252" s="125">
        <v>174472</v>
      </c>
      <c r="K252" s="519">
        <f t="shared" si="14"/>
        <v>8637498</v>
      </c>
      <c r="L252" s="122">
        <f t="shared" si="15"/>
        <v>9000942.75</v>
      </c>
      <c r="M252" s="1430">
        <f>SUM(L252:L273)</f>
        <v>37019708.504999995</v>
      </c>
    </row>
    <row r="253" spans="2:13" x14ac:dyDescent="0.35">
      <c r="B253" s="1410"/>
      <c r="C253" s="1423"/>
      <c r="D253" s="1149" t="s">
        <v>440</v>
      </c>
      <c r="E253" s="1149" t="s">
        <v>444</v>
      </c>
      <c r="F253" s="1149" t="s">
        <v>402</v>
      </c>
      <c r="G253" s="1149" t="s">
        <v>438</v>
      </c>
      <c r="H253" s="291">
        <v>8184156</v>
      </c>
      <c r="I253" s="125">
        <v>386476</v>
      </c>
      <c r="J253" s="125">
        <v>174472</v>
      </c>
      <c r="K253" s="520">
        <f t="shared" si="14"/>
        <v>8745104</v>
      </c>
      <c r="L253" s="126">
        <f t="shared" si="15"/>
        <v>9113391.0199999996</v>
      </c>
      <c r="M253" s="1431"/>
    </row>
    <row r="254" spans="2:13" x14ac:dyDescent="0.35">
      <c r="B254" s="1410"/>
      <c r="C254" s="1423"/>
      <c r="D254" s="1149" t="s">
        <v>441</v>
      </c>
      <c r="E254" s="1149" t="s">
        <v>445</v>
      </c>
      <c r="F254" s="1149" t="s">
        <v>402</v>
      </c>
      <c r="G254" s="1149" t="s">
        <v>438</v>
      </c>
      <c r="H254" s="291">
        <v>8895663</v>
      </c>
      <c r="I254" s="125">
        <v>386476</v>
      </c>
      <c r="J254" s="125">
        <v>174472</v>
      </c>
      <c r="K254" s="520">
        <f t="shared" si="14"/>
        <v>9456611</v>
      </c>
      <c r="L254" s="126">
        <f t="shared" si="15"/>
        <v>9856915.834999999</v>
      </c>
      <c r="M254" s="1431"/>
    </row>
    <row r="255" spans="2:13" x14ac:dyDescent="0.35">
      <c r="B255" s="1410"/>
      <c r="C255" s="1423"/>
      <c r="D255" s="1149" t="s">
        <v>442</v>
      </c>
      <c r="E255" s="1149" t="s">
        <v>446</v>
      </c>
      <c r="F255" s="1149" t="s">
        <v>402</v>
      </c>
      <c r="G255" s="1149" t="s">
        <v>438</v>
      </c>
      <c r="H255" s="291">
        <v>8122020</v>
      </c>
      <c r="I255" s="125">
        <v>386476</v>
      </c>
      <c r="J255" s="125">
        <v>174472</v>
      </c>
      <c r="K255" s="520">
        <f t="shared" si="14"/>
        <v>8682968</v>
      </c>
      <c r="L255" s="126">
        <f t="shared" si="15"/>
        <v>9048458.8999999985</v>
      </c>
      <c r="M255" s="1431"/>
    </row>
    <row r="256" spans="2:13" x14ac:dyDescent="0.35">
      <c r="B256" s="1410"/>
      <c r="C256" s="1423"/>
      <c r="D256" s="124"/>
      <c r="E256" s="124"/>
      <c r="F256" s="124"/>
      <c r="G256" s="292"/>
      <c r="H256" s="291"/>
      <c r="I256" s="291"/>
      <c r="J256" s="291"/>
      <c r="K256" s="520">
        <f t="shared" si="14"/>
        <v>0</v>
      </c>
      <c r="L256" s="126">
        <f t="shared" si="15"/>
        <v>0</v>
      </c>
      <c r="M256" s="1431"/>
    </row>
    <row r="257" spans="2:13" x14ac:dyDescent="0.35">
      <c r="B257" s="1410"/>
      <c r="C257" s="1423"/>
      <c r="D257" s="124"/>
      <c r="E257" s="124"/>
      <c r="F257" s="124"/>
      <c r="G257" s="292"/>
      <c r="H257" s="291"/>
      <c r="I257" s="291"/>
      <c r="J257" s="522"/>
      <c r="K257" s="520">
        <f t="shared" si="14"/>
        <v>0</v>
      </c>
      <c r="L257" s="126">
        <f t="shared" si="15"/>
        <v>0</v>
      </c>
      <c r="M257" s="1431"/>
    </row>
    <row r="258" spans="2:13" x14ac:dyDescent="0.35">
      <c r="B258" s="1410"/>
      <c r="C258" s="1423"/>
      <c r="D258" s="124"/>
      <c r="E258" s="124"/>
      <c r="F258" s="124"/>
      <c r="G258" s="292"/>
      <c r="H258" s="291"/>
      <c r="I258" s="291"/>
      <c r="J258" s="522"/>
      <c r="K258" s="520">
        <f t="shared" si="14"/>
        <v>0</v>
      </c>
      <c r="L258" s="126">
        <f t="shared" si="15"/>
        <v>0</v>
      </c>
      <c r="M258" s="1431"/>
    </row>
    <row r="259" spans="2:13" x14ac:dyDescent="0.35">
      <c r="B259" s="1410"/>
      <c r="C259" s="1423"/>
      <c r="D259" s="124"/>
      <c r="E259" s="124"/>
      <c r="F259" s="124"/>
      <c r="G259" s="292"/>
      <c r="H259" s="291"/>
      <c r="I259" s="291"/>
      <c r="J259" s="522"/>
      <c r="K259" s="520">
        <f t="shared" si="14"/>
        <v>0</v>
      </c>
      <c r="L259" s="126">
        <f t="shared" si="15"/>
        <v>0</v>
      </c>
      <c r="M259" s="1431"/>
    </row>
    <row r="260" spans="2:13" x14ac:dyDescent="0.35">
      <c r="B260" s="1410"/>
      <c r="C260" s="1423"/>
      <c r="D260" s="124"/>
      <c r="E260" s="124"/>
      <c r="F260" s="124"/>
      <c r="G260" s="292"/>
      <c r="H260" s="291"/>
      <c r="I260" s="291"/>
      <c r="J260" s="522"/>
      <c r="K260" s="520">
        <f t="shared" si="14"/>
        <v>0</v>
      </c>
      <c r="L260" s="126">
        <f t="shared" si="15"/>
        <v>0</v>
      </c>
      <c r="M260" s="1431"/>
    </row>
    <row r="261" spans="2:13" x14ac:dyDescent="0.35">
      <c r="B261" s="1410"/>
      <c r="C261" s="1423"/>
      <c r="D261" s="124"/>
      <c r="E261" s="124"/>
      <c r="F261" s="124"/>
      <c r="G261" s="292"/>
      <c r="H261" s="291"/>
      <c r="I261" s="291"/>
      <c r="J261" s="522"/>
      <c r="K261" s="520">
        <f t="shared" si="14"/>
        <v>0</v>
      </c>
      <c r="L261" s="126">
        <f t="shared" si="15"/>
        <v>0</v>
      </c>
      <c r="M261" s="1431"/>
    </row>
    <row r="262" spans="2:13" ht="15" thickBot="1" x14ac:dyDescent="0.4">
      <c r="B262" s="1410"/>
      <c r="C262" s="1424"/>
      <c r="D262" s="129"/>
      <c r="E262" s="129"/>
      <c r="F262" s="129"/>
      <c r="G262" s="293"/>
      <c r="H262" s="294"/>
      <c r="I262" s="294"/>
      <c r="J262" s="523"/>
      <c r="K262" s="521">
        <f t="shared" si="14"/>
        <v>0</v>
      </c>
      <c r="L262" s="126">
        <f t="shared" si="15"/>
        <v>0</v>
      </c>
      <c r="M262" s="1431"/>
    </row>
    <row r="263" spans="2:13" x14ac:dyDescent="0.35">
      <c r="B263" s="1411"/>
      <c r="C263" s="1413" t="s">
        <v>207</v>
      </c>
      <c r="D263" s="140"/>
      <c r="E263" s="140"/>
      <c r="F263" s="140"/>
      <c r="G263" s="298"/>
      <c r="H263" s="299"/>
      <c r="I263" s="299"/>
      <c r="J263" s="299"/>
      <c r="K263" s="474">
        <f t="shared" si="14"/>
        <v>0</v>
      </c>
      <c r="L263" s="122">
        <f t="shared" si="15"/>
        <v>0</v>
      </c>
      <c r="M263" s="1431"/>
    </row>
    <row r="264" spans="2:13" x14ac:dyDescent="0.35">
      <c r="B264" s="1411"/>
      <c r="C264" s="1413"/>
      <c r="D264" s="124"/>
      <c r="E264" s="124"/>
      <c r="F264" s="124"/>
      <c r="G264" s="292"/>
      <c r="H264" s="291"/>
      <c r="I264" s="291"/>
      <c r="J264" s="291"/>
      <c r="K264" s="475">
        <f t="shared" si="14"/>
        <v>0</v>
      </c>
      <c r="L264" s="126">
        <f t="shared" si="15"/>
        <v>0</v>
      </c>
      <c r="M264" s="1431"/>
    </row>
    <row r="265" spans="2:13" x14ac:dyDescent="0.35">
      <c r="B265" s="1411"/>
      <c r="C265" s="1413"/>
      <c r="D265" s="124"/>
      <c r="E265" s="124"/>
      <c r="F265" s="124"/>
      <c r="G265" s="292"/>
      <c r="H265" s="291"/>
      <c r="I265" s="291"/>
      <c r="J265" s="291"/>
      <c r="K265" s="475">
        <f t="shared" si="14"/>
        <v>0</v>
      </c>
      <c r="L265" s="126">
        <f t="shared" si="15"/>
        <v>0</v>
      </c>
      <c r="M265" s="1431"/>
    </row>
    <row r="266" spans="2:13" x14ac:dyDescent="0.35">
      <c r="B266" s="1411"/>
      <c r="C266" s="1413"/>
      <c r="D266" s="124"/>
      <c r="E266" s="124"/>
      <c r="F266" s="124"/>
      <c r="G266" s="292"/>
      <c r="H266" s="291"/>
      <c r="I266" s="291"/>
      <c r="J266" s="291"/>
      <c r="K266" s="475">
        <f t="shared" si="14"/>
        <v>0</v>
      </c>
      <c r="L266" s="126">
        <f t="shared" si="15"/>
        <v>0</v>
      </c>
      <c r="M266" s="1431"/>
    </row>
    <row r="267" spans="2:13" x14ac:dyDescent="0.35">
      <c r="B267" s="1411"/>
      <c r="C267" s="1413"/>
      <c r="D267" s="124"/>
      <c r="E267" s="124"/>
      <c r="F267" s="124"/>
      <c r="G267" s="292"/>
      <c r="H267" s="291"/>
      <c r="I267" s="291"/>
      <c r="J267" s="291"/>
      <c r="K267" s="475">
        <f t="shared" si="14"/>
        <v>0</v>
      </c>
      <c r="L267" s="126">
        <f t="shared" si="15"/>
        <v>0</v>
      </c>
      <c r="M267" s="1431"/>
    </row>
    <row r="268" spans="2:13" x14ac:dyDescent="0.35">
      <c r="B268" s="1411"/>
      <c r="C268" s="1413"/>
      <c r="D268" s="124"/>
      <c r="E268" s="124"/>
      <c r="F268" s="124"/>
      <c r="G268" s="292"/>
      <c r="H268" s="291"/>
      <c r="I268" s="291"/>
      <c r="J268" s="291"/>
      <c r="K268" s="475">
        <f t="shared" si="14"/>
        <v>0</v>
      </c>
      <c r="L268" s="126">
        <f t="shared" si="15"/>
        <v>0</v>
      </c>
      <c r="M268" s="1431"/>
    </row>
    <row r="269" spans="2:13" x14ac:dyDescent="0.35">
      <c r="B269" s="1411"/>
      <c r="C269" s="1413"/>
      <c r="D269" s="124"/>
      <c r="E269" s="124"/>
      <c r="F269" s="124"/>
      <c r="G269" s="292"/>
      <c r="H269" s="291"/>
      <c r="I269" s="291"/>
      <c r="J269" s="291"/>
      <c r="K269" s="475">
        <f t="shared" si="14"/>
        <v>0</v>
      </c>
      <c r="L269" s="126">
        <f t="shared" si="15"/>
        <v>0</v>
      </c>
      <c r="M269" s="1431"/>
    </row>
    <row r="270" spans="2:13" x14ac:dyDescent="0.35">
      <c r="B270" s="1411"/>
      <c r="C270" s="1413"/>
      <c r="D270" s="124"/>
      <c r="E270" s="124"/>
      <c r="F270" s="124"/>
      <c r="G270" s="292"/>
      <c r="H270" s="291"/>
      <c r="I270" s="291"/>
      <c r="J270" s="291"/>
      <c r="K270" s="475">
        <f t="shared" si="14"/>
        <v>0</v>
      </c>
      <c r="L270" s="126">
        <f t="shared" si="15"/>
        <v>0</v>
      </c>
      <c r="M270" s="1431"/>
    </row>
    <row r="271" spans="2:13" x14ac:dyDescent="0.35">
      <c r="B271" s="1411"/>
      <c r="C271" s="1413"/>
      <c r="D271" s="124"/>
      <c r="E271" s="124"/>
      <c r="F271" s="124"/>
      <c r="G271" s="292"/>
      <c r="H271" s="291"/>
      <c r="I271" s="291"/>
      <c r="J271" s="291"/>
      <c r="K271" s="475">
        <f t="shared" si="14"/>
        <v>0</v>
      </c>
      <c r="L271" s="126">
        <f t="shared" si="15"/>
        <v>0</v>
      </c>
      <c r="M271" s="1431"/>
    </row>
    <row r="272" spans="2:13" x14ac:dyDescent="0.35">
      <c r="B272" s="1411"/>
      <c r="C272" s="1413"/>
      <c r="D272" s="124"/>
      <c r="E272" s="124"/>
      <c r="F272" s="124"/>
      <c r="G272" s="292"/>
      <c r="H272" s="291"/>
      <c r="I272" s="291"/>
      <c r="J272" s="291"/>
      <c r="K272" s="475">
        <f t="shared" si="14"/>
        <v>0</v>
      </c>
      <c r="L272" s="126">
        <f t="shared" si="15"/>
        <v>0</v>
      </c>
      <c r="M272" s="1431"/>
    </row>
    <row r="273" spans="2:13" ht="15" thickBot="1" x14ac:dyDescent="0.4">
      <c r="B273" s="1412"/>
      <c r="C273" s="1413"/>
      <c r="D273" s="136"/>
      <c r="E273" s="136"/>
      <c r="F273" s="136"/>
      <c r="G273" s="295"/>
      <c r="H273" s="296"/>
      <c r="I273" s="296"/>
      <c r="J273" s="296"/>
      <c r="K273" s="476">
        <f t="shared" si="14"/>
        <v>0</v>
      </c>
      <c r="L273" s="134">
        <f t="shared" si="15"/>
        <v>0</v>
      </c>
      <c r="M273" s="1432"/>
    </row>
    <row r="274" spans="2:13" x14ac:dyDescent="0.35">
      <c r="B274" s="1409" t="s">
        <v>339</v>
      </c>
      <c r="C274" s="1422" t="s">
        <v>206</v>
      </c>
      <c r="D274" s="1146" t="s">
        <v>599</v>
      </c>
      <c r="E274" s="1146" t="s">
        <v>600</v>
      </c>
      <c r="F274" s="1146" t="s">
        <v>404</v>
      </c>
      <c r="G274" s="1146" t="s">
        <v>429</v>
      </c>
      <c r="H274" s="297">
        <v>9740880</v>
      </c>
      <c r="I274" s="125">
        <v>386476</v>
      </c>
      <c r="J274" s="125">
        <v>174472</v>
      </c>
      <c r="K274" s="519">
        <f t="shared" ref="K274:K295" si="16">SUM(H274:J274)</f>
        <v>10301828</v>
      </c>
      <c r="L274" s="122">
        <f t="shared" si="15"/>
        <v>10740167.6</v>
      </c>
      <c r="M274" s="1430">
        <f>SUM(L274:L295)</f>
        <v>53499219.880000003</v>
      </c>
    </row>
    <row r="275" spans="2:13" x14ac:dyDescent="0.35">
      <c r="B275" s="1410"/>
      <c r="C275" s="1423"/>
      <c r="D275" s="1149" t="s">
        <v>451</v>
      </c>
      <c r="E275" s="1149" t="s">
        <v>601</v>
      </c>
      <c r="F275" s="1149" t="s">
        <v>427</v>
      </c>
      <c r="G275" s="1149" t="s">
        <v>429</v>
      </c>
      <c r="H275" s="291">
        <v>8550420</v>
      </c>
      <c r="I275" s="125">
        <v>386476</v>
      </c>
      <c r="J275" s="125">
        <v>174472</v>
      </c>
      <c r="K275" s="520">
        <f t="shared" si="16"/>
        <v>9111368</v>
      </c>
      <c r="L275" s="126">
        <f t="shared" si="15"/>
        <v>9496136.8999999985</v>
      </c>
      <c r="M275" s="1431"/>
    </row>
    <row r="276" spans="2:13" x14ac:dyDescent="0.35">
      <c r="B276" s="1410"/>
      <c r="C276" s="1423"/>
      <c r="D276" s="1149" t="s">
        <v>450</v>
      </c>
      <c r="E276" s="1149" t="s">
        <v>447</v>
      </c>
      <c r="F276" s="1149" t="s">
        <v>404</v>
      </c>
      <c r="G276" s="1149" t="s">
        <v>429</v>
      </c>
      <c r="H276" s="291">
        <v>10510152</v>
      </c>
      <c r="I276" s="125">
        <v>386476</v>
      </c>
      <c r="J276" s="125">
        <v>174472</v>
      </c>
      <c r="K276" s="520">
        <f t="shared" si="16"/>
        <v>11071100</v>
      </c>
      <c r="L276" s="126">
        <f t="shared" si="15"/>
        <v>11544056.84</v>
      </c>
      <c r="M276" s="1431"/>
    </row>
    <row r="277" spans="2:13" x14ac:dyDescent="0.35">
      <c r="B277" s="1410"/>
      <c r="C277" s="1423"/>
      <c r="D277" s="1149" t="s">
        <v>602</v>
      </c>
      <c r="E277" s="1149" t="s">
        <v>603</v>
      </c>
      <c r="F277" s="1149" t="s">
        <v>427</v>
      </c>
      <c r="G277" s="1149" t="s">
        <v>429</v>
      </c>
      <c r="H277" s="291">
        <v>11427132</v>
      </c>
      <c r="I277" s="125">
        <v>386476</v>
      </c>
      <c r="J277" s="125">
        <v>174472</v>
      </c>
      <c r="K277" s="520">
        <f t="shared" si="16"/>
        <v>11988080</v>
      </c>
      <c r="L277" s="126">
        <f t="shared" si="15"/>
        <v>12502300.939999999</v>
      </c>
      <c r="M277" s="1431"/>
    </row>
    <row r="278" spans="2:13" x14ac:dyDescent="0.35">
      <c r="B278" s="1410"/>
      <c r="C278" s="1423"/>
      <c r="D278" s="1149" t="s">
        <v>545</v>
      </c>
      <c r="E278" s="1149" t="s">
        <v>604</v>
      </c>
      <c r="F278" s="1149" t="s">
        <v>428</v>
      </c>
      <c r="G278" s="1149" t="s">
        <v>429</v>
      </c>
      <c r="H278" s="291">
        <v>8282880</v>
      </c>
      <c r="I278" s="125">
        <v>386476</v>
      </c>
      <c r="J278" s="125">
        <v>174472</v>
      </c>
      <c r="K278" s="520">
        <f t="shared" si="16"/>
        <v>8843828</v>
      </c>
      <c r="L278" s="126">
        <f t="shared" si="15"/>
        <v>9216557.5999999996</v>
      </c>
      <c r="M278" s="1431"/>
    </row>
    <row r="279" spans="2:13" x14ac:dyDescent="0.35">
      <c r="B279" s="1410"/>
      <c r="C279" s="1423"/>
      <c r="D279" s="124"/>
      <c r="E279" s="124"/>
      <c r="F279" s="124"/>
      <c r="G279" s="292"/>
      <c r="H279" s="291"/>
      <c r="I279" s="125"/>
      <c r="J279" s="125"/>
      <c r="K279" s="520">
        <f t="shared" si="16"/>
        <v>0</v>
      </c>
      <c r="L279" s="126">
        <f t="shared" si="15"/>
        <v>0</v>
      </c>
      <c r="M279" s="1431"/>
    </row>
    <row r="280" spans="2:13" x14ac:dyDescent="0.35">
      <c r="B280" s="1410"/>
      <c r="C280" s="1423"/>
      <c r="D280" s="124"/>
      <c r="E280" s="124"/>
      <c r="F280" s="124"/>
      <c r="G280" s="292"/>
      <c r="H280" s="291"/>
      <c r="I280" s="291"/>
      <c r="J280" s="522"/>
      <c r="K280" s="520">
        <f t="shared" si="16"/>
        <v>0</v>
      </c>
      <c r="L280" s="126">
        <f t="shared" si="15"/>
        <v>0</v>
      </c>
      <c r="M280" s="1431"/>
    </row>
    <row r="281" spans="2:13" x14ac:dyDescent="0.35">
      <c r="B281" s="1410"/>
      <c r="C281" s="1423"/>
      <c r="D281" s="124"/>
      <c r="E281" s="124"/>
      <c r="F281" s="124"/>
      <c r="G281" s="292"/>
      <c r="H281" s="291"/>
      <c r="I281" s="291"/>
      <c r="J281" s="522"/>
      <c r="K281" s="520">
        <f t="shared" si="16"/>
        <v>0</v>
      </c>
      <c r="L281" s="126">
        <f t="shared" si="15"/>
        <v>0</v>
      </c>
      <c r="M281" s="1431"/>
    </row>
    <row r="282" spans="2:13" x14ac:dyDescent="0.35">
      <c r="B282" s="1410"/>
      <c r="C282" s="1423"/>
      <c r="D282" s="124"/>
      <c r="E282" s="124"/>
      <c r="F282" s="124"/>
      <c r="G282" s="292"/>
      <c r="H282" s="291"/>
      <c r="I282" s="291"/>
      <c r="J282" s="522"/>
      <c r="K282" s="520">
        <f t="shared" si="16"/>
        <v>0</v>
      </c>
      <c r="L282" s="126">
        <f t="shared" si="15"/>
        <v>0</v>
      </c>
      <c r="M282" s="1431"/>
    </row>
    <row r="283" spans="2:13" x14ac:dyDescent="0.35">
      <c r="B283" s="1410"/>
      <c r="C283" s="1423"/>
      <c r="D283" s="124"/>
      <c r="E283" s="124"/>
      <c r="F283" s="124"/>
      <c r="G283" s="292"/>
      <c r="H283" s="291"/>
      <c r="I283" s="291"/>
      <c r="J283" s="522"/>
      <c r="K283" s="520">
        <f t="shared" si="16"/>
        <v>0</v>
      </c>
      <c r="L283" s="126">
        <f t="shared" si="15"/>
        <v>0</v>
      </c>
      <c r="M283" s="1431"/>
    </row>
    <row r="284" spans="2:13" ht="15" thickBot="1" x14ac:dyDescent="0.4">
      <c r="B284" s="1410"/>
      <c r="C284" s="1424"/>
      <c r="D284" s="129"/>
      <c r="E284" s="129"/>
      <c r="F284" s="129"/>
      <c r="G284" s="293"/>
      <c r="H284" s="294"/>
      <c r="I284" s="294"/>
      <c r="J284" s="523"/>
      <c r="K284" s="521">
        <f t="shared" si="16"/>
        <v>0</v>
      </c>
      <c r="L284" s="126">
        <f t="shared" si="15"/>
        <v>0</v>
      </c>
      <c r="M284" s="1431"/>
    </row>
    <row r="285" spans="2:13" x14ac:dyDescent="0.35">
      <c r="B285" s="1411"/>
      <c r="C285" s="1413" t="s">
        <v>207</v>
      </c>
      <c r="D285" s="140"/>
      <c r="E285" s="140"/>
      <c r="F285" s="140"/>
      <c r="G285" s="298"/>
      <c r="H285" s="299"/>
      <c r="I285" s="299"/>
      <c r="J285" s="299"/>
      <c r="K285" s="474">
        <f t="shared" si="16"/>
        <v>0</v>
      </c>
      <c r="L285" s="122">
        <f t="shared" si="15"/>
        <v>0</v>
      </c>
      <c r="M285" s="1431"/>
    </row>
    <row r="286" spans="2:13" x14ac:dyDescent="0.35">
      <c r="B286" s="1411"/>
      <c r="C286" s="1413"/>
      <c r="D286" s="124"/>
      <c r="E286" s="124"/>
      <c r="F286" s="124"/>
      <c r="G286" s="292"/>
      <c r="H286" s="291"/>
      <c r="I286" s="291"/>
      <c r="J286" s="291"/>
      <c r="K286" s="475">
        <f t="shared" si="16"/>
        <v>0</v>
      </c>
      <c r="L286" s="126">
        <f t="shared" si="15"/>
        <v>0</v>
      </c>
      <c r="M286" s="1431"/>
    </row>
    <row r="287" spans="2:13" x14ac:dyDescent="0.35">
      <c r="B287" s="1411"/>
      <c r="C287" s="1413"/>
      <c r="D287" s="124"/>
      <c r="E287" s="124"/>
      <c r="F287" s="124"/>
      <c r="G287" s="292"/>
      <c r="H287" s="291"/>
      <c r="I287" s="291"/>
      <c r="J287" s="291"/>
      <c r="K287" s="475">
        <f t="shared" si="16"/>
        <v>0</v>
      </c>
      <c r="L287" s="126">
        <f t="shared" si="15"/>
        <v>0</v>
      </c>
      <c r="M287" s="1431"/>
    </row>
    <row r="288" spans="2:13" x14ac:dyDescent="0.35">
      <c r="B288" s="1411"/>
      <c r="C288" s="1413"/>
      <c r="D288" s="124"/>
      <c r="E288" s="124"/>
      <c r="F288" s="124"/>
      <c r="G288" s="292"/>
      <c r="H288" s="291"/>
      <c r="I288" s="291"/>
      <c r="J288" s="291"/>
      <c r="K288" s="475">
        <f t="shared" si="16"/>
        <v>0</v>
      </c>
      <c r="L288" s="126">
        <f t="shared" si="15"/>
        <v>0</v>
      </c>
      <c r="M288" s="1431"/>
    </row>
    <row r="289" spans="2:13" x14ac:dyDescent="0.35">
      <c r="B289" s="1411"/>
      <c r="C289" s="1413"/>
      <c r="D289" s="124"/>
      <c r="E289" s="124"/>
      <c r="F289" s="124"/>
      <c r="G289" s="292"/>
      <c r="H289" s="291"/>
      <c r="I289" s="291"/>
      <c r="J289" s="291"/>
      <c r="K289" s="475">
        <f t="shared" si="16"/>
        <v>0</v>
      </c>
      <c r="L289" s="126">
        <f t="shared" si="15"/>
        <v>0</v>
      </c>
      <c r="M289" s="1431"/>
    </row>
    <row r="290" spans="2:13" x14ac:dyDescent="0.35">
      <c r="B290" s="1411"/>
      <c r="C290" s="1413"/>
      <c r="D290" s="124"/>
      <c r="E290" s="124"/>
      <c r="F290" s="124"/>
      <c r="G290" s="292"/>
      <c r="H290" s="291"/>
      <c r="I290" s="291"/>
      <c r="J290" s="291"/>
      <c r="K290" s="475">
        <f t="shared" si="16"/>
        <v>0</v>
      </c>
      <c r="L290" s="126">
        <f t="shared" si="15"/>
        <v>0</v>
      </c>
      <c r="M290" s="1431"/>
    </row>
    <row r="291" spans="2:13" x14ac:dyDescent="0.35">
      <c r="B291" s="1411"/>
      <c r="C291" s="1413"/>
      <c r="D291" s="124"/>
      <c r="E291" s="124"/>
      <c r="F291" s="124"/>
      <c r="G291" s="292"/>
      <c r="H291" s="291"/>
      <c r="I291" s="291"/>
      <c r="J291" s="291"/>
      <c r="K291" s="475">
        <f t="shared" si="16"/>
        <v>0</v>
      </c>
      <c r="L291" s="126">
        <f t="shared" si="15"/>
        <v>0</v>
      </c>
      <c r="M291" s="1431"/>
    </row>
    <row r="292" spans="2:13" x14ac:dyDescent="0.35">
      <c r="B292" s="1411"/>
      <c r="C292" s="1413"/>
      <c r="D292" s="124"/>
      <c r="E292" s="124"/>
      <c r="F292" s="124"/>
      <c r="G292" s="292"/>
      <c r="H292" s="291"/>
      <c r="I292" s="291"/>
      <c r="J292" s="291"/>
      <c r="K292" s="475">
        <f t="shared" si="16"/>
        <v>0</v>
      </c>
      <c r="L292" s="126">
        <f t="shared" si="15"/>
        <v>0</v>
      </c>
      <c r="M292" s="1431"/>
    </row>
    <row r="293" spans="2:13" x14ac:dyDescent="0.35">
      <c r="B293" s="1411"/>
      <c r="C293" s="1413"/>
      <c r="D293" s="124"/>
      <c r="E293" s="124"/>
      <c r="F293" s="124"/>
      <c r="G293" s="292"/>
      <c r="H293" s="291"/>
      <c r="I293" s="291"/>
      <c r="J293" s="291"/>
      <c r="K293" s="475">
        <f t="shared" si="16"/>
        <v>0</v>
      </c>
      <c r="L293" s="126">
        <f t="shared" si="15"/>
        <v>0</v>
      </c>
      <c r="M293" s="1431"/>
    </row>
    <row r="294" spans="2:13" x14ac:dyDescent="0.35">
      <c r="B294" s="1411"/>
      <c r="C294" s="1413"/>
      <c r="D294" s="124"/>
      <c r="E294" s="124"/>
      <c r="F294" s="124"/>
      <c r="G294" s="292"/>
      <c r="H294" s="291"/>
      <c r="I294" s="291"/>
      <c r="J294" s="291"/>
      <c r="K294" s="475">
        <f t="shared" si="16"/>
        <v>0</v>
      </c>
      <c r="L294" s="126">
        <f t="shared" si="15"/>
        <v>0</v>
      </c>
      <c r="M294" s="1431"/>
    </row>
    <row r="295" spans="2:13" ht="15" thickBot="1" x14ac:dyDescent="0.4">
      <c r="B295" s="1412"/>
      <c r="C295" s="1414"/>
      <c r="D295" s="129"/>
      <c r="E295" s="129"/>
      <c r="F295" s="129"/>
      <c r="G295" s="293"/>
      <c r="H295" s="294"/>
      <c r="I295" s="294"/>
      <c r="J295" s="294"/>
      <c r="K295" s="476">
        <f t="shared" si="16"/>
        <v>0</v>
      </c>
      <c r="L295" s="134">
        <f t="shared" si="15"/>
        <v>0</v>
      </c>
      <c r="M295" s="1432"/>
    </row>
    <row r="297" spans="2:13" x14ac:dyDescent="0.35">
      <c r="H297" s="544"/>
      <c r="K297" s="723"/>
      <c r="M297" s="544"/>
    </row>
    <row r="298" spans="2:13" x14ac:dyDescent="0.35">
      <c r="H298" s="544"/>
      <c r="K298" s="723"/>
    </row>
    <row r="299" spans="2:13" x14ac:dyDescent="0.35">
      <c r="G299" s="911"/>
      <c r="H299" s="912"/>
    </row>
  </sheetData>
  <mergeCells count="61">
    <mergeCell ref="M9:M10"/>
    <mergeCell ref="M136:M157"/>
    <mergeCell ref="C219:C229"/>
    <mergeCell ref="M114:M135"/>
    <mergeCell ref="M158:M179"/>
    <mergeCell ref="M11:M32"/>
    <mergeCell ref="J9:J10"/>
    <mergeCell ref="M180:M201"/>
    <mergeCell ref="B7:F7"/>
    <mergeCell ref="B9:B10"/>
    <mergeCell ref="C9:C10"/>
    <mergeCell ref="D9:D10"/>
    <mergeCell ref="E9:E10"/>
    <mergeCell ref="B274:B295"/>
    <mergeCell ref="C274:C284"/>
    <mergeCell ref="M274:M295"/>
    <mergeCell ref="C285:C295"/>
    <mergeCell ref="B92:B113"/>
    <mergeCell ref="C92:C102"/>
    <mergeCell ref="B252:B273"/>
    <mergeCell ref="C263:C273"/>
    <mergeCell ref="C103:C113"/>
    <mergeCell ref="M92:M113"/>
    <mergeCell ref="C202:C218"/>
    <mergeCell ref="C114:C124"/>
    <mergeCell ref="B180:B201"/>
    <mergeCell ref="M230:M251"/>
    <mergeCell ref="C191:C201"/>
    <mergeCell ref="C147:C157"/>
    <mergeCell ref="M252:M273"/>
    <mergeCell ref="B158:B179"/>
    <mergeCell ref="C22:C32"/>
    <mergeCell ref="B136:B157"/>
    <mergeCell ref="C81:C91"/>
    <mergeCell ref="M33:M69"/>
    <mergeCell ref="M70:M91"/>
    <mergeCell ref="B230:B251"/>
    <mergeCell ref="C70:C80"/>
    <mergeCell ref="B11:B32"/>
    <mergeCell ref="C33:C56"/>
    <mergeCell ref="B33:B69"/>
    <mergeCell ref="C57:C69"/>
    <mergeCell ref="C180:C190"/>
    <mergeCell ref="M202:M229"/>
    <mergeCell ref="C230:C240"/>
    <mergeCell ref="C252:C262"/>
    <mergeCell ref="C136:C146"/>
    <mergeCell ref="C11:C21"/>
    <mergeCell ref="L9:L10"/>
    <mergeCell ref="G9:G10"/>
    <mergeCell ref="C169:C179"/>
    <mergeCell ref="F9:F10"/>
    <mergeCell ref="I9:I10"/>
    <mergeCell ref="C241:C251"/>
    <mergeCell ref="B202:B229"/>
    <mergeCell ref="C125:C135"/>
    <mergeCell ref="H9:H10"/>
    <mergeCell ref="C158:C168"/>
    <mergeCell ref="K9:K10"/>
    <mergeCell ref="B114:B135"/>
    <mergeCell ref="B70:B91"/>
  </mergeCells>
  <hyperlinks>
    <hyperlink ref="B7:F7" location="'Índice Tablas '!A1" display="TABLA13: REMUNERACIONES DEL PERSONAL LEY 18.712 DE CENTROS DE BENEFICIOS" xr:uid="{00000000-0004-0000-0800-000000000000}"/>
  </hyperlinks>
  <pageMargins left="0.7" right="0.7" top="0.75" bottom="0.75" header="0.3" footer="0.3"/>
  <ignoredErrors>
    <ignoredError sqref="K12:K32 K92:K112 K34:K42 M33 K115:K167 H103:H108 H169:H176 J182 J181 H180:H182" unlockedFormula="1"/>
    <ignoredError sqref="K113" formula="1"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Instructivo</vt:lpstr>
      <vt:lpstr>Índice Tablas</vt:lpstr>
      <vt:lpstr>A) Resumen Ingresos y Egresos</vt:lpstr>
      <vt:lpstr>B) Reajuste Tarifas y Ocupación</vt:lpstr>
      <vt:lpstr>IVA</vt:lpstr>
      <vt:lpstr>% Reajuste</vt:lpstr>
      <vt:lpstr>C) Estimación Costos Directos</vt:lpstr>
      <vt:lpstr>D) Costos Indirectos </vt:lpstr>
      <vt:lpstr>F) Remuneraciones</vt:lpstr>
      <vt:lpstr>E) Resumen Tarifado </vt:lpstr>
      <vt:lpstr>G) Comparación Mercado</vt:lpstr>
      <vt:lpstr>H) Detalle Datos</vt:lpstr>
      <vt:lpstr>I) Costo Desayuno</vt:lpstr>
      <vt:lpstr>J) ESTRUCTURA ECONÓMICA MENS</vt:lpstr>
      <vt:lpstr>K)</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352 Joaquin Rodrigo</dc:creator>
  <cp:lastModifiedBy>Asistencia Recreativa</cp:lastModifiedBy>
  <cp:lastPrinted>2024-09-05T20:02:56Z</cp:lastPrinted>
  <dcterms:created xsi:type="dcterms:W3CDTF">2022-05-03T15:11:26Z</dcterms:created>
  <dcterms:modified xsi:type="dcterms:W3CDTF">2025-11-06T15:05:44Z</dcterms:modified>
</cp:coreProperties>
</file>