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G:\Documentos\2025\TARIFAS 2026\A. RECREATIVA\02. PROPUESTA DIREBIEN 2026\"/>
    </mc:Choice>
  </mc:AlternateContent>
  <xr:revisionPtr revIDLastSave="0" documentId="13_ncr:1_{468BC44B-3540-47E7-9ABE-EDAE6AF32BC1}" xr6:coauthVersionLast="47" xr6:coauthVersionMax="47" xr10:uidLastSave="{00000000-0000-0000-0000-000000000000}"/>
  <bookViews>
    <workbookView xWindow="-120" yWindow="-120" windowWidth="29040" windowHeight="15720" tabRatio="885" firstSheet="1" activeTab="3" xr2:uid="{00000000-000D-0000-FFFF-FFFF00000000}"/>
  </bookViews>
  <sheets>
    <sheet name="Tabla Instructivo" sheetId="13" r:id="rId1"/>
    <sheet name="Tabla Indice" sheetId="14" r:id="rId2"/>
    <sheet name="Analisis" sheetId="15" state="hidden" r:id="rId3"/>
    <sheet name="A) Resumen Ingresos y Egresos" sheetId="1" r:id="rId4"/>
    <sheet name="B) Reajuste Tarifas y Ocupación" sheetId="2" r:id="rId5"/>
    <sheet name="IVA" sheetId="17" state="hidden" r:id="rId6"/>
    <sheet name="% Reajuste" sheetId="16" state="hidden" r:id="rId7"/>
    <sheet name="C) Estimación Costos Directos" sheetId="3" r:id="rId8"/>
    <sheet name="D) Costos Indirectos " sheetId="4" r:id="rId9"/>
    <sheet name="E) Resumen Tarifado " sheetId="5" r:id="rId10"/>
    <sheet name="F) Remuneraciones" sheetId="6" r:id="rId11"/>
    <sheet name="G) Comparación Mercado" sheetId="7" r:id="rId12"/>
    <sheet name="H) Detalle Datos" sheetId="8" r:id="rId13"/>
    <sheet name="I)Estructua Económica Mensual" sheetId="9" r:id="rId14"/>
    <sheet name="J) Comparativa con Presupuesto" sheetId="11" state="hidden" r:id="rId15"/>
    <sheet name="K) " sheetId="12" state="hidden" r:id="rId16"/>
  </sheets>
  <externalReferences>
    <externalReference r:id="rId17"/>
  </externalReferences>
  <definedNames>
    <definedName name="_xlnm.Print_Area" localSheetId="4">'B) Reajuste Tarifas y Ocupación'!$S$10:$Y$19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 i="1" l="1"/>
  <c r="N12" i="1"/>
  <c r="N11" i="1"/>
  <c r="N10" i="1"/>
  <c r="N9" i="1"/>
  <c r="H295" i="3" l="1"/>
  <c r="H223" i="3"/>
  <c r="H222" i="3"/>
  <c r="H215" i="3"/>
  <c r="H216" i="3"/>
  <c r="H217" i="3"/>
  <c r="H218" i="3"/>
  <c r="H219" i="3"/>
  <c r="H220" i="3"/>
  <c r="H214" i="3"/>
  <c r="H205" i="3"/>
  <c r="H206" i="3"/>
  <c r="H207" i="3"/>
  <c r="H208" i="3"/>
  <c r="H209" i="3"/>
  <c r="H210" i="3"/>
  <c r="H211" i="3"/>
  <c r="H212" i="3"/>
  <c r="H204" i="3"/>
  <c r="H199" i="3"/>
  <c r="H200" i="3"/>
  <c r="H201" i="3"/>
  <c r="H202" i="3"/>
  <c r="H194" i="3"/>
  <c r="H195" i="3"/>
  <c r="H196" i="3"/>
  <c r="H197" i="3"/>
  <c r="H198" i="3"/>
  <c r="H193" i="3"/>
  <c r="G196" i="3"/>
  <c r="G295" i="3"/>
  <c r="G294" i="3"/>
  <c r="G287" i="3"/>
  <c r="G288" i="3"/>
  <c r="G289" i="3"/>
  <c r="G290" i="3"/>
  <c r="G291" i="3"/>
  <c r="G292" i="3"/>
  <c r="G286" i="3"/>
  <c r="G277" i="3"/>
  <c r="G278" i="3"/>
  <c r="G279" i="3"/>
  <c r="G280" i="3"/>
  <c r="G281" i="3"/>
  <c r="G282" i="3"/>
  <c r="G283" i="3"/>
  <c r="G284" i="3"/>
  <c r="G276" i="3"/>
  <c r="G266" i="3"/>
  <c r="G267" i="3"/>
  <c r="G268" i="3"/>
  <c r="G269" i="3"/>
  <c r="G270" i="3"/>
  <c r="G271" i="3"/>
  <c r="G272" i="3"/>
  <c r="G273" i="3"/>
  <c r="G274" i="3"/>
  <c r="G265" i="3"/>
  <c r="G263" i="3"/>
  <c r="G262" i="3"/>
  <c r="G258" i="3"/>
  <c r="G259" i="3"/>
  <c r="G260" i="3"/>
  <c r="G257" i="3"/>
  <c r="G237" i="3"/>
  <c r="G238" i="3"/>
  <c r="G239" i="3"/>
  <c r="G240" i="3"/>
  <c r="G241" i="3"/>
  <c r="G242" i="3"/>
  <c r="G243" i="3"/>
  <c r="G244" i="3"/>
  <c r="G245" i="3"/>
  <c r="G246" i="3"/>
  <c r="G247" i="3"/>
  <c r="G248" i="3"/>
  <c r="G249" i="3"/>
  <c r="G250" i="3"/>
  <c r="G251" i="3"/>
  <c r="G252" i="3"/>
  <c r="G253" i="3"/>
  <c r="G254" i="3"/>
  <c r="G236" i="3"/>
  <c r="G234" i="3"/>
  <c r="G231" i="3"/>
  <c r="G232" i="3"/>
  <c r="G230" i="3"/>
  <c r="G223" i="3"/>
  <c r="G222" i="3"/>
  <c r="G221" i="3" s="1"/>
  <c r="G215" i="3"/>
  <c r="G216" i="3"/>
  <c r="G217" i="3"/>
  <c r="G218" i="3"/>
  <c r="G219" i="3"/>
  <c r="G220" i="3"/>
  <c r="G214" i="3"/>
  <c r="G205" i="3"/>
  <c r="G206" i="3"/>
  <c r="G207" i="3"/>
  <c r="G208" i="3"/>
  <c r="G209" i="3"/>
  <c r="G210" i="3"/>
  <c r="G211" i="3"/>
  <c r="G212" i="3"/>
  <c r="G204" i="3"/>
  <c r="G194" i="3"/>
  <c r="G195" i="3"/>
  <c r="G197" i="3"/>
  <c r="G198" i="3"/>
  <c r="G199" i="3"/>
  <c r="G200" i="3"/>
  <c r="G201" i="3"/>
  <c r="G202" i="3"/>
  <c r="G193" i="3"/>
  <c r="H190" i="3"/>
  <c r="G191" i="3"/>
  <c r="G190" i="3"/>
  <c r="H186" i="3"/>
  <c r="H187" i="3"/>
  <c r="H188" i="3"/>
  <c r="H185" i="3"/>
  <c r="G186" i="3"/>
  <c r="G187" i="3"/>
  <c r="G188" i="3"/>
  <c r="G185" i="3"/>
  <c r="H165" i="3"/>
  <c r="H166" i="3"/>
  <c r="H167" i="3"/>
  <c r="H168" i="3"/>
  <c r="H169" i="3"/>
  <c r="H170" i="3"/>
  <c r="H171" i="3"/>
  <c r="H172" i="3"/>
  <c r="H173" i="3"/>
  <c r="H174" i="3"/>
  <c r="H175" i="3"/>
  <c r="H176" i="3"/>
  <c r="H177" i="3"/>
  <c r="H178" i="3"/>
  <c r="H179" i="3"/>
  <c r="H180" i="3"/>
  <c r="H181" i="3"/>
  <c r="H182" i="3"/>
  <c r="H164" i="3"/>
  <c r="G165" i="3"/>
  <c r="G166" i="3"/>
  <c r="G167" i="3"/>
  <c r="G168" i="3"/>
  <c r="G169" i="3"/>
  <c r="G170" i="3"/>
  <c r="G171" i="3"/>
  <c r="G172" i="3"/>
  <c r="G173" i="3"/>
  <c r="G174" i="3"/>
  <c r="G175" i="3"/>
  <c r="G176" i="3"/>
  <c r="G177" i="3"/>
  <c r="G178" i="3"/>
  <c r="G179" i="3"/>
  <c r="G180" i="3"/>
  <c r="G181" i="3"/>
  <c r="G182" i="3"/>
  <c r="G164" i="3"/>
  <c r="H162" i="3"/>
  <c r="G162" i="3"/>
  <c r="H158" i="3"/>
  <c r="H159" i="3"/>
  <c r="H160" i="3"/>
  <c r="G159" i="3"/>
  <c r="G160" i="3"/>
  <c r="G158" i="3"/>
  <c r="H151" i="3"/>
  <c r="H150" i="3"/>
  <c r="G151" i="3"/>
  <c r="G150" i="3"/>
  <c r="H143" i="3"/>
  <c r="H144" i="3"/>
  <c r="H145" i="3"/>
  <c r="H146" i="3"/>
  <c r="H147" i="3"/>
  <c r="H148" i="3"/>
  <c r="H142" i="3"/>
  <c r="G143" i="3"/>
  <c r="G144" i="3"/>
  <c r="G145" i="3"/>
  <c r="G146" i="3"/>
  <c r="G147" i="3"/>
  <c r="G148" i="3"/>
  <c r="G142" i="3"/>
  <c r="H133" i="3"/>
  <c r="H134" i="3"/>
  <c r="H135" i="3"/>
  <c r="H136" i="3"/>
  <c r="H137" i="3"/>
  <c r="H138" i="3"/>
  <c r="H139" i="3"/>
  <c r="H140" i="3"/>
  <c r="H132" i="3"/>
  <c r="G133" i="3"/>
  <c r="G134" i="3"/>
  <c r="G135" i="3"/>
  <c r="G136" i="3"/>
  <c r="G137" i="3"/>
  <c r="G138" i="3"/>
  <c r="G139" i="3"/>
  <c r="G140" i="3"/>
  <c r="G132" i="3"/>
  <c r="H122" i="3"/>
  <c r="H123" i="3"/>
  <c r="H124" i="3"/>
  <c r="H125" i="3"/>
  <c r="H126" i="3"/>
  <c r="H127" i="3"/>
  <c r="H128" i="3"/>
  <c r="H129" i="3"/>
  <c r="H130" i="3"/>
  <c r="H121" i="3"/>
  <c r="G122" i="3"/>
  <c r="G123" i="3"/>
  <c r="G124" i="3"/>
  <c r="G125" i="3"/>
  <c r="G126" i="3"/>
  <c r="G127" i="3"/>
  <c r="G128" i="3"/>
  <c r="G129" i="3"/>
  <c r="G130" i="3"/>
  <c r="G121" i="3"/>
  <c r="H119" i="3"/>
  <c r="H118" i="3"/>
  <c r="G119" i="3"/>
  <c r="G118" i="3"/>
  <c r="H115" i="3"/>
  <c r="H116" i="3"/>
  <c r="G114" i="3"/>
  <c r="H114" i="3" s="1"/>
  <c r="G115" i="3"/>
  <c r="G116" i="3"/>
  <c r="G113" i="3"/>
  <c r="H113" i="3" s="1"/>
  <c r="H93" i="3"/>
  <c r="H94" i="3"/>
  <c r="H95" i="3"/>
  <c r="H97" i="3"/>
  <c r="H98" i="3"/>
  <c r="H99" i="3"/>
  <c r="H100" i="3"/>
  <c r="H101" i="3"/>
  <c r="H102" i="3"/>
  <c r="H103" i="3"/>
  <c r="H104" i="3"/>
  <c r="H105" i="3"/>
  <c r="H106" i="3"/>
  <c r="H107" i="3"/>
  <c r="H108" i="3"/>
  <c r="H109" i="3"/>
  <c r="H110" i="3"/>
  <c r="H92" i="3"/>
  <c r="G93" i="3"/>
  <c r="G94" i="3"/>
  <c r="G95" i="3"/>
  <c r="G96" i="3"/>
  <c r="H96" i="3" s="1"/>
  <c r="G97" i="3"/>
  <c r="G98" i="3"/>
  <c r="G99" i="3"/>
  <c r="G100" i="3"/>
  <c r="G101" i="3"/>
  <c r="G102" i="3"/>
  <c r="G103" i="3"/>
  <c r="G104" i="3"/>
  <c r="G105" i="3"/>
  <c r="G106" i="3"/>
  <c r="G107" i="3"/>
  <c r="G108" i="3"/>
  <c r="G109" i="3"/>
  <c r="G110" i="3"/>
  <c r="G92" i="3"/>
  <c r="H90" i="3"/>
  <c r="G90" i="3"/>
  <c r="H86" i="3"/>
  <c r="H87" i="3"/>
  <c r="H88" i="3"/>
  <c r="G87" i="3"/>
  <c r="G88" i="3"/>
  <c r="G86" i="3"/>
  <c r="H79" i="3"/>
  <c r="H78" i="3"/>
  <c r="G79" i="3"/>
  <c r="G78" i="3"/>
  <c r="H71" i="3"/>
  <c r="H72" i="3"/>
  <c r="H73" i="3"/>
  <c r="H74" i="3"/>
  <c r="H75" i="3"/>
  <c r="H76" i="3"/>
  <c r="H70" i="3"/>
  <c r="G71" i="3"/>
  <c r="G72" i="3"/>
  <c r="G73" i="3"/>
  <c r="G74" i="3"/>
  <c r="G75" i="3"/>
  <c r="G76" i="3"/>
  <c r="G70" i="3"/>
  <c r="G61" i="3"/>
  <c r="H61" i="3" s="1"/>
  <c r="G62" i="3"/>
  <c r="G63" i="3"/>
  <c r="G64" i="3"/>
  <c r="G65" i="3"/>
  <c r="H65" i="3" s="1"/>
  <c r="G66" i="3"/>
  <c r="H66" i="3" s="1"/>
  <c r="G67" i="3"/>
  <c r="H67" i="3" s="1"/>
  <c r="G68" i="3"/>
  <c r="H68" i="3" s="1"/>
  <c r="G60" i="3"/>
  <c r="H60" i="3" s="1"/>
  <c r="H62" i="3"/>
  <c r="H63" i="3"/>
  <c r="H64" i="3"/>
  <c r="G50" i="3"/>
  <c r="G51" i="3"/>
  <c r="G52" i="3"/>
  <c r="H52" i="3" s="1"/>
  <c r="G53" i="3"/>
  <c r="G54" i="3"/>
  <c r="H54" i="3" s="1"/>
  <c r="G55" i="3"/>
  <c r="H55" i="3" s="1"/>
  <c r="G56" i="3"/>
  <c r="H56" i="3" s="1"/>
  <c r="G57" i="3"/>
  <c r="H57" i="3" s="1"/>
  <c r="G58" i="3"/>
  <c r="H58" i="3" s="1"/>
  <c r="G49" i="3"/>
  <c r="H50" i="3"/>
  <c r="H51" i="3"/>
  <c r="H53" i="3"/>
  <c r="H49" i="3"/>
  <c r="H47" i="3"/>
  <c r="H46" i="3"/>
  <c r="H42" i="3"/>
  <c r="H43" i="3"/>
  <c r="H44" i="3"/>
  <c r="H41" i="3"/>
  <c r="H40" i="3"/>
  <c r="G47" i="3"/>
  <c r="G46" i="3"/>
  <c r="G42" i="3"/>
  <c r="G43" i="3"/>
  <c r="G44" i="3"/>
  <c r="G41" i="3"/>
  <c r="G18" i="3"/>
  <c r="G15" i="3"/>
  <c r="G16" i="3"/>
  <c r="G14" i="3"/>
  <c r="H21" i="3"/>
  <c r="H22" i="3"/>
  <c r="H23" i="3"/>
  <c r="H25" i="3"/>
  <c r="H26" i="3"/>
  <c r="H27" i="3"/>
  <c r="H28" i="3"/>
  <c r="H29" i="3"/>
  <c r="H30" i="3"/>
  <c r="H31" i="3"/>
  <c r="H32" i="3"/>
  <c r="H33" i="3"/>
  <c r="H34" i="3"/>
  <c r="H35" i="3"/>
  <c r="H36" i="3"/>
  <c r="H37" i="3"/>
  <c r="H38" i="3"/>
  <c r="H20" i="3"/>
  <c r="G21" i="3"/>
  <c r="G22" i="3"/>
  <c r="G23" i="3"/>
  <c r="G24" i="3"/>
  <c r="H24" i="3" s="1"/>
  <c r="G25" i="3"/>
  <c r="G26" i="3"/>
  <c r="G27" i="3"/>
  <c r="G28" i="3"/>
  <c r="G29" i="3"/>
  <c r="G30" i="3"/>
  <c r="G31" i="3"/>
  <c r="G32" i="3"/>
  <c r="G33" i="3"/>
  <c r="G34" i="3"/>
  <c r="G35" i="3"/>
  <c r="G36" i="3"/>
  <c r="G37" i="3"/>
  <c r="G38" i="3"/>
  <c r="G20" i="3"/>
  <c r="G19" i="3" l="1"/>
  <c r="L7" i="17" l="1"/>
  <c r="L8" i="17"/>
  <c r="L10" i="17"/>
  <c r="L11" i="17"/>
  <c r="L12" i="17"/>
  <c r="L5" i="17"/>
  <c r="K7" i="17"/>
  <c r="K8" i="17"/>
  <c r="K10" i="17"/>
  <c r="K11" i="17"/>
  <c r="K12" i="17"/>
  <c r="K5" i="17"/>
  <c r="I7" i="17"/>
  <c r="I8" i="17"/>
  <c r="I10" i="17"/>
  <c r="I11" i="17"/>
  <c r="I12" i="17"/>
  <c r="H7" i="17"/>
  <c r="H8" i="17"/>
  <c r="H10" i="17"/>
  <c r="H11" i="17"/>
  <c r="H12" i="17"/>
  <c r="I5" i="17"/>
  <c r="H5" i="17"/>
  <c r="K12" i="2"/>
  <c r="M12" i="2" l="1"/>
  <c r="L12" i="2"/>
  <c r="J11" i="16" l="1"/>
  <c r="I11" i="16"/>
  <c r="I4" i="16" l="1"/>
  <c r="J4" i="16"/>
  <c r="M4" i="16" s="1"/>
  <c r="I5" i="16"/>
  <c r="J5" i="16"/>
  <c r="M11" i="16"/>
  <c r="L4" i="16"/>
  <c r="J6" i="16"/>
  <c r="M6" i="16" s="1"/>
  <c r="J7" i="16"/>
  <c r="M7" i="16" s="1"/>
  <c r="J8" i="16"/>
  <c r="J9" i="16"/>
  <c r="M9" i="16" s="1"/>
  <c r="J10" i="16"/>
  <c r="M10" i="16" s="1"/>
  <c r="R16" i="5" s="1"/>
  <c r="I6" i="16"/>
  <c r="L6" i="16" s="1"/>
  <c r="I7" i="16"/>
  <c r="L7" i="16" s="1"/>
  <c r="I8" i="16"/>
  <c r="I9" i="16"/>
  <c r="L9" i="16" s="1"/>
  <c r="I10" i="16"/>
  <c r="L10" i="16" s="1"/>
  <c r="Q16" i="5" s="1"/>
  <c r="L11" i="16"/>
  <c r="K89" i="4"/>
  <c r="J89" i="4"/>
  <c r="K88" i="4"/>
  <c r="J88" i="4"/>
  <c r="K87" i="4"/>
  <c r="J87" i="4"/>
  <c r="K86" i="4"/>
  <c r="J86" i="4"/>
  <c r="K85" i="4"/>
  <c r="J85" i="4"/>
  <c r="K81" i="4"/>
  <c r="J81" i="4"/>
  <c r="K80" i="4"/>
  <c r="J80" i="4"/>
  <c r="K79" i="4"/>
  <c r="J79" i="4"/>
  <c r="W78" i="4"/>
  <c r="K78" i="4"/>
  <c r="J78" i="4"/>
  <c r="K77" i="4"/>
  <c r="J77" i="4"/>
  <c r="K73" i="4"/>
  <c r="J73" i="4"/>
  <c r="K72" i="4"/>
  <c r="J72" i="4"/>
  <c r="K71" i="4"/>
  <c r="J71" i="4"/>
  <c r="W70" i="4"/>
  <c r="K70" i="4"/>
  <c r="J70" i="4"/>
  <c r="K69" i="4"/>
  <c r="J69" i="4"/>
  <c r="S61" i="4"/>
  <c r="K61" i="4"/>
  <c r="R61" i="4" s="1"/>
  <c r="J61" i="4"/>
  <c r="W60" i="4"/>
  <c r="S60" i="4"/>
  <c r="K60" i="4"/>
  <c r="N60" i="4" s="1"/>
  <c r="J60" i="4"/>
  <c r="S59" i="4"/>
  <c r="K59" i="4"/>
  <c r="R59" i="4" s="1"/>
  <c r="J59" i="4"/>
  <c r="S58" i="4"/>
  <c r="K58" i="4"/>
  <c r="J58" i="4"/>
  <c r="S57" i="4"/>
  <c r="K57" i="4"/>
  <c r="N57" i="4" s="1"/>
  <c r="J57" i="4"/>
  <c r="S56" i="4"/>
  <c r="K56" i="4"/>
  <c r="R56" i="4" s="1"/>
  <c r="J56" i="4"/>
  <c r="S55" i="4"/>
  <c r="K55" i="4"/>
  <c r="R55" i="4" s="1"/>
  <c r="J55" i="4"/>
  <c r="S54" i="4"/>
  <c r="K54" i="4"/>
  <c r="R54" i="4" s="1"/>
  <c r="J54" i="4"/>
  <c r="S53" i="4"/>
  <c r="K53" i="4"/>
  <c r="R53" i="4" s="1"/>
  <c r="J53" i="4"/>
  <c r="S52" i="4"/>
  <c r="K52" i="4"/>
  <c r="R52" i="4" s="1"/>
  <c r="J52" i="4"/>
  <c r="S51" i="4"/>
  <c r="K51" i="4"/>
  <c r="R51" i="4" s="1"/>
  <c r="J51" i="4"/>
  <c r="S50" i="4"/>
  <c r="K50" i="4"/>
  <c r="R50" i="4" s="1"/>
  <c r="J50" i="4"/>
  <c r="W49" i="4"/>
  <c r="S49" i="4"/>
  <c r="K49" i="4"/>
  <c r="N49" i="4" s="1"/>
  <c r="J49" i="4"/>
  <c r="S48" i="4"/>
  <c r="K48" i="4"/>
  <c r="R48" i="4" s="1"/>
  <c r="J48" i="4"/>
  <c r="S47" i="4"/>
  <c r="K47" i="4"/>
  <c r="N47" i="4" s="1"/>
  <c r="J47" i="4"/>
  <c r="W46" i="4"/>
  <c r="S46" i="4"/>
  <c r="K46" i="4"/>
  <c r="R46" i="4" s="1"/>
  <c r="J46" i="4"/>
  <c r="S45" i="4"/>
  <c r="K45" i="4"/>
  <c r="R45" i="4" s="1"/>
  <c r="J45" i="4"/>
  <c r="S44" i="4"/>
  <c r="K44" i="4"/>
  <c r="R44" i="4" s="1"/>
  <c r="J44" i="4"/>
  <c r="S43" i="4"/>
  <c r="K43" i="4"/>
  <c r="R43" i="4" s="1"/>
  <c r="J43" i="4"/>
  <c r="S42" i="4"/>
  <c r="K42" i="4"/>
  <c r="R42" i="4" s="1"/>
  <c r="J42" i="4"/>
  <c r="W41" i="4"/>
  <c r="S41" i="4"/>
  <c r="K41" i="4"/>
  <c r="R41" i="4" s="1"/>
  <c r="J41" i="4"/>
  <c r="S40" i="4"/>
  <c r="K40" i="4"/>
  <c r="R40" i="4" s="1"/>
  <c r="J40" i="4"/>
  <c r="S39" i="4"/>
  <c r="K39" i="4"/>
  <c r="N39" i="4" s="1"/>
  <c r="J39" i="4"/>
  <c r="S38" i="4"/>
  <c r="K38" i="4"/>
  <c r="R38" i="4" s="1"/>
  <c r="J38" i="4"/>
  <c r="S37" i="4"/>
  <c r="K37" i="4"/>
  <c r="P37" i="4" s="1"/>
  <c r="J37" i="4"/>
  <c r="S36" i="4"/>
  <c r="K36" i="4"/>
  <c r="R36" i="4" s="1"/>
  <c r="J36" i="4"/>
  <c r="K35" i="4"/>
  <c r="R35" i="4" s="1"/>
  <c r="J35" i="4"/>
  <c r="S34" i="4"/>
  <c r="K34" i="4"/>
  <c r="N34" i="4" s="1"/>
  <c r="J34" i="4"/>
  <c r="S33" i="4"/>
  <c r="K33" i="4"/>
  <c r="R33" i="4" s="1"/>
  <c r="J33" i="4"/>
  <c r="S32" i="4"/>
  <c r="P32" i="4"/>
  <c r="K32" i="4"/>
  <c r="N32" i="4" s="1"/>
  <c r="J32" i="4"/>
  <c r="S31" i="4"/>
  <c r="K31" i="4"/>
  <c r="R31" i="4" s="1"/>
  <c r="J31" i="4"/>
  <c r="S30" i="4"/>
  <c r="K30" i="4"/>
  <c r="N30" i="4" s="1"/>
  <c r="J30" i="4"/>
  <c r="S29" i="4"/>
  <c r="K29" i="4"/>
  <c r="R29" i="4" s="1"/>
  <c r="J29" i="4"/>
  <c r="S28" i="4"/>
  <c r="K28" i="4"/>
  <c r="N28" i="4" s="1"/>
  <c r="J28" i="4"/>
  <c r="S27" i="4"/>
  <c r="K27" i="4"/>
  <c r="R27" i="4" s="1"/>
  <c r="J27" i="4"/>
  <c r="S26" i="4"/>
  <c r="K26" i="4"/>
  <c r="N26" i="4" s="1"/>
  <c r="J26" i="4"/>
  <c r="S25" i="4"/>
  <c r="K25" i="4"/>
  <c r="R25" i="4" s="1"/>
  <c r="J25" i="4"/>
  <c r="S24" i="4"/>
  <c r="K24" i="4"/>
  <c r="N24" i="4" s="1"/>
  <c r="J24" i="4"/>
  <c r="S23" i="4"/>
  <c r="K23" i="4"/>
  <c r="R23" i="4" s="1"/>
  <c r="J23" i="4"/>
  <c r="S22" i="4"/>
  <c r="K22" i="4"/>
  <c r="N22" i="4" s="1"/>
  <c r="J22" i="4"/>
  <c r="S21" i="4"/>
  <c r="K21" i="4"/>
  <c r="R21" i="4" s="1"/>
  <c r="J21" i="4"/>
  <c r="W20" i="4"/>
  <c r="S20" i="4"/>
  <c r="K20" i="4"/>
  <c r="R20" i="4" s="1"/>
  <c r="J20" i="4"/>
  <c r="S19" i="4"/>
  <c r="K19" i="4"/>
  <c r="N19" i="4" s="1"/>
  <c r="J19" i="4"/>
  <c r="S18" i="4"/>
  <c r="K18" i="4"/>
  <c r="R18" i="4" s="1"/>
  <c r="J18" i="4"/>
  <c r="S17" i="4"/>
  <c r="K17" i="4"/>
  <c r="R17" i="4" s="1"/>
  <c r="J17" i="4"/>
  <c r="W16" i="4"/>
  <c r="S16" i="4"/>
  <c r="K16" i="4"/>
  <c r="R16" i="4" s="1"/>
  <c r="J16" i="4"/>
  <c r="S15" i="4"/>
  <c r="K15" i="4"/>
  <c r="N15" i="4" s="1"/>
  <c r="J15" i="4"/>
  <c r="K19" i="2"/>
  <c r="D47" i="1"/>
  <c r="E47" i="1"/>
  <c r="F47" i="1"/>
  <c r="G47" i="1"/>
  <c r="I11" i="6"/>
  <c r="L11" i="6" s="1"/>
  <c r="I12" i="6"/>
  <c r="L12" i="6" s="1"/>
  <c r="I13" i="6"/>
  <c r="L13" i="6" s="1"/>
  <c r="I14" i="6"/>
  <c r="L14" i="6" s="1"/>
  <c r="I15" i="6"/>
  <c r="L15" i="6" s="1"/>
  <c r="I16" i="6"/>
  <c r="L16" i="6" s="1"/>
  <c r="I17" i="6"/>
  <c r="L17" i="6" s="1"/>
  <c r="I18" i="6"/>
  <c r="L18" i="6" s="1"/>
  <c r="I19" i="6"/>
  <c r="L19" i="6" s="1"/>
  <c r="I20" i="6"/>
  <c r="L20" i="6" s="1"/>
  <c r="I21" i="6"/>
  <c r="L21" i="6" s="1"/>
  <c r="I22" i="6"/>
  <c r="L22" i="6" s="1"/>
  <c r="I23" i="6"/>
  <c r="L23" i="6" s="1"/>
  <c r="I24" i="6"/>
  <c r="L24" i="6" s="1"/>
  <c r="I25" i="6"/>
  <c r="L25" i="6" s="1"/>
  <c r="I26" i="6"/>
  <c r="L26" i="6" s="1"/>
  <c r="I27" i="6"/>
  <c r="L27" i="6" s="1"/>
  <c r="H17" i="3"/>
  <c r="H45" i="3"/>
  <c r="G69" i="3"/>
  <c r="H9" i="1"/>
  <c r="H77" i="3"/>
  <c r="H117" i="3"/>
  <c r="G117" i="3"/>
  <c r="G91" i="3"/>
  <c r="I28" i="6"/>
  <c r="L28" i="6" s="1"/>
  <c r="I29" i="6"/>
  <c r="L29" i="6" s="1"/>
  <c r="I30" i="6"/>
  <c r="L30" i="6" s="1"/>
  <c r="I31" i="6"/>
  <c r="L31" i="6" s="1"/>
  <c r="I32" i="6"/>
  <c r="L32" i="6" s="1"/>
  <c r="I33" i="6"/>
  <c r="L33" i="6" s="1"/>
  <c r="I34" i="6"/>
  <c r="L34" i="6" s="1"/>
  <c r="I35" i="6"/>
  <c r="L35" i="6" s="1"/>
  <c r="I36" i="6"/>
  <c r="L36" i="6" s="1"/>
  <c r="I37" i="6"/>
  <c r="L37" i="6" s="1"/>
  <c r="I38" i="6"/>
  <c r="L38" i="6" s="1"/>
  <c r="I39" i="6"/>
  <c r="L39" i="6" s="1"/>
  <c r="I40" i="6"/>
  <c r="L40" i="6" s="1"/>
  <c r="I41" i="6"/>
  <c r="L41" i="6" s="1"/>
  <c r="I42" i="6"/>
  <c r="L42" i="6" s="1"/>
  <c r="I43" i="6"/>
  <c r="L43" i="6" s="1"/>
  <c r="I44" i="6"/>
  <c r="L44" i="6" s="1"/>
  <c r="G85" i="3"/>
  <c r="G84" i="3" s="1"/>
  <c r="H89" i="3"/>
  <c r="H131" i="3"/>
  <c r="G131" i="3"/>
  <c r="G141" i="3"/>
  <c r="H149" i="3"/>
  <c r="H189" i="3"/>
  <c r="G163" i="3"/>
  <c r="I45" i="6"/>
  <c r="L45" i="6" s="1"/>
  <c r="I46" i="6"/>
  <c r="I47" i="6"/>
  <c r="L47" i="6" s="1"/>
  <c r="I48" i="6"/>
  <c r="L48" i="6" s="1"/>
  <c r="I49" i="6"/>
  <c r="L49" i="6" s="1"/>
  <c r="I50" i="6"/>
  <c r="L50" i="6" s="1"/>
  <c r="I51" i="6"/>
  <c r="L51" i="6" s="1"/>
  <c r="I52" i="6"/>
  <c r="L52" i="6" s="1"/>
  <c r="I53" i="6"/>
  <c r="L53" i="6" s="1"/>
  <c r="I54" i="6"/>
  <c r="I55" i="6"/>
  <c r="L55" i="6" s="1"/>
  <c r="I56" i="6"/>
  <c r="L56" i="6" s="1"/>
  <c r="I57" i="6"/>
  <c r="L57" i="6" s="1"/>
  <c r="I58" i="6"/>
  <c r="L58" i="6"/>
  <c r="I59" i="6"/>
  <c r="L59" i="6" s="1"/>
  <c r="I60" i="6"/>
  <c r="L60" i="6" s="1"/>
  <c r="I61" i="6"/>
  <c r="L61" i="6" s="1"/>
  <c r="G157" i="3"/>
  <c r="H161" i="3"/>
  <c r="G192" i="3"/>
  <c r="H192" i="3"/>
  <c r="H221" i="3"/>
  <c r="H293" i="3"/>
  <c r="H256" i="3"/>
  <c r="H264" i="3"/>
  <c r="G12" i="1"/>
  <c r="H285" i="3"/>
  <c r="I62" i="6"/>
  <c r="L62" i="6" s="1"/>
  <c r="I63" i="6"/>
  <c r="L63" i="6" s="1"/>
  <c r="I64" i="6"/>
  <c r="L64" i="6" s="1"/>
  <c r="I65" i="6"/>
  <c r="L65" i="6" s="1"/>
  <c r="I66" i="6"/>
  <c r="L66" i="6" s="1"/>
  <c r="I67" i="6"/>
  <c r="L67" i="6" s="1"/>
  <c r="I68" i="6"/>
  <c r="L68" i="6" s="1"/>
  <c r="I69" i="6"/>
  <c r="L69" i="6" s="1"/>
  <c r="I70" i="6"/>
  <c r="I71" i="6"/>
  <c r="L71" i="6" s="1"/>
  <c r="I72" i="6"/>
  <c r="L72" i="6" s="1"/>
  <c r="I73" i="6"/>
  <c r="L73" i="6" s="1"/>
  <c r="I74" i="6"/>
  <c r="L74" i="6" s="1"/>
  <c r="I75" i="6"/>
  <c r="L75" i="6" s="1"/>
  <c r="I76" i="6"/>
  <c r="L76" i="6"/>
  <c r="I77" i="6"/>
  <c r="L77" i="6" s="1"/>
  <c r="I78" i="6"/>
  <c r="L78" i="6" s="1"/>
  <c r="G229" i="3"/>
  <c r="H233" i="3"/>
  <c r="G235" i="3"/>
  <c r="H12" i="1"/>
  <c r="F12" i="1"/>
  <c r="D23" i="1"/>
  <c r="E23" i="1"/>
  <c r="F23" i="1"/>
  <c r="G23" i="1"/>
  <c r="E29" i="1"/>
  <c r="F29" i="1"/>
  <c r="G29" i="1"/>
  <c r="K15" i="2"/>
  <c r="D33" i="1"/>
  <c r="E33" i="1"/>
  <c r="F33" i="1"/>
  <c r="G33" i="1"/>
  <c r="E39" i="1"/>
  <c r="F39" i="1"/>
  <c r="G39" i="1"/>
  <c r="K18" i="2"/>
  <c r="D43" i="1"/>
  <c r="E43" i="1"/>
  <c r="G43" i="1"/>
  <c r="F43" i="1"/>
  <c r="O53" i="9"/>
  <c r="O54" i="9"/>
  <c r="O52" i="9"/>
  <c r="O41" i="9"/>
  <c r="O42" i="9"/>
  <c r="O40" i="9"/>
  <c r="O29" i="9"/>
  <c r="O30" i="9"/>
  <c r="O28" i="9"/>
  <c r="O17" i="9"/>
  <c r="O18" i="9"/>
  <c r="O16" i="9"/>
  <c r="D19" i="3"/>
  <c r="K48" i="9"/>
  <c r="N48" i="9" s="1"/>
  <c r="O48" i="9" s="1"/>
  <c r="C48" i="9"/>
  <c r="K36" i="9"/>
  <c r="C36" i="9"/>
  <c r="N36" i="9"/>
  <c r="K24" i="9"/>
  <c r="C24" i="9"/>
  <c r="K12" i="9"/>
  <c r="C12" i="9"/>
  <c r="N12" i="9" s="1"/>
  <c r="M19" i="7"/>
  <c r="O17" i="15"/>
  <c r="O19" i="15" s="1"/>
  <c r="O20" i="15" s="1"/>
  <c r="O22" i="15" s="1"/>
  <c r="K3" i="15" s="1"/>
  <c r="C34" i="15"/>
  <c r="D34" i="15" s="1"/>
  <c r="C72" i="15"/>
  <c r="D71" i="15"/>
  <c r="D70" i="15"/>
  <c r="D66" i="15"/>
  <c r="E66" i="15"/>
  <c r="F66" i="15"/>
  <c r="G66" i="15"/>
  <c r="H66" i="15"/>
  <c r="I66" i="15"/>
  <c r="J66" i="15"/>
  <c r="K66" i="15"/>
  <c r="L66" i="15"/>
  <c r="M66" i="15"/>
  <c r="N66" i="15"/>
  <c r="O66" i="15"/>
  <c r="C66" i="15"/>
  <c r="C60" i="15"/>
  <c r="D59" i="15"/>
  <c r="D58" i="15"/>
  <c r="D54" i="15"/>
  <c r="E54" i="15"/>
  <c r="F54" i="15"/>
  <c r="G54" i="15"/>
  <c r="H54" i="15"/>
  <c r="I54" i="15"/>
  <c r="J54" i="15"/>
  <c r="K54" i="15"/>
  <c r="L54" i="15"/>
  <c r="M54" i="15"/>
  <c r="N54" i="15"/>
  <c r="O54" i="15"/>
  <c r="C54" i="15"/>
  <c r="D47" i="15"/>
  <c r="D48" i="15" s="1"/>
  <c r="D46" i="15"/>
  <c r="C48" i="15"/>
  <c r="D42" i="15"/>
  <c r="E42" i="15"/>
  <c r="F42" i="15"/>
  <c r="G42" i="15"/>
  <c r="H42" i="15"/>
  <c r="I42" i="15"/>
  <c r="J42" i="15"/>
  <c r="K42" i="15"/>
  <c r="L42" i="15"/>
  <c r="M42" i="15"/>
  <c r="N42" i="15"/>
  <c r="O42" i="15"/>
  <c r="C42" i="15"/>
  <c r="D35" i="15"/>
  <c r="D30" i="15"/>
  <c r="E30" i="15"/>
  <c r="F30" i="15"/>
  <c r="G30" i="15"/>
  <c r="H30" i="15"/>
  <c r="I30" i="15"/>
  <c r="J30" i="15"/>
  <c r="K30" i="15"/>
  <c r="L30" i="15"/>
  <c r="M30" i="15"/>
  <c r="N30" i="15"/>
  <c r="O30" i="15"/>
  <c r="C30" i="15"/>
  <c r="G7" i="15"/>
  <c r="D17" i="15"/>
  <c r="D19" i="15" s="1"/>
  <c r="D20" i="15" s="1"/>
  <c r="D22" i="15" s="1"/>
  <c r="E17" i="15"/>
  <c r="E19" i="15" s="1"/>
  <c r="E20" i="15" s="1"/>
  <c r="E22" i="15" s="1"/>
  <c r="F17" i="15"/>
  <c r="F19" i="15" s="1"/>
  <c r="F20" i="15" s="1"/>
  <c r="F22" i="15" s="1"/>
  <c r="G17" i="15"/>
  <c r="G19" i="15" s="1"/>
  <c r="G20" i="15" s="1"/>
  <c r="G22" i="15" s="1"/>
  <c r="H17" i="15"/>
  <c r="H19" i="15" s="1"/>
  <c r="H20" i="15" s="1"/>
  <c r="H22" i="15" s="1"/>
  <c r="I17" i="15"/>
  <c r="I19" i="15" s="1"/>
  <c r="I20" i="15" s="1"/>
  <c r="I22" i="15" s="1"/>
  <c r="J17" i="15"/>
  <c r="J19" i="15" s="1"/>
  <c r="J20" i="15" s="1"/>
  <c r="J22" i="15" s="1"/>
  <c r="K17" i="15"/>
  <c r="K19" i="15" s="1"/>
  <c r="K20" i="15" s="1"/>
  <c r="K22" i="15" s="1"/>
  <c r="L17" i="15"/>
  <c r="L19" i="15" s="1"/>
  <c r="L20" i="15" s="1"/>
  <c r="L22" i="15" s="1"/>
  <c r="M17" i="15"/>
  <c r="M19" i="15" s="1"/>
  <c r="M20" i="15" s="1"/>
  <c r="M22" i="15" s="1"/>
  <c r="N17" i="15"/>
  <c r="N19" i="15" s="1"/>
  <c r="N20" i="15" s="1"/>
  <c r="N22" i="15" s="1"/>
  <c r="C17" i="15"/>
  <c r="C19" i="15" s="1"/>
  <c r="C20" i="15" s="1"/>
  <c r="C22" i="15" s="1"/>
  <c r="D14" i="15"/>
  <c r="E14" i="15"/>
  <c r="F14" i="15"/>
  <c r="G14" i="15"/>
  <c r="H14" i="15"/>
  <c r="I14" i="15"/>
  <c r="J14" i="15"/>
  <c r="K14" i="15"/>
  <c r="L14" i="15"/>
  <c r="M14" i="15"/>
  <c r="N14" i="15"/>
  <c r="O14" i="15"/>
  <c r="C14" i="15"/>
  <c r="D11" i="15"/>
  <c r="E11" i="15"/>
  <c r="F11" i="15"/>
  <c r="G11" i="15"/>
  <c r="H11" i="15"/>
  <c r="I11" i="15"/>
  <c r="J11" i="15"/>
  <c r="K11" i="15"/>
  <c r="L11" i="15"/>
  <c r="M11" i="15"/>
  <c r="N11" i="15"/>
  <c r="O11" i="15"/>
  <c r="C11" i="15"/>
  <c r="P17" i="5"/>
  <c r="O17" i="5" s="1"/>
  <c r="P16" i="5"/>
  <c r="O16" i="5" s="1"/>
  <c r="P13" i="5"/>
  <c r="O13" i="5" s="1"/>
  <c r="P10" i="5"/>
  <c r="O10" i="5" s="1"/>
  <c r="A24" i="7"/>
  <c r="A23" i="7"/>
  <c r="A20" i="7"/>
  <c r="A17" i="7"/>
  <c r="B62" i="6"/>
  <c r="B45" i="6"/>
  <c r="B28" i="6"/>
  <c r="B11" i="6"/>
  <c r="B17" i="5"/>
  <c r="B16" i="5"/>
  <c r="B15" i="5"/>
  <c r="B14" i="5"/>
  <c r="B13" i="5"/>
  <c r="B12" i="5"/>
  <c r="B11" i="5"/>
  <c r="B10" i="5"/>
  <c r="A17" i="5"/>
  <c r="A16" i="5"/>
  <c r="A13" i="5"/>
  <c r="A10" i="5"/>
  <c r="A227" i="3"/>
  <c r="A155" i="3"/>
  <c r="A83" i="3"/>
  <c r="A11" i="3"/>
  <c r="B46" i="1"/>
  <c r="B42" i="1"/>
  <c r="B38" i="1"/>
  <c r="B35" i="1"/>
  <c r="B32" i="1"/>
  <c r="B28" i="1"/>
  <c r="B25" i="1"/>
  <c r="B22" i="1"/>
  <c r="A46" i="1"/>
  <c r="A42" i="1"/>
  <c r="A32" i="1"/>
  <c r="A22" i="1"/>
  <c r="A12" i="1"/>
  <c r="A11" i="1"/>
  <c r="A10" i="1"/>
  <c r="A9" i="1"/>
  <c r="D31" i="12"/>
  <c r="E31" i="12"/>
  <c r="F31" i="12"/>
  <c r="G31" i="12"/>
  <c r="H31" i="12"/>
  <c r="H33" i="12" s="1"/>
  <c r="G44" i="12" s="1"/>
  <c r="I31" i="12"/>
  <c r="J31" i="12"/>
  <c r="J33" i="12" s="1"/>
  <c r="G45" i="12" s="1"/>
  <c r="K31" i="12"/>
  <c r="L31" i="12"/>
  <c r="M31" i="12"/>
  <c r="N31" i="12"/>
  <c r="O31" i="12"/>
  <c r="P31" i="12"/>
  <c r="Q31" i="12"/>
  <c r="R31" i="12"/>
  <c r="S31" i="12"/>
  <c r="T31" i="12"/>
  <c r="U31" i="12"/>
  <c r="V31" i="12"/>
  <c r="W31" i="12"/>
  <c r="X31" i="12"/>
  <c r="Y31" i="12"/>
  <c r="Z31" i="12"/>
  <c r="C32" i="12"/>
  <c r="D14" i="11"/>
  <c r="L33" i="12"/>
  <c r="G46" i="12" s="1"/>
  <c r="F33" i="12"/>
  <c r="G43" i="12" s="1"/>
  <c r="D32" i="12"/>
  <c r="D33" i="12"/>
  <c r="G42" i="12" s="1"/>
  <c r="Y32" i="12"/>
  <c r="W32" i="12"/>
  <c r="U32" i="12"/>
  <c r="S32" i="12"/>
  <c r="Q32" i="12"/>
  <c r="O32" i="12"/>
  <c r="M32" i="12"/>
  <c r="K32" i="12"/>
  <c r="I32" i="12"/>
  <c r="G32" i="12"/>
  <c r="G33" i="12" s="1"/>
  <c r="F44" i="12" s="1"/>
  <c r="E32" i="12"/>
  <c r="Y30" i="12"/>
  <c r="Y33" i="12" s="1"/>
  <c r="F53" i="12" s="1"/>
  <c r="W30" i="12"/>
  <c r="U30" i="12"/>
  <c r="U33" i="12" s="1"/>
  <c r="F51" i="12" s="1"/>
  <c r="S30" i="12"/>
  <c r="Q30" i="12"/>
  <c r="O30" i="12"/>
  <c r="M30" i="12"/>
  <c r="K30" i="12"/>
  <c r="I30" i="12"/>
  <c r="G30" i="12"/>
  <c r="E30" i="12"/>
  <c r="E33" i="12" s="1"/>
  <c r="F43" i="12" s="1"/>
  <c r="C30" i="12"/>
  <c r="S33" i="12"/>
  <c r="F50" i="12" s="1"/>
  <c r="L47" i="11"/>
  <c r="L48" i="11"/>
  <c r="J48" i="11"/>
  <c r="H47" i="11"/>
  <c r="H48" i="11" s="1"/>
  <c r="F47" i="11"/>
  <c r="F48" i="11" s="1"/>
  <c r="L36" i="11"/>
  <c r="L37" i="11" s="1"/>
  <c r="J37" i="11"/>
  <c r="F37" i="11"/>
  <c r="D37" i="11"/>
  <c r="H36" i="11"/>
  <c r="H37" i="11"/>
  <c r="L26" i="11"/>
  <c r="J26" i="11"/>
  <c r="H26" i="11"/>
  <c r="F26" i="11"/>
  <c r="D25" i="11"/>
  <c r="D26" i="11"/>
  <c r="S45" i="11"/>
  <c r="C45" i="11"/>
  <c r="S34" i="11"/>
  <c r="C34" i="11"/>
  <c r="Y34" i="11" s="1"/>
  <c r="D15" i="11"/>
  <c r="S23" i="11"/>
  <c r="Y23" i="11" s="1"/>
  <c r="Y22" i="11"/>
  <c r="C23" i="11"/>
  <c r="L15" i="11"/>
  <c r="J15" i="11"/>
  <c r="H15" i="11"/>
  <c r="F15" i="11"/>
  <c r="S12" i="11"/>
  <c r="C12" i="11"/>
  <c r="Y12" i="2"/>
  <c r="J17" i="5"/>
  <c r="J16" i="5"/>
  <c r="J15" i="5"/>
  <c r="J13" i="5"/>
  <c r="J12" i="5"/>
  <c r="J10" i="5"/>
  <c r="I17" i="5"/>
  <c r="I16" i="5"/>
  <c r="I15" i="5"/>
  <c r="I13" i="5"/>
  <c r="I12" i="5"/>
  <c r="I10" i="5"/>
  <c r="H17" i="5"/>
  <c r="H16" i="5"/>
  <c r="H15" i="5"/>
  <c r="H13" i="5"/>
  <c r="H12" i="5"/>
  <c r="H10" i="5"/>
  <c r="G17" i="5"/>
  <c r="G16" i="5"/>
  <c r="G13" i="5"/>
  <c r="G10" i="5"/>
  <c r="M24" i="7"/>
  <c r="B24" i="7"/>
  <c r="B23" i="7"/>
  <c r="M22" i="7"/>
  <c r="B22" i="7"/>
  <c r="B21" i="7"/>
  <c r="M20" i="7"/>
  <c r="B20" i="7"/>
  <c r="B19" i="7"/>
  <c r="B18" i="7"/>
  <c r="M17" i="7"/>
  <c r="B17" i="7"/>
  <c r="D4" i="7"/>
  <c r="F4" i="6"/>
  <c r="B9" i="5"/>
  <c r="A9" i="5"/>
  <c r="D293" i="3"/>
  <c r="D285" i="3"/>
  <c r="D275" i="3"/>
  <c r="D264" i="3"/>
  <c r="D261" i="3"/>
  <c r="D256" i="3"/>
  <c r="D235" i="3"/>
  <c r="D233" i="3"/>
  <c r="D221" i="3"/>
  <c r="D213" i="3"/>
  <c r="D203" i="3"/>
  <c r="D192" i="3"/>
  <c r="G189" i="3"/>
  <c r="D189" i="3"/>
  <c r="D184" i="3"/>
  <c r="D163" i="3"/>
  <c r="G161" i="3"/>
  <c r="D161" i="3"/>
  <c r="D149" i="3"/>
  <c r="D141" i="3"/>
  <c r="D131" i="3"/>
  <c r="D120" i="3"/>
  <c r="D117" i="3"/>
  <c r="D112" i="3"/>
  <c r="D91" i="3"/>
  <c r="G89" i="3"/>
  <c r="D89" i="3"/>
  <c r="H81" i="3"/>
  <c r="H153" i="3" s="1"/>
  <c r="H225" i="3" s="1"/>
  <c r="D77" i="3"/>
  <c r="D69" i="3"/>
  <c r="D59" i="3"/>
  <c r="D48" i="3"/>
  <c r="D45" i="3"/>
  <c r="D40" i="3"/>
  <c r="G17" i="3"/>
  <c r="D17" i="3"/>
  <c r="Y19" i="2"/>
  <c r="T19" i="2"/>
  <c r="S19" i="2"/>
  <c r="Y18" i="2"/>
  <c r="T18" i="2"/>
  <c r="S18" i="2"/>
  <c r="Y17" i="2"/>
  <c r="T17" i="2"/>
  <c r="T16" i="2"/>
  <c r="Y15" i="2"/>
  <c r="T15" i="2"/>
  <c r="S15" i="2"/>
  <c r="Y14" i="2"/>
  <c r="T14" i="2"/>
  <c r="T13" i="2"/>
  <c r="T12" i="2"/>
  <c r="S12" i="2"/>
  <c r="G256" i="3"/>
  <c r="G264" i="3"/>
  <c r="G45" i="3"/>
  <c r="G77" i="3"/>
  <c r="G112" i="3"/>
  <c r="G149" i="3"/>
  <c r="G228" i="3"/>
  <c r="G275" i="3"/>
  <c r="N24" i="9"/>
  <c r="O24" i="9" s="1"/>
  <c r="G12" i="3"/>
  <c r="G11" i="3" s="1"/>
  <c r="G233" i="3"/>
  <c r="G213" i="3"/>
  <c r="G293" i="3"/>
  <c r="C31" i="12"/>
  <c r="C33" i="12"/>
  <c r="F42" i="12" s="1"/>
  <c r="D183" i="3" l="1"/>
  <c r="D255" i="3"/>
  <c r="O33" i="12"/>
  <c r="F48" i="12" s="1"/>
  <c r="W33" i="12"/>
  <c r="F52" i="12" s="1"/>
  <c r="Q33" i="12"/>
  <c r="F49" i="12" s="1"/>
  <c r="O36" i="9"/>
  <c r="W15" i="4"/>
  <c r="D111" i="3"/>
  <c r="Y12" i="11"/>
  <c r="AA12" i="11" s="1"/>
  <c r="I33" i="12"/>
  <c r="F45" i="12" s="1"/>
  <c r="M33" i="12"/>
  <c r="F47" i="12" s="1"/>
  <c r="AA34" i="11"/>
  <c r="K33" i="12"/>
  <c r="F46" i="12" s="1"/>
  <c r="D60" i="15"/>
  <c r="D72" i="15"/>
  <c r="R32" i="4"/>
  <c r="Q44" i="11"/>
  <c r="D34" i="9"/>
  <c r="I46" i="9"/>
  <c r="K43" i="11"/>
  <c r="N37" i="4"/>
  <c r="R37" i="4"/>
  <c r="P19" i="4"/>
  <c r="R26" i="4"/>
  <c r="N27" i="4"/>
  <c r="N35" i="4"/>
  <c r="N23" i="4"/>
  <c r="P24" i="4"/>
  <c r="R24" i="4"/>
  <c r="L46" i="9"/>
  <c r="W32" i="11"/>
  <c r="M33" i="11"/>
  <c r="E23" i="9"/>
  <c r="E32" i="11"/>
  <c r="N23" i="9"/>
  <c r="E33" i="11"/>
  <c r="E35" i="11" s="1"/>
  <c r="Y44" i="11"/>
  <c r="M32" i="11"/>
  <c r="U21" i="11"/>
  <c r="U24" i="11" s="1"/>
  <c r="O10" i="11"/>
  <c r="O13" i="11" s="1"/>
  <c r="F46" i="9"/>
  <c r="U33" i="11"/>
  <c r="Q10" i="11"/>
  <c r="Q13" i="11" s="1"/>
  <c r="K44" i="11"/>
  <c r="K46" i="11" s="1"/>
  <c r="Y43" i="11"/>
  <c r="E21" i="11"/>
  <c r="E22" i="9"/>
  <c r="F22" i="9"/>
  <c r="C44" i="11"/>
  <c r="C43" i="11"/>
  <c r="L70" i="6"/>
  <c r="M62" i="6" s="1"/>
  <c r="D229" i="3" s="1"/>
  <c r="Q43" i="11"/>
  <c r="Q46" i="11" s="1"/>
  <c r="G227" i="3"/>
  <c r="H11" i="1"/>
  <c r="G83" i="3"/>
  <c r="H69" i="3"/>
  <c r="D39" i="3"/>
  <c r="H19" i="3"/>
  <c r="D36" i="15"/>
  <c r="D75" i="15"/>
  <c r="K4" i="15" s="1"/>
  <c r="H163" i="3"/>
  <c r="H184" i="3"/>
  <c r="H120" i="3"/>
  <c r="H10" i="1"/>
  <c r="H235" i="3"/>
  <c r="H203" i="3"/>
  <c r="F10" i="1"/>
  <c r="H261" i="3"/>
  <c r="H213" i="3"/>
  <c r="H48" i="3"/>
  <c r="F9" i="1"/>
  <c r="R10" i="5"/>
  <c r="F10" i="5"/>
  <c r="N10" i="5" s="1"/>
  <c r="F11" i="1"/>
  <c r="H275" i="3"/>
  <c r="H112" i="3"/>
  <c r="H91" i="3"/>
  <c r="L22" i="9"/>
  <c r="U32" i="11"/>
  <c r="P15" i="4"/>
  <c r="R47" i="4"/>
  <c r="P60" i="4"/>
  <c r="G156" i="3"/>
  <c r="G155" i="3" s="1"/>
  <c r="N34" i="9"/>
  <c r="H46" i="9"/>
  <c r="H22" i="9"/>
  <c r="S44" i="11"/>
  <c r="S43" i="11"/>
  <c r="W21" i="11"/>
  <c r="W24" i="11" s="1"/>
  <c r="O33" i="11"/>
  <c r="O32" i="11"/>
  <c r="G285" i="3"/>
  <c r="D23" i="9"/>
  <c r="Y45" i="11"/>
  <c r="AA45" i="11" s="1"/>
  <c r="C36" i="15"/>
  <c r="D16" i="5"/>
  <c r="L16" i="5" s="1"/>
  <c r="O18" i="2"/>
  <c r="L54" i="6"/>
  <c r="L46" i="6"/>
  <c r="H141" i="3"/>
  <c r="N31" i="4"/>
  <c r="R34" i="4"/>
  <c r="P57" i="4"/>
  <c r="C23" i="9"/>
  <c r="I33" i="11"/>
  <c r="H59" i="3"/>
  <c r="I21" i="11"/>
  <c r="I24" i="11" s="1"/>
  <c r="M22" i="9"/>
  <c r="M43" i="11"/>
  <c r="Q21" i="11"/>
  <c r="Q24" i="11" s="1"/>
  <c r="Q32" i="11"/>
  <c r="P28" i="4"/>
  <c r="N41" i="4"/>
  <c r="G33" i="11"/>
  <c r="D22" i="9"/>
  <c r="F34" i="9"/>
  <c r="M46" i="9"/>
  <c r="M44" i="11"/>
  <c r="G22" i="11"/>
  <c r="Q33" i="11"/>
  <c r="C35" i="9"/>
  <c r="D35" i="9" s="1"/>
  <c r="E35" i="9" s="1"/>
  <c r="F35" i="9" s="1"/>
  <c r="G35" i="9" s="1"/>
  <c r="H35" i="9" s="1"/>
  <c r="I35" i="9" s="1"/>
  <c r="J35" i="9" s="1"/>
  <c r="K35" i="9" s="1"/>
  <c r="L35" i="9" s="1"/>
  <c r="M35" i="9" s="1"/>
  <c r="N35" i="9" s="1"/>
  <c r="N47" i="9"/>
  <c r="C34" i="9"/>
  <c r="C46" i="9"/>
  <c r="K22" i="9"/>
  <c r="U44" i="11"/>
  <c r="U43" i="11"/>
  <c r="U46" i="11" s="1"/>
  <c r="E22" i="11"/>
  <c r="Y21" i="11"/>
  <c r="Y24" i="11" s="1"/>
  <c r="Y33" i="11"/>
  <c r="Y32" i="11"/>
  <c r="Y35" i="11" s="1"/>
  <c r="G120" i="3"/>
  <c r="G111" i="3" s="1"/>
  <c r="M34" i="9"/>
  <c r="C47" i="9"/>
  <c r="N48" i="4"/>
  <c r="N55" i="4"/>
  <c r="J34" i="9"/>
  <c r="G203" i="3"/>
  <c r="G261" i="3"/>
  <c r="I34" i="9"/>
  <c r="K46" i="9"/>
  <c r="G22" i="9"/>
  <c r="G44" i="11"/>
  <c r="G43" i="11"/>
  <c r="G21" i="11"/>
  <c r="C33" i="11"/>
  <c r="C32" i="11"/>
  <c r="O12" i="9"/>
  <c r="E47" i="9"/>
  <c r="W40" i="4"/>
  <c r="W80" i="4" s="1"/>
  <c r="P55" i="4"/>
  <c r="G34" i="9"/>
  <c r="E43" i="11"/>
  <c r="E34" i="9"/>
  <c r="G46" i="9"/>
  <c r="I22" i="9"/>
  <c r="O44" i="11"/>
  <c r="O43" i="11"/>
  <c r="O21" i="11"/>
  <c r="O24" i="11" s="1"/>
  <c r="K33" i="11"/>
  <c r="K32" i="11"/>
  <c r="E10" i="9"/>
  <c r="J12" i="2"/>
  <c r="N12" i="2" s="1"/>
  <c r="O12" i="2"/>
  <c r="C21" i="11"/>
  <c r="G40" i="3"/>
  <c r="D46" i="9"/>
  <c r="C22" i="11"/>
  <c r="D47" i="9"/>
  <c r="C22" i="9"/>
  <c r="W43" i="11"/>
  <c r="K21" i="11"/>
  <c r="K24" i="11" s="1"/>
  <c r="S32" i="11"/>
  <c r="C10" i="9"/>
  <c r="K90" i="4"/>
  <c r="I32" i="11"/>
  <c r="E46" i="9"/>
  <c r="G48" i="3"/>
  <c r="L34" i="9"/>
  <c r="S21" i="11"/>
  <c r="S24" i="11" s="1"/>
  <c r="N17" i="4"/>
  <c r="P39" i="4"/>
  <c r="P49" i="4"/>
  <c r="N59" i="4"/>
  <c r="E44" i="11"/>
  <c r="K34" i="9"/>
  <c r="W44" i="11"/>
  <c r="S33" i="11"/>
  <c r="N46" i="9"/>
  <c r="N22" i="9"/>
  <c r="I44" i="11"/>
  <c r="I43" i="11"/>
  <c r="W33" i="11"/>
  <c r="G32" i="11"/>
  <c r="C11" i="11"/>
  <c r="J10" i="9"/>
  <c r="G184" i="3"/>
  <c r="H34" i="9"/>
  <c r="J46" i="9"/>
  <c r="J22" i="9"/>
  <c r="M21" i="11"/>
  <c r="M24" i="11" s="1"/>
  <c r="E10" i="11"/>
  <c r="D11" i="9"/>
  <c r="J15" i="2"/>
  <c r="N15" i="2" s="1"/>
  <c r="O15" i="2"/>
  <c r="J19" i="2"/>
  <c r="N19" i="2" s="1"/>
  <c r="O19" i="2"/>
  <c r="P17" i="4"/>
  <c r="M11" i="6"/>
  <c r="D13" i="3" s="1"/>
  <c r="M28" i="6"/>
  <c r="D85" i="3" s="1"/>
  <c r="H85" i="3" s="1"/>
  <c r="E11" i="11"/>
  <c r="Y10" i="11"/>
  <c r="S10" i="11"/>
  <c r="S13" i="11" s="1"/>
  <c r="U10" i="11"/>
  <c r="U13" i="11" s="1"/>
  <c r="L10" i="9"/>
  <c r="K10" i="9"/>
  <c r="F10" i="9"/>
  <c r="N11" i="9"/>
  <c r="G11" i="11"/>
  <c r="I10" i="11"/>
  <c r="I13" i="11" s="1"/>
  <c r="G10" i="11"/>
  <c r="W10" i="11"/>
  <c r="W13" i="11" s="1"/>
  <c r="M10" i="9"/>
  <c r="H10" i="9"/>
  <c r="G10" i="9"/>
  <c r="C11" i="9"/>
  <c r="Y11" i="11"/>
  <c r="K10" i="11"/>
  <c r="K13" i="11" s="1"/>
  <c r="M10" i="11"/>
  <c r="M13" i="11" s="1"/>
  <c r="C10" i="11"/>
  <c r="I10" i="9"/>
  <c r="D10" i="9"/>
  <c r="N10" i="9"/>
  <c r="E11" i="9"/>
  <c r="R15" i="4"/>
  <c r="N16" i="4"/>
  <c r="R19" i="4"/>
  <c r="N21" i="4"/>
  <c r="P22" i="4"/>
  <c r="R28" i="4"/>
  <c r="N29" i="4"/>
  <c r="P30" i="4"/>
  <c r="R39" i="4"/>
  <c r="N42" i="4"/>
  <c r="N44" i="4"/>
  <c r="N46" i="4"/>
  <c r="R49" i="4"/>
  <c r="N51" i="4"/>
  <c r="N53" i="4"/>
  <c r="R57" i="4"/>
  <c r="R60" i="4"/>
  <c r="R22" i="4"/>
  <c r="R30" i="4"/>
  <c r="P42" i="4"/>
  <c r="P44" i="4"/>
  <c r="P46" i="4"/>
  <c r="P51" i="4"/>
  <c r="P53" i="4"/>
  <c r="K74" i="4"/>
  <c r="K82" i="4"/>
  <c r="N25" i="4"/>
  <c r="P26" i="4"/>
  <c r="N33" i="4"/>
  <c r="P34" i="4"/>
  <c r="P47" i="4"/>
  <c r="G11" i="1"/>
  <c r="G10" i="1"/>
  <c r="G9" i="1"/>
  <c r="C17" i="7"/>
  <c r="F17" i="7" s="1"/>
  <c r="D17" i="5"/>
  <c r="L17" i="5" s="1"/>
  <c r="D13" i="5"/>
  <c r="L13" i="5" s="1"/>
  <c r="C20" i="7"/>
  <c r="F20" i="7" s="1"/>
  <c r="R13" i="5"/>
  <c r="M15" i="2"/>
  <c r="R17" i="5"/>
  <c r="M19" i="2"/>
  <c r="Q19" i="2" s="1"/>
  <c r="L19" i="2"/>
  <c r="P19" i="2" s="1"/>
  <c r="Q17" i="5"/>
  <c r="L15" i="2"/>
  <c r="F32" i="1" s="1"/>
  <c r="F34" i="1" s="1"/>
  <c r="Q13" i="5"/>
  <c r="Q10" i="5"/>
  <c r="P12" i="2"/>
  <c r="C23" i="7"/>
  <c r="F23" i="7" s="1"/>
  <c r="J18" i="2"/>
  <c r="E42" i="1"/>
  <c r="E44" i="1" s="1"/>
  <c r="E45" i="1" s="1"/>
  <c r="K17" i="2"/>
  <c r="K14" i="2"/>
  <c r="O14" i="2" s="1"/>
  <c r="D10" i="5"/>
  <c r="L10" i="5" s="1"/>
  <c r="M18" i="2"/>
  <c r="Q18" i="2" s="1"/>
  <c r="C24" i="7"/>
  <c r="F24" i="7" s="1"/>
  <c r="L18" i="2"/>
  <c r="P18" i="2" s="1"/>
  <c r="E32" i="1"/>
  <c r="M14" i="2"/>
  <c r="Q14" i="2" s="1"/>
  <c r="E22" i="1"/>
  <c r="E46" i="1"/>
  <c r="P16" i="4"/>
  <c r="N18" i="4"/>
  <c r="N20" i="4"/>
  <c r="P21" i="4"/>
  <c r="P23" i="4"/>
  <c r="P25" i="4"/>
  <c r="P27" i="4"/>
  <c r="P29" i="4"/>
  <c r="P31" i="4"/>
  <c r="P33" i="4"/>
  <c r="P35" i="4"/>
  <c r="N36" i="4"/>
  <c r="N38" i="4"/>
  <c r="N40" i="4"/>
  <c r="P41" i="4"/>
  <c r="N43" i="4"/>
  <c r="N45" i="4"/>
  <c r="P48" i="4"/>
  <c r="N50" i="4"/>
  <c r="N52" i="4"/>
  <c r="N54" i="4"/>
  <c r="N56" i="4"/>
  <c r="P59" i="4"/>
  <c r="N61" i="4"/>
  <c r="K62" i="4"/>
  <c r="P18" i="4"/>
  <c r="P20" i="4"/>
  <c r="P36" i="4"/>
  <c r="P38" i="4"/>
  <c r="P40" i="4"/>
  <c r="P43" i="4"/>
  <c r="P45" i="4"/>
  <c r="P50" i="4"/>
  <c r="P52" i="4"/>
  <c r="P54" i="4"/>
  <c r="P56" i="4"/>
  <c r="P61" i="4"/>
  <c r="E24" i="11" l="1"/>
  <c r="G35" i="11"/>
  <c r="W35" i="11"/>
  <c r="H13" i="1"/>
  <c r="G255" i="3"/>
  <c r="G296" i="3" s="1"/>
  <c r="O35" i="11"/>
  <c r="C46" i="11"/>
  <c r="M35" i="11"/>
  <c r="O23" i="9"/>
  <c r="U35" i="11"/>
  <c r="I35" i="11"/>
  <c r="Y46" i="11"/>
  <c r="S46" i="11"/>
  <c r="O46" i="11"/>
  <c r="E13" i="11"/>
  <c r="AA43" i="11"/>
  <c r="AA44" i="11"/>
  <c r="S35" i="11"/>
  <c r="K35" i="11"/>
  <c r="W46" i="11"/>
  <c r="C35" i="11"/>
  <c r="Q35" i="11"/>
  <c r="M45" i="6"/>
  <c r="D157" i="3" s="1"/>
  <c r="G24" i="11"/>
  <c r="M46" i="11"/>
  <c r="H255" i="3"/>
  <c r="G183" i="3"/>
  <c r="G224" i="3" s="1"/>
  <c r="G152" i="3"/>
  <c r="F13" i="1"/>
  <c r="D46" i="1"/>
  <c r="D48" i="1" s="1"/>
  <c r="D49" i="1" s="1"/>
  <c r="E17" i="7"/>
  <c r="H17" i="7" s="1"/>
  <c r="D32" i="1"/>
  <c r="D34" i="1" s="1"/>
  <c r="D41" i="1" s="1"/>
  <c r="C13" i="5"/>
  <c r="K13" i="5" s="1"/>
  <c r="H111" i="3"/>
  <c r="D42" i="1"/>
  <c r="D44" i="1" s="1"/>
  <c r="D45" i="1" s="1"/>
  <c r="N18" i="2"/>
  <c r="O22" i="9"/>
  <c r="I46" i="11"/>
  <c r="G46" i="11"/>
  <c r="R62" i="4"/>
  <c r="AE15" i="4" s="1"/>
  <c r="O47" i="9"/>
  <c r="C17" i="5"/>
  <c r="K17" i="5" s="1"/>
  <c r="O46" i="9"/>
  <c r="E13" i="5"/>
  <c r="M13" i="5" s="1"/>
  <c r="P15" i="2"/>
  <c r="AA32" i="11"/>
  <c r="G39" i="3"/>
  <c r="G80" i="3" s="1"/>
  <c r="H39" i="3"/>
  <c r="G32" i="1"/>
  <c r="G34" i="1" s="1"/>
  <c r="Q15" i="2"/>
  <c r="D22" i="1"/>
  <c r="D24" i="1" s="1"/>
  <c r="D31" i="1" s="1"/>
  <c r="G13" i="11"/>
  <c r="C24" i="11"/>
  <c r="E46" i="11"/>
  <c r="E20" i="7"/>
  <c r="H20" i="7" s="1"/>
  <c r="H183" i="3"/>
  <c r="C10" i="5"/>
  <c r="K10" i="5" s="1"/>
  <c r="F13" i="5"/>
  <c r="N13" i="5" s="1"/>
  <c r="C22" i="7"/>
  <c r="F22" i="7" s="1"/>
  <c r="O17" i="2"/>
  <c r="O34" i="9"/>
  <c r="AA33" i="11"/>
  <c r="G22" i="1"/>
  <c r="G24" i="1" s="1"/>
  <c r="Q12" i="2"/>
  <c r="AA11" i="11"/>
  <c r="O10" i="9"/>
  <c r="H84" i="3"/>
  <c r="D84" i="3"/>
  <c r="D83" i="3" s="1"/>
  <c r="D152" i="3" s="1"/>
  <c r="H228" i="3"/>
  <c r="D228" i="3"/>
  <c r="D227" i="3" s="1"/>
  <c r="D296" i="3" s="1"/>
  <c r="C13" i="11"/>
  <c r="AA10" i="11"/>
  <c r="O11" i="9"/>
  <c r="Y13" i="11"/>
  <c r="D12" i="3"/>
  <c r="D11" i="3" s="1"/>
  <c r="D80" i="3" s="1"/>
  <c r="H12" i="3"/>
  <c r="O35" i="9"/>
  <c r="P62" i="4"/>
  <c r="O62" i="4" s="1"/>
  <c r="AB15" i="4" s="1"/>
  <c r="AI15" i="4" s="1"/>
  <c r="AJ15" i="4" s="1"/>
  <c r="N62" i="4"/>
  <c r="AA15" i="4" s="1"/>
  <c r="G13" i="1"/>
  <c r="M17" i="2"/>
  <c r="Q17" i="2" s="1"/>
  <c r="D20" i="7"/>
  <c r="G20" i="7" s="1"/>
  <c r="L17" i="2"/>
  <c r="F38" i="1" s="1"/>
  <c r="F40" i="1" s="1"/>
  <c r="F41" i="1" s="1"/>
  <c r="E24" i="7"/>
  <c r="H24" i="7" s="1"/>
  <c r="G46" i="1"/>
  <c r="G48" i="1" s="1"/>
  <c r="G49" i="1" s="1"/>
  <c r="F17" i="5"/>
  <c r="N17" i="5" s="1"/>
  <c r="F22" i="1"/>
  <c r="F24" i="1" s="1"/>
  <c r="L14" i="2"/>
  <c r="P14" i="2" s="1"/>
  <c r="E10" i="5"/>
  <c r="M10" i="5" s="1"/>
  <c r="D17" i="7"/>
  <c r="G17" i="7" s="1"/>
  <c r="F46" i="1"/>
  <c r="F48" i="1" s="1"/>
  <c r="F49" i="1" s="1"/>
  <c r="E17" i="5"/>
  <c r="M17" i="5" s="1"/>
  <c r="D24" i="7"/>
  <c r="G24" i="7" s="1"/>
  <c r="C16" i="5"/>
  <c r="K16" i="5" s="1"/>
  <c r="E38" i="1"/>
  <c r="D15" i="5"/>
  <c r="L15" i="5" s="1"/>
  <c r="D12" i="5"/>
  <c r="L12" i="5" s="1"/>
  <c r="C19" i="7"/>
  <c r="F19" i="7" s="1"/>
  <c r="E28" i="1"/>
  <c r="E48" i="1"/>
  <c r="E49" i="1" s="1"/>
  <c r="H48" i="1"/>
  <c r="E24" i="1"/>
  <c r="E19" i="7"/>
  <c r="H19" i="7" s="1"/>
  <c r="F12" i="5"/>
  <c r="N12" i="5" s="1"/>
  <c r="G28" i="1"/>
  <c r="G30" i="1" s="1"/>
  <c r="E22" i="7"/>
  <c r="H22" i="7" s="1"/>
  <c r="F15" i="5"/>
  <c r="N15" i="5" s="1"/>
  <c r="G38" i="1"/>
  <c r="G40" i="1" s="1"/>
  <c r="G41" i="1" s="1"/>
  <c r="E23" i="7"/>
  <c r="H23" i="7" s="1"/>
  <c r="G42" i="1"/>
  <c r="G44" i="1" s="1"/>
  <c r="G45" i="1" s="1"/>
  <c r="F16" i="5"/>
  <c r="N16" i="5" s="1"/>
  <c r="E16" i="5"/>
  <c r="M16" i="5" s="1"/>
  <c r="D23" i="7"/>
  <c r="G23" i="7" s="1"/>
  <c r="F42" i="1"/>
  <c r="F44" i="1" s="1"/>
  <c r="E34" i="1"/>
  <c r="H157" i="3" l="1"/>
  <c r="H156" i="3" s="1"/>
  <c r="H50" i="9"/>
  <c r="H296" i="3"/>
  <c r="J50" i="9"/>
  <c r="C50" i="9"/>
  <c r="N50" i="9"/>
  <c r="F50" i="9"/>
  <c r="D50" i="9"/>
  <c r="M50" i="9"/>
  <c r="I50" i="9"/>
  <c r="G50" i="9"/>
  <c r="K50" i="9"/>
  <c r="H44" i="1"/>
  <c r="H45" i="1" s="1"/>
  <c r="C11" i="1" s="1"/>
  <c r="AC15" i="4"/>
  <c r="AP15" i="4" s="1"/>
  <c r="M62" i="4"/>
  <c r="Z15" i="4" s="1"/>
  <c r="AG15" i="4" s="1"/>
  <c r="AH15" i="4" s="1"/>
  <c r="AN15" i="4" s="1"/>
  <c r="D156" i="3"/>
  <c r="D155" i="3" s="1"/>
  <c r="D224" i="3" s="1"/>
  <c r="D297" i="3" s="1"/>
  <c r="E50" i="9"/>
  <c r="L50" i="9"/>
  <c r="H34" i="1"/>
  <c r="I38" i="9"/>
  <c r="N38" i="9"/>
  <c r="L38" i="9"/>
  <c r="F38" i="9"/>
  <c r="K38" i="9"/>
  <c r="J38" i="9"/>
  <c r="D38" i="9"/>
  <c r="M38" i="9"/>
  <c r="H38" i="9"/>
  <c r="G38" i="9"/>
  <c r="E38" i="9"/>
  <c r="C38" i="9"/>
  <c r="E15" i="5"/>
  <c r="M15" i="5" s="1"/>
  <c r="P17" i="2"/>
  <c r="I14" i="9"/>
  <c r="D14" i="9"/>
  <c r="N14" i="9"/>
  <c r="L14" i="9"/>
  <c r="C14" i="9"/>
  <c r="H14" i="9"/>
  <c r="G14" i="9"/>
  <c r="F14" i="9"/>
  <c r="M14" i="9"/>
  <c r="E14" i="9"/>
  <c r="J14" i="9"/>
  <c r="K14" i="9"/>
  <c r="G297" i="3"/>
  <c r="H24" i="1"/>
  <c r="Q62" i="4"/>
  <c r="AD15" i="4" s="1"/>
  <c r="AK15" i="4" s="1"/>
  <c r="AL15" i="4" s="1"/>
  <c r="AR15" i="4" s="1"/>
  <c r="L26" i="9"/>
  <c r="J26" i="9"/>
  <c r="H26" i="9"/>
  <c r="C26" i="9"/>
  <c r="N26" i="9"/>
  <c r="M26" i="9"/>
  <c r="F26" i="9"/>
  <c r="I26" i="9"/>
  <c r="G26" i="9"/>
  <c r="E26" i="9"/>
  <c r="D26" i="9"/>
  <c r="K26" i="9"/>
  <c r="H11" i="3"/>
  <c r="E9" i="1"/>
  <c r="H83" i="3"/>
  <c r="E10" i="1"/>
  <c r="E12" i="1"/>
  <c r="H227" i="3"/>
  <c r="D22" i="7"/>
  <c r="G22" i="7" s="1"/>
  <c r="F28" i="1"/>
  <c r="F30" i="1" s="1"/>
  <c r="F31" i="1" s="1"/>
  <c r="E12" i="5"/>
  <c r="M12" i="5" s="1"/>
  <c r="D19" i="7"/>
  <c r="G19" i="7" s="1"/>
  <c r="I48" i="1"/>
  <c r="I49" i="1" s="1"/>
  <c r="B12" i="1" s="1"/>
  <c r="H40" i="1"/>
  <c r="E40" i="1"/>
  <c r="I40" i="1" s="1"/>
  <c r="E30" i="1"/>
  <c r="H30" i="1"/>
  <c r="G31" i="1"/>
  <c r="H49" i="1"/>
  <c r="C12" i="1" s="1"/>
  <c r="I24" i="1"/>
  <c r="F45" i="1"/>
  <c r="I44" i="1"/>
  <c r="I34" i="1"/>
  <c r="E11" i="1" l="1"/>
  <c r="H155" i="3"/>
  <c r="F37" i="9" s="1"/>
  <c r="O50" i="9"/>
  <c r="O38" i="9"/>
  <c r="I30" i="1"/>
  <c r="I31" i="1" s="1"/>
  <c r="B9" i="1" s="1"/>
  <c r="H41" i="1"/>
  <c r="C10" i="1" s="1"/>
  <c r="O26" i="9"/>
  <c r="E31" i="1"/>
  <c r="O14" i="9"/>
  <c r="J24" i="1"/>
  <c r="H31" i="1"/>
  <c r="C9" i="1" s="1"/>
  <c r="E13" i="1"/>
  <c r="F13" i="9"/>
  <c r="E13" i="9"/>
  <c r="H13" i="9"/>
  <c r="I13" i="9"/>
  <c r="J13" i="9"/>
  <c r="D13" i="9"/>
  <c r="L13" i="9"/>
  <c r="G13" i="9"/>
  <c r="C13" i="9"/>
  <c r="M13" i="9"/>
  <c r="K13" i="9"/>
  <c r="N13" i="9"/>
  <c r="H80" i="3"/>
  <c r="G37" i="9"/>
  <c r="M37" i="9"/>
  <c r="C37" i="9"/>
  <c r="J25" i="9"/>
  <c r="K25" i="9"/>
  <c r="G25" i="9"/>
  <c r="F25" i="9"/>
  <c r="D25" i="9"/>
  <c r="E25" i="9"/>
  <c r="L25" i="9"/>
  <c r="I25" i="9"/>
  <c r="C25" i="9"/>
  <c r="N25" i="9"/>
  <c r="M25" i="9"/>
  <c r="H25" i="9"/>
  <c r="H152" i="3"/>
  <c r="F49" i="9"/>
  <c r="N49" i="9"/>
  <c r="M49" i="9"/>
  <c r="K49" i="9"/>
  <c r="C49" i="9"/>
  <c r="E49" i="9"/>
  <c r="H49" i="9"/>
  <c r="I49" i="9"/>
  <c r="D49" i="9"/>
  <c r="G49" i="9"/>
  <c r="J49" i="9"/>
  <c r="L49" i="9"/>
  <c r="E41" i="1"/>
  <c r="I41" i="1"/>
  <c r="B10" i="1" s="1"/>
  <c r="J48" i="1"/>
  <c r="J49" i="1" s="1"/>
  <c r="J34" i="1"/>
  <c r="D12" i="1"/>
  <c r="C42" i="11" s="1"/>
  <c r="J40" i="1"/>
  <c r="I45" i="1"/>
  <c r="B11" i="1" s="1"/>
  <c r="D11" i="1" s="1"/>
  <c r="J44" i="1"/>
  <c r="J45" i="1" s="1"/>
  <c r="D37" i="9" l="1"/>
  <c r="K37" i="9"/>
  <c r="L37" i="9"/>
  <c r="E37" i="9"/>
  <c r="H37" i="9"/>
  <c r="H224" i="3"/>
  <c r="U36" i="11" s="1"/>
  <c r="N37" i="9"/>
  <c r="I37" i="9"/>
  <c r="J37" i="9"/>
  <c r="D10" i="1"/>
  <c r="J30" i="1"/>
  <c r="J31" i="1" s="1"/>
  <c r="C13" i="1"/>
  <c r="O25" i="9"/>
  <c r="O47" i="11"/>
  <c r="E47" i="11"/>
  <c r="S47" i="11"/>
  <c r="K47" i="11"/>
  <c r="Y47" i="11"/>
  <c r="C47" i="11"/>
  <c r="C48" i="11" s="1"/>
  <c r="U47" i="11"/>
  <c r="I12" i="1"/>
  <c r="J12" i="1" s="1"/>
  <c r="D6" i="15" s="1"/>
  <c r="Q47" i="11"/>
  <c r="M47" i="11"/>
  <c r="I47" i="11"/>
  <c r="W47" i="11"/>
  <c r="G47" i="11"/>
  <c r="O49" i="9"/>
  <c r="E14" i="11"/>
  <c r="M14" i="11"/>
  <c r="O14" i="11"/>
  <c r="K14" i="11"/>
  <c r="Y14" i="11"/>
  <c r="Q14" i="11"/>
  <c r="W14" i="11"/>
  <c r="I14" i="11"/>
  <c r="G14" i="11"/>
  <c r="C14" i="11"/>
  <c r="S14" i="11"/>
  <c r="U14" i="11"/>
  <c r="I9" i="1"/>
  <c r="O13" i="9"/>
  <c r="I25" i="11"/>
  <c r="Q25" i="11"/>
  <c r="W25" i="11"/>
  <c r="S25" i="11"/>
  <c r="M25" i="11"/>
  <c r="G25" i="11"/>
  <c r="K25" i="11"/>
  <c r="Y25" i="11"/>
  <c r="I10" i="1"/>
  <c r="J10" i="1" s="1"/>
  <c r="D4" i="15" s="1"/>
  <c r="U25" i="11"/>
  <c r="E25" i="11"/>
  <c r="O25" i="11"/>
  <c r="C25" i="11"/>
  <c r="I20" i="11"/>
  <c r="E21" i="9"/>
  <c r="E27" i="9" s="1"/>
  <c r="C20" i="11"/>
  <c r="S20" i="11"/>
  <c r="K45" i="9"/>
  <c r="K51" i="9" s="1"/>
  <c r="C21" i="9"/>
  <c r="C27" i="9" s="1"/>
  <c r="J41" i="1"/>
  <c r="F45" i="9"/>
  <c r="F51" i="9" s="1"/>
  <c r="L45" i="9"/>
  <c r="L51" i="9" s="1"/>
  <c r="S42" i="11"/>
  <c r="C45" i="9"/>
  <c r="C51" i="9" s="1"/>
  <c r="E45" i="9"/>
  <c r="E51" i="9" s="1"/>
  <c r="Y42" i="11"/>
  <c r="N45" i="9"/>
  <c r="N51" i="9" s="1"/>
  <c r="H45" i="9"/>
  <c r="H51" i="9" s="1"/>
  <c r="W42" i="11"/>
  <c r="K42" i="11"/>
  <c r="Q42" i="11"/>
  <c r="I21" i="9"/>
  <c r="I27" i="9" s="1"/>
  <c r="J21" i="9"/>
  <c r="J27" i="9" s="1"/>
  <c r="W20" i="11"/>
  <c r="D21" i="9"/>
  <c r="D27" i="9" s="1"/>
  <c r="G21" i="9"/>
  <c r="G27" i="9" s="1"/>
  <c r="U20" i="11"/>
  <c r="F21" i="9"/>
  <c r="F27" i="9" s="1"/>
  <c r="N21" i="9"/>
  <c r="N27" i="9" s="1"/>
  <c r="K20" i="11"/>
  <c r="G20" i="11"/>
  <c r="M21" i="9"/>
  <c r="M27" i="9" s="1"/>
  <c r="M20" i="11"/>
  <c r="Y20" i="11"/>
  <c r="E20" i="11"/>
  <c r="K21" i="9"/>
  <c r="K27" i="9" s="1"/>
  <c r="Q20" i="11"/>
  <c r="O20" i="11"/>
  <c r="L21" i="9"/>
  <c r="L27" i="9" s="1"/>
  <c r="H21" i="9"/>
  <c r="H27" i="9" s="1"/>
  <c r="G45" i="9"/>
  <c r="G51" i="9" s="1"/>
  <c r="G42" i="11"/>
  <c r="O42" i="11"/>
  <c r="E42" i="11"/>
  <c r="M45" i="9"/>
  <c r="M51" i="9" s="1"/>
  <c r="I42" i="11"/>
  <c r="U42" i="11"/>
  <c r="I45" i="9"/>
  <c r="I51" i="9" s="1"/>
  <c r="M42" i="11"/>
  <c r="J45" i="9"/>
  <c r="J51" i="9" s="1"/>
  <c r="D45" i="9"/>
  <c r="D51" i="9" s="1"/>
  <c r="B13" i="1"/>
  <c r="D9" i="1"/>
  <c r="Q31" i="11"/>
  <c r="C31" i="11"/>
  <c r="G33" i="9"/>
  <c r="G39" i="9" s="1"/>
  <c r="Y31" i="11"/>
  <c r="E31" i="11"/>
  <c r="H33" i="9"/>
  <c r="G31" i="11"/>
  <c r="K33" i="9"/>
  <c r="K39" i="9" s="1"/>
  <c r="W31" i="11"/>
  <c r="E33" i="9"/>
  <c r="E39" i="9" s="1"/>
  <c r="M31" i="11"/>
  <c r="I33" i="9"/>
  <c r="I39" i="9" s="1"/>
  <c r="I31" i="11"/>
  <c r="L33" i="9"/>
  <c r="L39" i="9" s="1"/>
  <c r="M33" i="9"/>
  <c r="M39" i="9" s="1"/>
  <c r="J33" i="9"/>
  <c r="J39" i="9" s="1"/>
  <c r="U31" i="11"/>
  <c r="O31" i="11"/>
  <c r="D33" i="9"/>
  <c r="S31" i="11"/>
  <c r="K31" i="11"/>
  <c r="C33" i="9"/>
  <c r="F33" i="9"/>
  <c r="F39" i="9" s="1"/>
  <c r="N33" i="9"/>
  <c r="D39" i="9" l="1"/>
  <c r="H39" i="9"/>
  <c r="E36" i="11"/>
  <c r="E37" i="11" s="1"/>
  <c r="Q36" i="11"/>
  <c r="Q37" i="11" s="1"/>
  <c r="O37" i="9"/>
  <c r="Y36" i="11"/>
  <c r="Y37" i="11" s="1"/>
  <c r="C36" i="11"/>
  <c r="C37" i="11" s="1"/>
  <c r="G36" i="11"/>
  <c r="G37" i="11" s="1"/>
  <c r="W36" i="11"/>
  <c r="W37" i="11" s="1"/>
  <c r="O36" i="11"/>
  <c r="O37" i="11" s="1"/>
  <c r="K36" i="11"/>
  <c r="K37" i="11" s="1"/>
  <c r="I11" i="1"/>
  <c r="J11" i="1" s="1"/>
  <c r="D5" i="15" s="1"/>
  <c r="N39" i="9"/>
  <c r="S36" i="11"/>
  <c r="S37" i="11" s="1"/>
  <c r="M36" i="11"/>
  <c r="M37" i="11" s="1"/>
  <c r="H297" i="3"/>
  <c r="I36" i="11"/>
  <c r="Y48" i="11"/>
  <c r="S48" i="11"/>
  <c r="I48" i="11"/>
  <c r="E48" i="11"/>
  <c r="O48" i="11"/>
  <c r="O26" i="11"/>
  <c r="Y26" i="11"/>
  <c r="U26" i="11"/>
  <c r="M26" i="11"/>
  <c r="S26" i="11"/>
  <c r="G26" i="11"/>
  <c r="M48" i="11"/>
  <c r="U37" i="11"/>
  <c r="Q26" i="11"/>
  <c r="E26" i="11"/>
  <c r="U48" i="11"/>
  <c r="Q48" i="11"/>
  <c r="G48" i="11"/>
  <c r="K26" i="11"/>
  <c r="W26" i="11"/>
  <c r="C26" i="11"/>
  <c r="K48" i="11"/>
  <c r="J9" i="1"/>
  <c r="AA14" i="11"/>
  <c r="AA47" i="11"/>
  <c r="W48" i="11"/>
  <c r="I26" i="11"/>
  <c r="O27" i="9"/>
  <c r="AA42" i="11"/>
  <c r="O51" i="9"/>
  <c r="O21" i="9"/>
  <c r="O45" i="9"/>
  <c r="I9" i="9"/>
  <c r="I15" i="9" s="1"/>
  <c r="G9" i="11"/>
  <c r="G15" i="11" s="1"/>
  <c r="G9" i="9"/>
  <c r="G15" i="9" s="1"/>
  <c r="L9" i="9"/>
  <c r="L15" i="9" s="1"/>
  <c r="W9" i="11"/>
  <c r="W15" i="11" s="1"/>
  <c r="E9" i="9"/>
  <c r="E15" i="9" s="1"/>
  <c r="H9" i="9"/>
  <c r="H15" i="9" s="1"/>
  <c r="U9" i="11"/>
  <c r="U15" i="11" s="1"/>
  <c r="Y9" i="11"/>
  <c r="Y15" i="11" s="1"/>
  <c r="C9" i="11"/>
  <c r="D13" i="1"/>
  <c r="K5" i="15" s="1"/>
  <c r="E9" i="11"/>
  <c r="E15" i="11" s="1"/>
  <c r="Q9" i="11"/>
  <c r="Q15" i="11" s="1"/>
  <c r="C9" i="9"/>
  <c r="M9" i="11"/>
  <c r="M15" i="11" s="1"/>
  <c r="O9" i="11"/>
  <c r="O15" i="11" s="1"/>
  <c r="K9" i="9"/>
  <c r="K15" i="9" s="1"/>
  <c r="N9" i="9"/>
  <c r="N15" i="9" s="1"/>
  <c r="D9" i="9"/>
  <c r="D15" i="9" s="1"/>
  <c r="S9" i="11"/>
  <c r="S15" i="11" s="1"/>
  <c r="J9" i="9"/>
  <c r="J15" i="9" s="1"/>
  <c r="I9" i="11"/>
  <c r="I15" i="11" s="1"/>
  <c r="F9" i="9"/>
  <c r="F15" i="9" s="1"/>
  <c r="K9" i="11"/>
  <c r="K15" i="11" s="1"/>
  <c r="M9" i="9"/>
  <c r="M15" i="9" s="1"/>
  <c r="O33" i="9"/>
  <c r="C39" i="9"/>
  <c r="AA31" i="11"/>
  <c r="O39" i="9" l="1"/>
  <c r="I13" i="1"/>
  <c r="AA36" i="11"/>
  <c r="I37" i="11"/>
  <c r="AA37" i="11"/>
  <c r="J13" i="1"/>
  <c r="N16" i="1"/>
  <c r="AA48" i="11"/>
  <c r="C15" i="9"/>
  <c r="O15" i="9" s="1"/>
  <c r="O9" i="9"/>
  <c r="AA9" i="11"/>
  <c r="AA15" i="11" s="1"/>
  <c r="C15" i="11"/>
  <c r="K9" i="1" l="1"/>
  <c r="D3" i="15"/>
  <c r="K12" i="1"/>
  <c r="K10" i="1"/>
  <c r="K11" i="1"/>
  <c r="D7" i="15"/>
  <c r="L9" i="1" l="1"/>
  <c r="L12" i="1"/>
  <c r="K13" i="1"/>
  <c r="L11" i="1"/>
  <c r="L10" i="1"/>
  <c r="M12" i="1" l="1"/>
  <c r="M11" i="1"/>
  <c r="M9" i="1"/>
  <c r="M10" i="1"/>
  <c r="L13" i="1"/>
  <c r="M13" i="1" l="1"/>
  <c r="O13" i="1"/>
  <c r="M16" i="1" l="1"/>
</calcChain>
</file>

<file path=xl/sharedStrings.xml><?xml version="1.0" encoding="utf-8"?>
<sst xmlns="http://schemas.openxmlformats.org/spreadsheetml/2006/main" count="1248" uniqueCount="355">
  <si>
    <t>RESUMEN DE INGRESOS Y EGRESOS</t>
  </si>
  <si>
    <t>REPARTICION:</t>
  </si>
  <si>
    <t>TABLA 1: RESUMEN DE INGRESOS Y EGRESOS DE CENTROS DE BENEFICIOS</t>
  </si>
  <si>
    <t>Centro de Beneficio</t>
  </si>
  <si>
    <t>Ingreso por Ventas</t>
  </si>
  <si>
    <t>Ingresos por reintegro C.A.R.</t>
  </si>
  <si>
    <t>Ingresos Totales</t>
  </si>
  <si>
    <t>REMUNERACIONES</t>
  </si>
  <si>
    <t>CONS. BÁSICOS + MATERIALES DE ASEO</t>
  </si>
  <si>
    <t>SEGURO</t>
  </si>
  <si>
    <t>MANTENCIÓN</t>
  </si>
  <si>
    <t>COSTO OPERACIÓN</t>
  </si>
  <si>
    <t>COSTO DIRECTO TOTAL</t>
  </si>
  <si>
    <t xml:space="preserve">Costos Indirectos </t>
  </si>
  <si>
    <t>Egresos Totales</t>
  </si>
  <si>
    <t>Excedente</t>
  </si>
  <si>
    <t>R.O</t>
  </si>
  <si>
    <t>% Distribución Costo Indirecto</t>
  </si>
  <si>
    <t xml:space="preserve">TOTAL </t>
  </si>
  <si>
    <t>TABLA 2: DETALLE DE INGRESOS POR PRESTACIÓN Y SEGMENTO</t>
  </si>
  <si>
    <t>Centro de Costo</t>
  </si>
  <si>
    <t>Prestación</t>
  </si>
  <si>
    <t>Cálculo Ingreso</t>
  </si>
  <si>
    <t xml:space="preserve">Ingreso por reintegro C.A.R. </t>
  </si>
  <si>
    <t xml:space="preserve">Total Anual </t>
  </si>
  <si>
    <t>C.A.R.</t>
  </si>
  <si>
    <t>Segmento 1</t>
  </si>
  <si>
    <t>Segmento 2</t>
  </si>
  <si>
    <t>Segmento 3</t>
  </si>
  <si>
    <t>Meta Ocupación</t>
  </si>
  <si>
    <t>Ingreso anual</t>
  </si>
  <si>
    <t>Ingreso total anual</t>
  </si>
  <si>
    <t>REAJUSTE DE TARIFAS Y METAS DE OCUPACIÓN POR CENTRO DE BENEFICIO</t>
  </si>
  <si>
    <t>BIENMONTT</t>
  </si>
  <si>
    <t>TABLA 3: REAJUSTE DE TARIFAS POR PRESTACIÓN Y SEGMENTO</t>
  </si>
  <si>
    <t>TABLA 4: METAS DE OCUPACIÓN POR PRESTACIÓN Y SEGMENTO</t>
  </si>
  <si>
    <t>Reajuste propuesto</t>
  </si>
  <si>
    <t>Reajuste</t>
  </si>
  <si>
    <t>Total Ocupación</t>
  </si>
  <si>
    <t>CAR</t>
  </si>
  <si>
    <t>Cabaña Chinquihue</t>
  </si>
  <si>
    <t>Cabaña</t>
  </si>
  <si>
    <t>Early check-in/Late check-out</t>
  </si>
  <si>
    <t>Cabañas Moraleda</t>
  </si>
  <si>
    <t xml:space="preserve">Cabaña </t>
  </si>
  <si>
    <t>Quincho</t>
  </si>
  <si>
    <t xml:space="preserve">Arriendo </t>
  </si>
  <si>
    <t>Cancha</t>
  </si>
  <si>
    <t>Arriendo (hora)</t>
  </si>
  <si>
    <t xml:space="preserve">ESTIMACION DE COSTOS DIRECTOS </t>
  </si>
  <si>
    <t>TABLA 5: COSTOS DIRECTOS DE CENTROS DE BENEFICIOS</t>
  </si>
  <si>
    <t>Número de Cuenta</t>
  </si>
  <si>
    <t>ítem de Gasto (según Plan de Cuenta Institucional)</t>
  </si>
  <si>
    <t>Costos Fijos</t>
  </si>
  <si>
    <t>Costos Variables</t>
  </si>
  <si>
    <t>DETALLE / OBSERVACIONES</t>
  </si>
  <si>
    <t>Costo Unitario Promedio</t>
  </si>
  <si>
    <t>Cantidad</t>
  </si>
  <si>
    <t>Total</t>
  </si>
  <si>
    <t>COSTOS DE OPERACIÓN</t>
  </si>
  <si>
    <t>REMUNERACIONES DIRECTAS</t>
  </si>
  <si>
    <t>REMUNERACIONES CÓDIGO DEL TRABAJO</t>
  </si>
  <si>
    <t>SUPLENCIAS Y REEMPLAZOS</t>
  </si>
  <si>
    <t>PERSONAL A TRATO Y TEMPORAL</t>
  </si>
  <si>
    <t>OTRAS REMUNERACIONES</t>
  </si>
  <si>
    <t>COSTOS DE MATERIALES DIRECTOS</t>
  </si>
  <si>
    <t>COSTO EXISTENCIAS VENDIDAS</t>
  </si>
  <si>
    <t>GASTO DE OPERACIÓN</t>
  </si>
  <si>
    <t>ALIMENTOS Y BEBIDAS</t>
  </si>
  <si>
    <t>TEXTILES Y ACABADOS TEXTILES</t>
  </si>
  <si>
    <t>COMBUSTIBLE LUBRIC P.VEHICULOS</t>
  </si>
  <si>
    <t>PARA CALEFACCION</t>
  </si>
  <si>
    <t>PRODUCTOS QUIMICOS</t>
  </si>
  <si>
    <t>MAT.P/MATEN.Y REPARACION</t>
  </si>
  <si>
    <t>EQUIPOS MENORES</t>
  </si>
  <si>
    <t>ELECTRICIDAD</t>
  </si>
  <si>
    <t>AGUA</t>
  </si>
  <si>
    <t>GAS</t>
  </si>
  <si>
    <t>TELEFONIA FIJA</t>
  </si>
  <si>
    <t>TELEFONIA CELULAR</t>
  </si>
  <si>
    <t>ACCESO A INTERNET</t>
  </si>
  <si>
    <t>SERVICIOS DE ASEO</t>
  </si>
  <si>
    <t>PASAJES, FLETES Y BODEGAJE</t>
  </si>
  <si>
    <t>SERVICIO DE SUSCRIPCION</t>
  </si>
  <si>
    <t>SERVICIOS INFORMATICOS</t>
  </si>
  <si>
    <t>GASTOS MENORES (FOFI)</t>
  </si>
  <si>
    <t>MAQUINAS Y EQUIPOS DE OFICINA</t>
  </si>
  <si>
    <t>GASTOS DE ADMINISTRACIÓN Y VENTAS</t>
  </si>
  <si>
    <t>GASTO EN PERSONAL</t>
  </si>
  <si>
    <t>VESTUARIO ACC.Y PRENDAS DIVERS</t>
  </si>
  <si>
    <t>CALZADO</t>
  </si>
  <si>
    <t>CURSOS DE CAPACITACION</t>
  </si>
  <si>
    <t>VIATICOS PERSONAL COD.TRABAJO</t>
  </si>
  <si>
    <t>CONSUMOS BÁSICOS</t>
  </si>
  <si>
    <t>ENLACES DE TELECOMUNICACIONES</t>
  </si>
  <si>
    <t>OTROS SERVICIOS BASICOS</t>
  </si>
  <si>
    <t>BIENES DE CONSUMO</t>
  </si>
  <si>
    <t>COMB.LUBR.DIRECTOS-INDIRECTOS</t>
  </si>
  <si>
    <t>MATERIALES DE OFICINA</t>
  </si>
  <si>
    <t>PROD.QUIMIC,FARMACEUTICOS IND.</t>
  </si>
  <si>
    <t>FERT.INSECT.FUNG.Y OTROS</t>
  </si>
  <si>
    <t>MATERIALES Y UTILES DE ASEO</t>
  </si>
  <si>
    <t>MENAJE OFICINA CASINO Y OTROS</t>
  </si>
  <si>
    <t>MOBILIARIO Y OTROS</t>
  </si>
  <si>
    <t>EQUIPOS COMPUTACIONALES</t>
  </si>
  <si>
    <t>COSTO SERVICIO DESAYUNO</t>
  </si>
  <si>
    <t>COSTOS DE TEXT. VEST,O PRENDAS</t>
  </si>
  <si>
    <t>SERVICIOS GENERALES</t>
  </si>
  <si>
    <t>SERVICIO DE PUBLICIDAD</t>
  </si>
  <si>
    <t>SERVICIO DE IMPRESION</t>
  </si>
  <si>
    <t>SERVICIOS DE VIGILANCIA</t>
  </si>
  <si>
    <t>OTROS SERVICIOS GENERALES</t>
  </si>
  <si>
    <t>ARRIENDO DE TERRENOS</t>
  </si>
  <si>
    <t>ARRIENDO DE MOBILIARIO Y OTROS</t>
  </si>
  <si>
    <t>ARRIENDO DE MAQUINAS Y EQUIPOS</t>
  </si>
  <si>
    <t>OTROS ARRIENDOS</t>
  </si>
  <si>
    <t>SEGURO INMUEBLES</t>
  </si>
  <si>
    <t>MANTENCIÓN Y REPARACIÓN</t>
  </si>
  <si>
    <t>MANT.Y REPAR. MOBILIARIO Y OTROS</t>
  </si>
  <si>
    <t>MANT.Y REPAR. DE EQUIPOS OFICINA</t>
  </si>
  <si>
    <t>MANT.Y REPAR. OTRAS MAQ. Y EQUIP.</t>
  </si>
  <si>
    <t>MANT.Y REPAR. EQUIPOS INFORMATICOS</t>
  </si>
  <si>
    <t>OTROS MANTEN. Y REPAR. MENORES</t>
  </si>
  <si>
    <t>SERVICIO DE MANTENCION JARDINES</t>
  </si>
  <si>
    <t>OTROS GASTOS IMPREVISTOS</t>
  </si>
  <si>
    <t>OTROS GASTOS</t>
  </si>
  <si>
    <t>COMISIONES TRANSBANK</t>
  </si>
  <si>
    <t>OTROS MATERIALES DE USO CONSUMO</t>
  </si>
  <si>
    <t>REMUNERACIONES TOTALES CÓDIGO DEL TRABAJO</t>
  </si>
  <si>
    <t>MATERIALES P/MATEN.Y REPARACION</t>
  </si>
  <si>
    <t>VESTUARIO ACC.Y PRENDAS DIVERSAS</t>
  </si>
  <si>
    <t>MAT.Y UTILES DE ASEO</t>
  </si>
  <si>
    <t xml:space="preserve">COSTOS INDIRECTOS </t>
  </si>
  <si>
    <t>TABLA 6: REMUNERACIONES DEL PERSONAL LEY 18.712 ADMINISTRACION CENTRAL Y APOYO ADMINISTRATIVO ASISTENCIA RECREATIVA</t>
  </si>
  <si>
    <t>TABLA 7: DISTRIBUCION COSTOS REMUNERACIONES ADMINISTRACION CENTRAL Y APOYO ADMINISTRATIVO A. RECREATIVA</t>
  </si>
  <si>
    <t>TABLA 8: COSTOS DE OPERACION ADMINISTRACIÓN CENTRAL Y  APOYO ADMINISTRATIVO ASISTENCIA RECREATIVA</t>
  </si>
  <si>
    <t>TABLA 9: RESUMEN DISTRIBUCION COSTOS REMUNERACIONES ADMINISTRACION CENTRAL Y APOYO ADMINISTRATIVO A. RECREATIVA</t>
  </si>
  <si>
    <t>TABLA 10: RESUMEN DISTRIBUCION COSTOS OPERACIÓN ADMINISTRACION CENTRAL  Y APOYO ADMINISTRATIVO A. RECREATIVA</t>
  </si>
  <si>
    <t>TABLA 11: FINANCIAMIENTO ADM. CENTRAL  Y APOYO ADMINISTRATIVO 
(REMUNERACIONES + COSTO OPERACIÓN)</t>
  </si>
  <si>
    <t>Unidades de Apoyo Administrativo</t>
  </si>
  <si>
    <t>Nombre</t>
  </si>
  <si>
    <t>Apellido</t>
  </si>
  <si>
    <t>Ocupación / Cargo</t>
  </si>
  <si>
    <t>ASISTENCIA RECREATIVA</t>
  </si>
  <si>
    <t>ASISTENCIA EDUCACIONAL</t>
  </si>
  <si>
    <t>ASISTENCIA COMERCIAL</t>
  </si>
  <si>
    <t>Tiempo Total</t>
  </si>
  <si>
    <t>Costo Total empresa</t>
  </si>
  <si>
    <t>Total Bonos anual</t>
  </si>
  <si>
    <t>Total Aguinaldos anual</t>
  </si>
  <si>
    <t>% tiempo</t>
  </si>
  <si>
    <t>$ Costo</t>
  </si>
  <si>
    <t>$ Costo Total</t>
  </si>
  <si>
    <t>$Costo Total</t>
  </si>
  <si>
    <t>ADMINISTRACIÓN CENTRAL</t>
  </si>
  <si>
    <t>Departamento de Finanzas y Abastecimiento</t>
  </si>
  <si>
    <t>Departamento de RR.HH.</t>
  </si>
  <si>
    <t>Departamento de Informática</t>
  </si>
  <si>
    <t>Otros</t>
  </si>
  <si>
    <t>APORTE INSTITUCIONAL</t>
  </si>
  <si>
    <t>ÁREA APOYO A. RECREATIVA</t>
  </si>
  <si>
    <t>Asistencia Recreativa</t>
  </si>
  <si>
    <t>COSTO  TOTAL</t>
  </si>
  <si>
    <t>RESUMEN DE TARIFADO</t>
  </si>
  <si>
    <t>TABLA 12: RESUMEN DE TARIFADO</t>
  </si>
  <si>
    <t>Reajuste en pesos ($)</t>
  </si>
  <si>
    <t xml:space="preserve">Reajuste en porcentaje (%) </t>
  </si>
  <si>
    <t>Seg. 1</t>
  </si>
  <si>
    <t>Seg. 2</t>
  </si>
  <si>
    <t>Seg. 3</t>
  </si>
  <si>
    <t>REMUNERACIONES DEL PERSONAL CÓDIGO DEL TRABAJO</t>
  </si>
  <si>
    <t>TABLA13: REMUNERACIONES DEL PERSONAL LEY 18.712 DE CENTROS DE BENEFICIOS</t>
  </si>
  <si>
    <t>Tipo Personal</t>
  </si>
  <si>
    <t>Costo Total Remuneraciones por Centro de Beneficio</t>
  </si>
  <si>
    <t>Personal Permanente</t>
  </si>
  <si>
    <t>Personal No Permanente
(Estival)</t>
  </si>
  <si>
    <t>COMPARACIÓN TARIFAS CON PRECIOS DE MERCADO</t>
  </si>
  <si>
    <r>
      <t xml:space="preserve">Con el objeto de medir comparativamente el bienestar otorgado al personal de la Armada por el Area Recreativa, es necesario recabar antecedentes comparativos que permitan cuantificar las alternativas de precios que ofrece el mercado </t>
    </r>
    <r>
      <rPr>
        <b/>
        <u/>
        <sz val="10"/>
        <rFont val="Arial"/>
        <family val="2"/>
      </rPr>
      <t>dentro de la misma comuna en la que se encuentran los Centros Recreativos de su Repartición</t>
    </r>
    <r>
      <rPr>
        <sz val="11"/>
        <color theme="1"/>
        <rFont val="Calibri"/>
        <family val="2"/>
        <scheme val="minor"/>
      </rPr>
      <t xml:space="preserve">. Este cuadro comparativo debe ser completado con, </t>
    </r>
    <r>
      <rPr>
        <b/>
        <u/>
        <sz val="10"/>
        <rFont val="Arial"/>
        <family val="2"/>
      </rPr>
      <t>AL MENOS</t>
    </r>
    <r>
      <rPr>
        <sz val="11"/>
        <color theme="1"/>
        <rFont val="Calibri"/>
        <family val="2"/>
        <scheme val="minor"/>
      </rPr>
      <t xml:space="preserve">, dos instituciones públicas o privadas </t>
    </r>
    <r>
      <rPr>
        <b/>
        <u/>
        <sz val="10"/>
        <rFont val="Arial"/>
        <family val="2"/>
      </rPr>
      <t>que puedan considerarse como principal competencias directas</t>
    </r>
    <r>
      <rPr>
        <sz val="11"/>
        <color theme="1"/>
        <rFont val="Calibri"/>
        <family val="2"/>
        <scheme val="minor"/>
      </rPr>
      <t xml:space="preserve"> y que otorguen </t>
    </r>
    <r>
      <rPr>
        <b/>
        <u/>
        <sz val="10"/>
        <rFont val="Arial"/>
        <family val="2"/>
      </rPr>
      <t>prestaciones de calidad igual o similar</t>
    </r>
    <r>
      <rPr>
        <sz val="11"/>
        <color theme="1"/>
        <rFont val="Calibri"/>
        <family val="2"/>
        <scheme val="minor"/>
      </rPr>
      <t xml:space="preserve"> a las brindadas por las instalaciones de este Departamento/Delegación.</t>
    </r>
  </si>
  <si>
    <t>% respecto a Precio Promedio Mercado</t>
  </si>
  <si>
    <t>COMPARACIÓN 1</t>
  </si>
  <si>
    <t>COMPARACIÓN 2</t>
  </si>
  <si>
    <t>Precio promedio mercado</t>
  </si>
  <si>
    <t>Institución</t>
  </si>
  <si>
    <t>Precio</t>
  </si>
  <si>
    <t>DETALLE DE DATOS COMPLEMENTARIOS</t>
  </si>
  <si>
    <t>REPARTICIÓN:</t>
  </si>
  <si>
    <t>TABLA N°15:  RESULTADO OPERACIONAL MENSUAL</t>
  </si>
  <si>
    <t>CENTRO DE BENEFICIO "Cabaña Chinquihue"</t>
  </si>
  <si>
    <t>ENERO</t>
  </si>
  <si>
    <t>FEBRERO</t>
  </si>
  <si>
    <t>MARZO</t>
  </si>
  <si>
    <t>ABRIL</t>
  </si>
  <si>
    <t>MAYO</t>
  </si>
  <si>
    <t>JUNIO</t>
  </si>
  <si>
    <t>JULIO</t>
  </si>
  <si>
    <t>AGOSTO</t>
  </si>
  <si>
    <t>SEPTIEMBRE</t>
  </si>
  <si>
    <t>OCTUBRE</t>
  </si>
  <si>
    <t>NOVIEMBRE</t>
  </si>
  <si>
    <t>DICIEMBRE</t>
  </si>
  <si>
    <t>ACUMULADO A DICIEMBRE</t>
  </si>
  <si>
    <t>INGRESOS DE OPERACIÓN</t>
  </si>
  <si>
    <t>REMUNERACIONES COD.DEL TRABAJO (Permanente)</t>
  </si>
  <si>
    <t>REMUNERACIONES COD.DEL TRABAJO (No Permanente)</t>
  </si>
  <si>
    <t>BONOS Y AGUINALDOS CÓDIGO DEL TRABAJO</t>
  </si>
  <si>
    <t>COSTOS  DE OPERACIÓN</t>
  </si>
  <si>
    <t>RESULTADO OPERACIONAL</t>
  </si>
  <si>
    <t>DISTRIBUCIÓN INGRESOS</t>
  </si>
  <si>
    <t xml:space="preserve">        DISTRIBUCIÓN COSTOS DE OPERACIÓN</t>
  </si>
  <si>
    <t>CENTRO DE BENEFICIO  "Cabañas Moraleda"</t>
  </si>
  <si>
    <t>CENTRO DE BENEFICIO  "Quincho"</t>
  </si>
  <si>
    <t>CENTRO DE BENEFICIO  "Cancha"</t>
  </si>
  <si>
    <t>REAL REMUNERACIONES</t>
  </si>
  <si>
    <t>REAL REMUNERACION</t>
  </si>
  <si>
    <t>REAL ENERO</t>
  </si>
  <si>
    <t>REAL FEBRERO</t>
  </si>
  <si>
    <t>REAL MARZO</t>
  </si>
  <si>
    <t>REAL ABRIL</t>
  </si>
  <si>
    <t>REAL MAYO</t>
  </si>
  <si>
    <t>REAL JUNIO</t>
  </si>
  <si>
    <t>REAL JULIO</t>
  </si>
  <si>
    <t>REAL AGOSTO</t>
  </si>
  <si>
    <t>REAL SEPTIEMBRE</t>
  </si>
  <si>
    <t>REAL OCTUBRE</t>
  </si>
  <si>
    <t>REAL NOVIEMBRE</t>
  </si>
  <si>
    <t>REAL DICIEMBRE</t>
  </si>
  <si>
    <t>Pp Enero</t>
  </si>
  <si>
    <t>Real Enero</t>
  </si>
  <si>
    <t>Pp Febrero</t>
  </si>
  <si>
    <t>Real Febrero</t>
  </si>
  <si>
    <t>Pp Marzo</t>
  </si>
  <si>
    <t>Real Marzo</t>
  </si>
  <si>
    <t>Pp Abril</t>
  </si>
  <si>
    <t>Real Abril</t>
  </si>
  <si>
    <t>Pp Mayo</t>
  </si>
  <si>
    <t>Real Mayo</t>
  </si>
  <si>
    <t>Pp Junio</t>
  </si>
  <si>
    <t>Real Junio</t>
  </si>
  <si>
    <t>Pp Julio</t>
  </si>
  <si>
    <t>Real Julio</t>
  </si>
  <si>
    <t>Pp Agosto</t>
  </si>
  <si>
    <t>Real Septiembre</t>
  </si>
  <si>
    <t>Pp Octubre</t>
  </si>
  <si>
    <t>Real Octubre</t>
  </si>
  <si>
    <t>Pp Noviembre</t>
  </si>
  <si>
    <t>Real Noviembre</t>
  </si>
  <si>
    <t>Pp Diciembre</t>
  </si>
  <si>
    <t>Real Agosto</t>
  </si>
  <si>
    <t>Pp Septiembre</t>
  </si>
  <si>
    <t>Real Diciembre</t>
  </si>
  <si>
    <t>Resultado Operacional</t>
  </si>
  <si>
    <t xml:space="preserve">Ingreso </t>
  </si>
  <si>
    <t xml:space="preserve">Remuneraciones </t>
  </si>
  <si>
    <t xml:space="preserve">Costos de operación </t>
  </si>
  <si>
    <t>RENTABILIDAD</t>
  </si>
  <si>
    <t>CONSOLIDADO</t>
  </si>
  <si>
    <t>REAL</t>
  </si>
  <si>
    <t>MES</t>
  </si>
  <si>
    <t>GASTOS ADM. Y VENTAS</t>
  </si>
  <si>
    <t xml:space="preserve">        DISTRIBUCIÓN COSTOS DE ADM. Y VENTAS</t>
  </si>
  <si>
    <t>DISTRIBUCION COSTOS DE ADM. Y VENTAS</t>
  </si>
  <si>
    <t>ÍNDICE DE TABLAS</t>
  </si>
  <si>
    <t>A) Resumen Ingresos y Egresos</t>
  </si>
  <si>
    <t>TABLA 2:  DETALLE DE INGRESOS POR PRESTACIÓN Y SEGMENTO</t>
  </si>
  <si>
    <t>B) Reajuste Tarifa y Ocupación</t>
  </si>
  <si>
    <t>C) Estimación Costos Directos</t>
  </si>
  <si>
    <t xml:space="preserve">TABLA 5: COSTOS DIRECTOS DE CENTROS DE BENEFICIOS </t>
  </si>
  <si>
    <t>D) Costos Indirectos</t>
  </si>
  <si>
    <t>E) Resumen Tarifado</t>
  </si>
  <si>
    <t>F) Remuneraciones</t>
  </si>
  <si>
    <t>TABLA 13: REMUNERACIONES DEL PERSONAL LEY 18.712 DE CENTROS DE BENEFICIOS</t>
  </si>
  <si>
    <t>G) Comparación Mercado</t>
  </si>
  <si>
    <t>TABLA 14:COMPARACIÓN TARIFAS CON PRECIOS DE MERCADO</t>
  </si>
  <si>
    <t>H) Detalle Datos</t>
  </si>
  <si>
    <t>I)Estructua Económica Mensual</t>
  </si>
  <si>
    <t xml:space="preserve">Rentabilidad </t>
  </si>
  <si>
    <t>R.O / Ingresos</t>
  </si>
  <si>
    <t>Cabañas Chinquihue</t>
  </si>
  <si>
    <t>TOTAL</t>
  </si>
  <si>
    <t>Remuneraciones</t>
  </si>
  <si>
    <t>C. Chinquihue</t>
  </si>
  <si>
    <t>Resultado Ope.</t>
  </si>
  <si>
    <t xml:space="preserve">Enero </t>
  </si>
  <si>
    <t>Febrero</t>
  </si>
  <si>
    <t>Marzo</t>
  </si>
  <si>
    <t>Abril</t>
  </si>
  <si>
    <t>Mayo</t>
  </si>
  <si>
    <t>Junio</t>
  </si>
  <si>
    <t>Julio</t>
  </si>
  <si>
    <t>Agosto</t>
  </si>
  <si>
    <t>Septiembre</t>
  </si>
  <si>
    <t>Octubre</t>
  </si>
  <si>
    <t>Noviembre</t>
  </si>
  <si>
    <t>Diciembre</t>
  </si>
  <si>
    <t>Acu. Diciem.</t>
  </si>
  <si>
    <t>Total %</t>
  </si>
  <si>
    <t>Proyectado</t>
  </si>
  <si>
    <t>C. Moraleda</t>
  </si>
  <si>
    <t>Enero</t>
  </si>
  <si>
    <t>Ing. Operaciónal</t>
  </si>
  <si>
    <t>Proyectado 2022</t>
  </si>
  <si>
    <t>Ingresos proyectados</t>
  </si>
  <si>
    <t>Rentabilidad</t>
  </si>
  <si>
    <t>2023 respecto 2019</t>
  </si>
  <si>
    <t>2022 proyectado</t>
  </si>
  <si>
    <t>2023 deptos y deleg</t>
  </si>
  <si>
    <t>Adicional</t>
  </si>
  <si>
    <t xml:space="preserve">ACUMULADO </t>
  </si>
  <si>
    <t>RO FINAL</t>
  </si>
  <si>
    <t>Tarifas 2024</t>
  </si>
  <si>
    <t>Tarifas  2025</t>
  </si>
  <si>
    <t>Costo Total empresa
2025</t>
  </si>
  <si>
    <t>Propuesta Tarifas 2025</t>
  </si>
  <si>
    <t xml:space="preserve"> </t>
  </si>
  <si>
    <t>NELSON</t>
  </si>
  <si>
    <t>BENNETT</t>
  </si>
  <si>
    <t>Contador General y RR.HH.</t>
  </si>
  <si>
    <t>ADM. CENTRAL</t>
  </si>
  <si>
    <t>JORGE</t>
  </si>
  <si>
    <t>SILVA</t>
  </si>
  <si>
    <t xml:space="preserve">Adm.Contable </t>
  </si>
  <si>
    <t>Cabañas Mirador de Panitao</t>
  </si>
  <si>
    <t>Cabañas CentroMontt</t>
  </si>
  <si>
    <t>Cabañas del Puerto</t>
  </si>
  <si>
    <t>Cabañas Bellavista</t>
  </si>
  <si>
    <t>Quincho Paredes</t>
  </si>
  <si>
    <t>Quincho Fuerza Aérea</t>
  </si>
  <si>
    <t>Cancha Holandesa</t>
  </si>
  <si>
    <t>Cancha Jardín Austral</t>
  </si>
  <si>
    <t>Asistencia Educacional</t>
  </si>
  <si>
    <t>Asistencia Comercial</t>
  </si>
  <si>
    <t xml:space="preserve"> Reajuste ($)</t>
  </si>
  <si>
    <t>Segmento
 1</t>
  </si>
  <si>
    <t>Segmento 
2</t>
  </si>
  <si>
    <t>Segmento 
3</t>
  </si>
  <si>
    <t>COSTO DIRECTO ESTIMADO 2026</t>
  </si>
  <si>
    <t>Tarifas 2026</t>
  </si>
  <si>
    <t>Tarifa 2026</t>
  </si>
  <si>
    <t>Tarifas 2025</t>
  </si>
  <si>
    <t>Propuesta Tarifas 2026</t>
  </si>
  <si>
    <t>COSTO INDIRECTO ESTIMADO 2026</t>
  </si>
  <si>
    <t>REMUNERACIONES 2025</t>
  </si>
  <si>
    <t>Costo Total anual por Servidor 2025</t>
  </si>
  <si>
    <t>Costo Total por Servidor Reajustado 2026</t>
  </si>
  <si>
    <t>Meta Ocupación 2026</t>
  </si>
  <si>
    <t>Tarifas  2026</t>
  </si>
  <si>
    <t>RENOVACION SABANAS</t>
  </si>
  <si>
    <t>LEÑA PARA LAS ESTUFAS DE LAS CABAÑAS</t>
  </si>
  <si>
    <t xml:space="preserve">CONSUMOS BÁSICOS CABAÑAS </t>
  </si>
  <si>
    <t>GASTOS MENORES CABAÑAS</t>
  </si>
  <si>
    <t>MATERIALES DE ASEO CABAÑAS</t>
  </si>
  <si>
    <t>RENOVACIÓN MENAJE LOZA Y CUBIERTOS</t>
  </si>
  <si>
    <t>RECARGA 8 EXTINTORES X $ 28.215 C/U</t>
  </si>
  <si>
    <t>GASTO TELEVISIÓN POR CABLE</t>
  </si>
  <si>
    <t xml:space="preserve">CONSUMOS BÁSICOS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</si>
</sst>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42" formatCode="_ &quot;$&quot;* #,##0_ ;_ &quot;$&quot;* \-#,##0_ ;_ &quot;$&quot;* &quot;-&quot;_ ;_ @_ "/>
    <numFmt numFmtId="44" formatCode="_ &quot;$&quot;* #,##0.00_ ;_ &quot;$&quot;* \-#,##0.00_ ;_ &quot;$&quot;* &quot;-&quot;??_ ;_ @_ "/>
    <numFmt numFmtId="43" formatCode="_ * #,##0.00_ ;_ * \-#,##0.00_ ;_ * &quot;-&quot;??_ ;_ @_ "/>
    <numFmt numFmtId="164" formatCode="&quot;$&quot;\ #,##0;[Red]\-&quot;$&quot;\ #,##0"/>
    <numFmt numFmtId="165" formatCode="_-&quot;$ &quot;* #,##0_-;&quot;-$ &quot;* #,##0_-;_-&quot;$ &quot;* \-_-;_-@_-"/>
    <numFmt numFmtId="166" formatCode="#,##0_ ;[Red]\-#,##0\ "/>
    <numFmt numFmtId="167" formatCode="_-\ * #,##0_-;&quot;$ &quot;* #,##0_-;_-\ * \-_-;_-@_-"/>
    <numFmt numFmtId="168" formatCode="_-&quot;$&quot;* #,##0_-;\-&quot;$&quot;* #,##0_-;_-&quot;$&quot;* &quot;-&quot;??_-;_-@_-"/>
    <numFmt numFmtId="169" formatCode="0.0%"/>
    <numFmt numFmtId="170" formatCode="#,##0_ ;\-#,##0\ "/>
    <numFmt numFmtId="171" formatCode="_-\$* #,##0_-;&quot;-$&quot;* #,##0_-;_-\$* \-??_-;_-@_-"/>
    <numFmt numFmtId="172" formatCode="_-* #,##0.0_-;\-* #,##0.0_-;_-* \-??_-;_-@_-"/>
    <numFmt numFmtId="173" formatCode="_(* #,##0_);_(* \(#,##0\);_(* \-_);_(@_)"/>
    <numFmt numFmtId="174" formatCode="_-* #,##0_-;\-* #,##0_-;_-* \-??_-;_-@_-"/>
    <numFmt numFmtId="175" formatCode="\$#,##0_);&quot;($&quot;#,##0\)"/>
    <numFmt numFmtId="176" formatCode="&quot;$&quot;\ #,##0"/>
    <numFmt numFmtId="177" formatCode="_-[$$-340A]\ * #,##0_-;\-[$$-340A]\ * #,##0_-;_-[$$-340A]\ * &quot;-&quot;??_-;_-@_-"/>
    <numFmt numFmtId="178" formatCode="0.0000"/>
    <numFmt numFmtId="179" formatCode="0.0\ %"/>
    <numFmt numFmtId="180" formatCode="0.00\ %"/>
    <numFmt numFmtId="181" formatCode="_-&quot;$&quot;\ * #,##0_-;\-&quot;$&quot;\ * #,##0_-;_-&quot;$&quot;\ *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indexed="10"/>
      <name val="Arial"/>
      <family val="2"/>
    </font>
    <font>
      <b/>
      <sz val="10"/>
      <name val="Arial"/>
      <family val="2"/>
    </font>
    <font>
      <b/>
      <sz val="10"/>
      <color indexed="40"/>
      <name val="Arial"/>
      <family val="2"/>
    </font>
    <font>
      <sz val="10"/>
      <name val="Arial"/>
      <family val="2"/>
    </font>
    <font>
      <b/>
      <sz val="12"/>
      <name val="Arial"/>
      <family val="2"/>
    </font>
    <font>
      <b/>
      <sz val="10"/>
      <color theme="0"/>
      <name val="Arial"/>
      <family val="2"/>
    </font>
    <font>
      <b/>
      <sz val="12"/>
      <color theme="0"/>
      <name val="Arial"/>
      <family val="2"/>
    </font>
    <font>
      <b/>
      <sz val="11"/>
      <name val="Arial"/>
      <family val="2"/>
    </font>
    <font>
      <b/>
      <sz val="10"/>
      <color indexed="8"/>
      <name val="Arial"/>
      <family val="2"/>
    </font>
    <font>
      <sz val="10"/>
      <color indexed="8"/>
      <name val="Arial"/>
      <family val="2"/>
    </font>
    <font>
      <sz val="10"/>
      <color theme="0"/>
      <name val="Arial"/>
      <family val="2"/>
    </font>
    <font>
      <b/>
      <u/>
      <sz val="12"/>
      <color rgb="FF0000CC"/>
      <name val="Arial"/>
      <family val="2"/>
    </font>
    <font>
      <b/>
      <sz val="10"/>
      <color indexed="9"/>
      <name val="Arial"/>
      <family val="2"/>
    </font>
    <font>
      <b/>
      <sz val="16"/>
      <name val="Arial"/>
      <family val="2"/>
    </font>
    <font>
      <sz val="10"/>
      <color theme="1"/>
      <name val="Arial"/>
      <family val="2"/>
    </font>
    <font>
      <b/>
      <sz val="10"/>
      <color theme="1"/>
      <name val="Arial"/>
      <family val="2"/>
    </font>
    <font>
      <b/>
      <u/>
      <sz val="10"/>
      <name val="Arial"/>
      <family val="2"/>
    </font>
    <font>
      <sz val="8"/>
      <name val="Arial"/>
      <family val="2"/>
    </font>
    <font>
      <b/>
      <u/>
      <sz val="10"/>
      <color rgb="FF0000CC"/>
      <name val="Arial"/>
      <family val="2"/>
    </font>
    <font>
      <b/>
      <sz val="11"/>
      <name val="Calibri"/>
      <family val="2"/>
      <scheme val="minor"/>
    </font>
    <font>
      <b/>
      <u/>
      <sz val="11"/>
      <color theme="1"/>
      <name val="Calibri"/>
      <family val="2"/>
      <scheme val="minor"/>
    </font>
    <font>
      <b/>
      <sz val="14"/>
      <name val="Arial"/>
      <family val="2"/>
    </font>
    <font>
      <sz val="11"/>
      <color rgb="FFFF0000"/>
      <name val="Calibri"/>
      <family val="2"/>
      <scheme val="minor"/>
    </font>
    <font>
      <b/>
      <sz val="8"/>
      <color rgb="FF000000"/>
      <name val="Arial"/>
      <family val="2"/>
    </font>
    <font>
      <sz val="11"/>
      <color theme="1"/>
      <name val="Arial"/>
      <family val="2"/>
    </font>
    <font>
      <b/>
      <sz val="11"/>
      <color theme="0"/>
      <name val="Calibri"/>
      <family val="2"/>
      <scheme val="minor"/>
    </font>
    <font>
      <b/>
      <sz val="11"/>
      <color indexed="10"/>
      <name val="Calibri"/>
      <family val="2"/>
      <scheme val="minor"/>
    </font>
    <font>
      <b/>
      <sz val="11"/>
      <color indexed="40"/>
      <name val="Calibri"/>
      <family val="2"/>
      <scheme val="minor"/>
    </font>
    <font>
      <b/>
      <sz val="11"/>
      <color rgb="FF0000CC"/>
      <name val="Calibri"/>
      <family val="2"/>
      <scheme val="minor"/>
    </font>
  </fonts>
  <fills count="59">
    <fill>
      <patternFill patternType="none"/>
    </fill>
    <fill>
      <patternFill patternType="gray125"/>
    </fill>
    <fill>
      <patternFill patternType="solid">
        <fgColor rgb="FFFFFF00"/>
        <bgColor indexed="64"/>
      </patternFill>
    </fill>
    <fill>
      <patternFill patternType="solid">
        <fgColor theme="0" tint="-0.249977111117893"/>
        <bgColor indexed="26"/>
      </patternFill>
    </fill>
    <fill>
      <patternFill patternType="solid">
        <fgColor theme="3"/>
        <bgColor indexed="26"/>
      </patternFill>
    </fill>
    <fill>
      <patternFill patternType="solid">
        <fgColor theme="5" tint="0.39997558519241921"/>
        <bgColor indexed="26"/>
      </patternFill>
    </fill>
    <fill>
      <patternFill patternType="solid">
        <fgColor rgb="FFC00000"/>
        <bgColor indexed="26"/>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indexed="9"/>
        <bgColor indexed="26"/>
      </patternFill>
    </fill>
    <fill>
      <patternFill patternType="solid">
        <fgColor theme="3" tint="-0.249977111117893"/>
        <bgColor indexed="24"/>
      </patternFill>
    </fill>
    <fill>
      <patternFill patternType="solid">
        <fgColor theme="3" tint="0.39997558519241921"/>
        <bgColor indexed="26"/>
      </patternFill>
    </fill>
    <fill>
      <patternFill patternType="solid">
        <fgColor indexed="9"/>
        <bgColor indexed="64"/>
      </patternFill>
    </fill>
    <fill>
      <patternFill patternType="solid">
        <fgColor theme="3" tint="0.79998168889431442"/>
        <bgColor indexed="24"/>
      </patternFill>
    </fill>
    <fill>
      <patternFill patternType="gray125">
        <bgColor indexed="9"/>
      </patternFill>
    </fill>
    <fill>
      <patternFill patternType="gray125">
        <fgColor indexed="24"/>
        <bgColor theme="3" tint="0.79998168889431442"/>
      </patternFill>
    </fill>
    <fill>
      <patternFill patternType="solid">
        <fgColor theme="3" tint="0.39997558519241921"/>
        <bgColor indexed="44"/>
      </patternFill>
    </fill>
    <fill>
      <patternFill patternType="solid">
        <fgColor rgb="FFFFFF00"/>
        <bgColor indexed="26"/>
      </patternFill>
    </fill>
    <fill>
      <patternFill patternType="solid">
        <fgColor rgb="FFFFFFFF"/>
        <bgColor indexed="64"/>
      </patternFill>
    </fill>
    <fill>
      <patternFill patternType="solid">
        <fgColor theme="0" tint="-0.249977111117893"/>
        <bgColor indexed="24"/>
      </patternFill>
    </fill>
    <fill>
      <patternFill patternType="solid">
        <fgColor theme="0"/>
        <bgColor indexed="64"/>
      </patternFill>
    </fill>
    <fill>
      <patternFill patternType="solid">
        <fgColor theme="4" tint="0.59999389629810485"/>
        <bgColor indexed="64"/>
      </patternFill>
    </fill>
    <fill>
      <patternFill patternType="gray125">
        <bgColor theme="0"/>
      </patternFill>
    </fill>
    <fill>
      <patternFill patternType="gray125">
        <bgColor theme="4" tint="0.59999389629810485"/>
      </patternFill>
    </fill>
    <fill>
      <patternFill patternType="solid">
        <fgColor theme="0" tint="-0.249977111117893"/>
        <bgColor indexed="44"/>
      </patternFill>
    </fill>
    <fill>
      <patternFill patternType="solid">
        <fgColor theme="5" tint="0.39997558519241921"/>
        <bgColor indexed="24"/>
      </patternFill>
    </fill>
    <fill>
      <patternFill patternType="solid">
        <fgColor theme="5" tint="0.39997558519241921"/>
        <bgColor indexed="40"/>
      </patternFill>
    </fill>
    <fill>
      <patternFill patternType="solid">
        <fgColor theme="5" tint="0.39994506668294322"/>
        <bgColor auto="1"/>
      </patternFill>
    </fill>
    <fill>
      <patternFill patternType="gray125">
        <fgColor auto="1"/>
        <bgColor theme="5" tint="0.39997558519241921"/>
      </patternFill>
    </fill>
    <fill>
      <patternFill patternType="solid">
        <fgColor theme="5" tint="0.79998168889431442"/>
        <bgColor indexed="24"/>
      </patternFill>
    </fill>
    <fill>
      <patternFill patternType="gray125">
        <fgColor auto="1"/>
        <bgColor theme="5" tint="0.79998168889431442"/>
      </patternFill>
    </fill>
    <fill>
      <patternFill patternType="gray125">
        <bgColor theme="3" tint="0.79998168889431442"/>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3" tint="0.39997558519241921"/>
        <bgColor indexed="24"/>
      </patternFill>
    </fill>
    <fill>
      <patternFill patternType="gray125">
        <fgColor auto="1"/>
        <bgColor theme="3" tint="0.39997558519241921"/>
      </patternFill>
    </fill>
    <fill>
      <patternFill patternType="solid">
        <fgColor theme="4" tint="0.79998168889431442"/>
        <bgColor indexed="44"/>
      </patternFill>
    </fill>
    <fill>
      <patternFill patternType="gray125">
        <fgColor auto="1"/>
        <bgColor theme="4" tint="0.79998168889431442"/>
      </patternFill>
    </fill>
    <fill>
      <patternFill patternType="solid">
        <fgColor theme="5" tint="0.39997558519241921"/>
        <bgColor indexed="64"/>
      </patternFill>
    </fill>
    <fill>
      <patternFill patternType="solid">
        <fgColor theme="3" tint="0.39997558519241921"/>
        <bgColor indexed="64"/>
      </patternFill>
    </fill>
    <fill>
      <patternFill patternType="solid">
        <fgColor rgb="FF00B0F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0" tint="-0.14999847407452621"/>
        <bgColor indexed="64"/>
      </patternFill>
    </fill>
    <fill>
      <patternFill patternType="gray125">
        <bgColor theme="0" tint="-0.14999847407452621"/>
      </patternFill>
    </fill>
    <fill>
      <patternFill patternType="solid">
        <fgColor theme="2"/>
        <bgColor indexed="64"/>
      </patternFill>
    </fill>
    <fill>
      <patternFill patternType="gray125">
        <bgColor theme="3" tint="0.79995117038483843"/>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2F5A9"/>
        <bgColor indexed="64"/>
      </patternFill>
    </fill>
    <fill>
      <patternFill patternType="solid">
        <fgColor rgb="FFDBA901"/>
        <bgColor indexed="64"/>
      </patternFill>
    </fill>
    <fill>
      <patternFill patternType="solid">
        <fgColor theme="7" tint="-0.249977111117893"/>
        <bgColor indexed="64"/>
      </patternFill>
    </fill>
    <fill>
      <patternFill patternType="lightGray">
        <bgColor rgb="FFFFFF00"/>
      </patternFill>
    </fill>
    <fill>
      <patternFill patternType="solid">
        <fgColor theme="4" tint="-0.249977111117893"/>
        <bgColor indexed="24"/>
      </patternFill>
    </fill>
    <fill>
      <patternFill patternType="solid">
        <fgColor theme="4" tint="-0.249977111117893"/>
        <bgColor indexed="64"/>
      </patternFill>
    </fill>
  </fills>
  <borders count="244">
    <border>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indexed="8"/>
      </bottom>
      <diagonal/>
    </border>
    <border>
      <left style="thin">
        <color indexed="64"/>
      </left>
      <right style="thin">
        <color indexed="64"/>
      </right>
      <top style="medium">
        <color indexed="64"/>
      </top>
      <bottom/>
      <diagonal/>
    </border>
    <border>
      <left/>
      <right/>
      <top style="medium">
        <color auto="1"/>
      </top>
      <bottom/>
      <diagonal/>
    </border>
    <border>
      <left/>
      <right style="medium">
        <color indexed="64"/>
      </right>
      <top style="medium">
        <color indexed="64"/>
      </top>
      <bottom style="thin">
        <color indexed="8"/>
      </bottom>
      <diagonal/>
    </border>
    <border>
      <left style="medium">
        <color auto="1"/>
      </left>
      <right style="medium">
        <color indexed="64"/>
      </right>
      <top style="medium">
        <color indexed="64"/>
      </top>
      <bottom style="thin">
        <color auto="1"/>
      </bottom>
      <diagonal/>
    </border>
    <border>
      <left style="medium">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8"/>
      </top>
      <bottom style="thin">
        <color indexed="8"/>
      </bottom>
      <diagonal/>
    </border>
    <border>
      <left/>
      <right/>
      <top/>
      <bottom style="thin">
        <color indexed="8"/>
      </bottom>
      <diagonal/>
    </border>
    <border>
      <left/>
      <right style="medium">
        <color indexed="64"/>
      </right>
      <top style="thin">
        <color indexed="8"/>
      </top>
      <bottom style="thin">
        <color indexed="8"/>
      </bottom>
      <diagonal/>
    </border>
    <border>
      <left style="medium">
        <color auto="1"/>
      </left>
      <right style="medium">
        <color indexed="64"/>
      </right>
      <top style="thin">
        <color auto="1"/>
      </top>
      <bottom style="thin">
        <color auto="1"/>
      </bottom>
      <diagonal/>
    </border>
    <border>
      <left style="thin">
        <color auto="1"/>
      </left>
      <right style="thin">
        <color auto="1"/>
      </right>
      <top style="thin">
        <color indexed="8"/>
      </top>
      <bottom/>
      <diagonal/>
    </border>
    <border>
      <left/>
      <right/>
      <top style="thin">
        <color indexed="8"/>
      </top>
      <bottom style="thin">
        <color indexed="8"/>
      </bottom>
      <diagonal/>
    </border>
    <border>
      <left style="medium">
        <color indexed="64"/>
      </left>
      <right/>
      <top style="thin">
        <color indexed="8"/>
      </top>
      <bottom style="medium">
        <color indexed="64"/>
      </bottom>
      <diagonal/>
    </border>
    <border>
      <left style="thin">
        <color auto="1"/>
      </left>
      <right style="thin">
        <color auto="1"/>
      </right>
      <top style="thin">
        <color indexed="8"/>
      </top>
      <bottom style="medium">
        <color indexed="64"/>
      </bottom>
      <diagonal/>
    </border>
    <border>
      <left style="thin">
        <color auto="1"/>
      </left>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medium">
        <color auto="1"/>
      </left>
      <right style="medium">
        <color indexed="64"/>
      </right>
      <top style="thin">
        <color auto="1"/>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8"/>
      </right>
      <top/>
      <bottom/>
      <diagonal/>
    </border>
    <border>
      <left style="thin">
        <color indexed="8"/>
      </left>
      <right/>
      <top/>
      <bottom style="thin">
        <color indexed="8"/>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medium">
        <color indexed="64"/>
      </bottom>
      <diagonal/>
    </border>
    <border>
      <left style="thin">
        <color indexed="8"/>
      </left>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style="thin">
        <color indexed="8"/>
      </right>
      <top/>
      <bottom style="medium">
        <color indexed="64"/>
      </bottom>
      <diagonal/>
    </border>
    <border>
      <left style="medium">
        <color indexed="64"/>
      </left>
      <right style="thin">
        <color indexed="8"/>
      </right>
      <top style="medium">
        <color indexed="64"/>
      </top>
      <bottom/>
      <diagonal/>
    </border>
    <border>
      <left/>
      <right style="thin">
        <color indexed="8"/>
      </right>
      <top style="medium">
        <color indexed="64"/>
      </top>
      <bottom style="thin">
        <color indexed="8"/>
      </bottom>
      <diagonal/>
    </border>
    <border>
      <left/>
      <right style="thin">
        <color indexed="8"/>
      </right>
      <top style="thin">
        <color indexed="8"/>
      </top>
      <bottom/>
      <diagonal/>
    </border>
    <border>
      <left style="medium">
        <color rgb="FFC00000"/>
      </left>
      <right style="thin">
        <color indexed="8"/>
      </right>
      <top style="medium">
        <color rgb="FFC00000"/>
      </top>
      <bottom style="medium">
        <color rgb="FFC00000"/>
      </bottom>
      <diagonal/>
    </border>
    <border>
      <left style="thin">
        <color indexed="8"/>
      </left>
      <right style="medium">
        <color rgb="FFC00000"/>
      </right>
      <top style="medium">
        <color rgb="FFC00000"/>
      </top>
      <bottom style="medium">
        <color rgb="FFC00000"/>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8"/>
      </bottom>
      <diagonal/>
    </border>
    <border>
      <left style="thin">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diagonal/>
    </border>
    <border>
      <left style="medium">
        <color indexed="64"/>
      </left>
      <right style="medium">
        <color indexed="64"/>
      </right>
      <top style="thin">
        <color auto="1"/>
      </top>
      <bottom/>
      <diagonal/>
    </border>
    <border>
      <left style="medium">
        <color indexed="64"/>
      </left>
      <right/>
      <top/>
      <bottom/>
      <diagonal/>
    </border>
    <border>
      <left/>
      <right style="medium">
        <color auto="1"/>
      </right>
      <top/>
      <bottom/>
      <diagonal/>
    </border>
    <border>
      <left style="thin">
        <color auto="1"/>
      </left>
      <right/>
      <top style="thin">
        <color auto="1"/>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medium">
        <color indexed="64"/>
      </left>
      <right style="medium">
        <color indexed="64"/>
      </right>
      <top/>
      <bottom style="medium">
        <color indexed="64"/>
      </bottom>
      <diagonal/>
    </border>
    <border>
      <left style="thin">
        <color indexed="8"/>
      </left>
      <right/>
      <top/>
      <bottom/>
      <diagonal/>
    </border>
    <border>
      <left style="thin">
        <color indexed="64"/>
      </left>
      <right style="thin">
        <color auto="1"/>
      </right>
      <top/>
      <bottom/>
      <diagonal/>
    </border>
    <border>
      <left/>
      <right style="thin">
        <color indexed="8"/>
      </right>
      <top/>
      <bottom style="thin">
        <color indexed="8"/>
      </bottom>
      <diagonal/>
    </border>
    <border>
      <left style="thin">
        <color indexed="64"/>
      </left>
      <right style="thin">
        <color auto="1"/>
      </right>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8"/>
      </bottom>
      <diagonal/>
    </border>
    <border>
      <left style="thin">
        <color indexed="64"/>
      </left>
      <right/>
      <top style="thin">
        <color indexed="64"/>
      </top>
      <bottom/>
      <diagonal/>
    </border>
    <border>
      <left style="medium">
        <color indexed="64"/>
      </left>
      <right/>
      <top style="medium">
        <color indexed="64"/>
      </top>
      <bottom/>
      <diagonal/>
    </border>
    <border>
      <left/>
      <right style="medium">
        <color auto="1"/>
      </right>
      <top style="medium">
        <color auto="1"/>
      </top>
      <bottom/>
      <diagonal/>
    </border>
    <border>
      <left/>
      <right style="thin">
        <color indexed="64"/>
      </right>
      <top style="medium">
        <color indexed="64"/>
      </top>
      <bottom/>
      <diagonal/>
    </border>
    <border>
      <left style="thin">
        <color auto="1"/>
      </left>
      <right/>
      <top style="medium">
        <color auto="1"/>
      </top>
      <bottom/>
      <diagonal/>
    </border>
    <border>
      <left/>
      <right/>
      <top style="medium">
        <color auto="1"/>
      </top>
      <bottom style="thin">
        <color auto="1"/>
      </bottom>
      <diagonal/>
    </border>
    <border>
      <left/>
      <right style="medium">
        <color indexed="64"/>
      </right>
      <top style="medium">
        <color auto="1"/>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auto="1"/>
      </right>
      <top style="thin">
        <color auto="1"/>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medium">
        <color indexed="64"/>
      </left>
      <right style="medium">
        <color indexed="64"/>
      </right>
      <top style="thin">
        <color auto="1"/>
      </top>
      <bottom/>
      <diagonal/>
    </border>
    <border>
      <left style="thin">
        <color rgb="FF0070C0"/>
      </left>
      <right style="thin">
        <color rgb="FF0070C0"/>
      </right>
      <top/>
      <bottom style="thin">
        <color rgb="FF0070C0"/>
      </bottom>
      <diagonal/>
    </border>
    <border>
      <left/>
      <right style="medium">
        <color indexed="64"/>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right style="medium">
        <color indexed="64"/>
      </right>
      <top/>
      <bottom style="thin">
        <color auto="1"/>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thin">
        <color indexed="64"/>
      </left>
      <right style="medium">
        <color auto="1"/>
      </right>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diagonal/>
    </border>
    <border>
      <left style="medium">
        <color indexed="64"/>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right style="medium">
        <color indexed="8"/>
      </right>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auto="1"/>
      </left>
      <right style="thin">
        <color auto="1"/>
      </right>
      <top/>
      <bottom/>
      <diagonal/>
    </border>
    <border>
      <left/>
      <right style="medium">
        <color indexed="64"/>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auto="1"/>
      </left>
      <right style="thin">
        <color auto="1"/>
      </right>
      <top style="thin">
        <color auto="1"/>
      </top>
      <bottom/>
      <diagonal/>
    </border>
    <border>
      <left style="medium">
        <color indexed="64"/>
      </left>
      <right/>
      <top style="thin">
        <color indexed="64"/>
      </top>
      <bottom/>
      <diagonal/>
    </border>
    <border>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right style="medium">
        <color indexed="64"/>
      </right>
      <top style="thin">
        <color auto="1"/>
      </top>
      <bottom/>
      <diagonal/>
    </border>
    <border>
      <left style="medium">
        <color rgb="FFC00000"/>
      </left>
      <right style="thin">
        <color auto="1"/>
      </right>
      <top style="medium">
        <color rgb="FFC00000"/>
      </top>
      <bottom style="thin">
        <color auto="1"/>
      </bottom>
      <diagonal/>
    </border>
    <border>
      <left style="thin">
        <color auto="1"/>
      </left>
      <right style="thin">
        <color auto="1"/>
      </right>
      <top style="medium">
        <color rgb="FFC00000"/>
      </top>
      <bottom style="thin">
        <color auto="1"/>
      </bottom>
      <diagonal/>
    </border>
    <border>
      <left style="thin">
        <color auto="1"/>
      </left>
      <right/>
      <top style="medium">
        <color rgb="FFC00000"/>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style="medium">
        <color rgb="FF6E6E6E"/>
      </left>
      <right style="medium">
        <color rgb="FF6E6E6E"/>
      </right>
      <top style="medium">
        <color rgb="FF6E6E6E"/>
      </top>
      <bottom style="medium">
        <color rgb="FF6E6E6E"/>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top style="thin">
        <color indexed="8"/>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style="medium">
        <color auto="1"/>
      </top>
      <bottom/>
      <diagonal/>
    </border>
    <border>
      <left/>
      <right style="medium">
        <color indexed="64"/>
      </right>
      <top style="thin">
        <color indexed="64"/>
      </top>
      <bottom style="medium">
        <color indexed="64"/>
      </bottom>
      <diagonal/>
    </border>
    <border>
      <left style="medium">
        <color auto="1"/>
      </left>
      <right style="medium">
        <color auto="1"/>
      </right>
      <top style="medium">
        <color auto="1"/>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medium">
        <color indexed="64"/>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thin">
        <color indexed="8"/>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9" fontId="7" fillId="0" borderId="0" applyFont="0" applyFill="0" applyBorder="0" applyAlignment="0" applyProtection="0"/>
    <xf numFmtId="42" fontId="1" fillId="0" borderId="0" applyFont="0" applyFill="0" applyBorder="0" applyAlignment="0" applyProtection="0"/>
  </cellStyleXfs>
  <cellXfs count="1151">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9" fontId="4" fillId="0" borderId="0" xfId="3" applyFont="1" applyBorder="1" applyAlignment="1" applyProtection="1">
      <alignment vertical="center"/>
    </xf>
    <xf numFmtId="9" fontId="0" fillId="0" borderId="0" xfId="3" applyFont="1" applyProtection="1"/>
    <xf numFmtId="0" fontId="5" fillId="0" borderId="0" xfId="0" applyFont="1" applyAlignment="1">
      <alignment horizontal="right" vertical="center"/>
    </xf>
    <xf numFmtId="9" fontId="5" fillId="0" borderId="0" xfId="3" applyFont="1" applyFill="1" applyBorder="1" applyAlignment="1" applyProtection="1">
      <alignment horizontal="center" vertical="center"/>
    </xf>
    <xf numFmtId="0" fontId="5" fillId="3"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165" fontId="0" fillId="8" borderId="16" xfId="2" applyNumberFormat="1" applyFont="1" applyFill="1" applyBorder="1" applyAlignment="1" applyProtection="1">
      <alignment vertical="center"/>
    </xf>
    <xf numFmtId="165" fontId="0" fillId="8" borderId="15" xfId="2" applyNumberFormat="1" applyFont="1" applyFill="1" applyBorder="1" applyAlignment="1" applyProtection="1">
      <alignment vertical="center"/>
    </xf>
    <xf numFmtId="165" fontId="0" fillId="8" borderId="17" xfId="2" applyNumberFormat="1" applyFont="1" applyFill="1" applyBorder="1" applyAlignment="1" applyProtection="1">
      <alignment vertical="center"/>
    </xf>
    <xf numFmtId="165" fontId="5" fillId="8" borderId="15" xfId="2" applyNumberFormat="1" applyFont="1" applyFill="1" applyBorder="1" applyAlignment="1" applyProtection="1">
      <alignment vertical="center"/>
    </xf>
    <xf numFmtId="165" fontId="5" fillId="0" borderId="18" xfId="2" applyNumberFormat="1" applyFont="1" applyFill="1" applyBorder="1" applyAlignment="1" applyProtection="1">
      <alignment vertical="center"/>
    </xf>
    <xf numFmtId="9" fontId="1" fillId="0" borderId="19" xfId="3" applyBorder="1" applyAlignment="1" applyProtection="1">
      <alignment horizontal="center"/>
    </xf>
    <xf numFmtId="165" fontId="0" fillId="8" borderId="20" xfId="2" applyNumberFormat="1" applyFont="1" applyFill="1" applyBorder="1" applyAlignment="1" applyProtection="1">
      <alignment vertical="center"/>
    </xf>
    <xf numFmtId="165" fontId="0" fillId="8" borderId="21" xfId="2" applyNumberFormat="1" applyFont="1" applyFill="1" applyBorder="1" applyAlignment="1" applyProtection="1">
      <alignment vertical="center"/>
    </xf>
    <xf numFmtId="0" fontId="5" fillId="0" borderId="13" xfId="0" applyFont="1" applyBorder="1" applyAlignment="1">
      <alignment horizontal="left" vertical="center"/>
    </xf>
    <xf numFmtId="165" fontId="0" fillId="9" borderId="14" xfId="2" applyNumberFormat="1" applyFont="1" applyFill="1" applyBorder="1" applyAlignment="1" applyProtection="1">
      <alignment vertical="center"/>
    </xf>
    <xf numFmtId="165" fontId="0" fillId="9" borderId="2" xfId="2" applyNumberFormat="1" applyFont="1" applyFill="1" applyBorder="1" applyAlignment="1" applyProtection="1">
      <alignment vertical="center"/>
    </xf>
    <xf numFmtId="165" fontId="5" fillId="9" borderId="15" xfId="2" applyNumberFormat="1" applyFont="1" applyFill="1" applyBorder="1" applyAlignment="1" applyProtection="1">
      <alignment vertical="center"/>
    </xf>
    <xf numFmtId="0" fontId="5" fillId="3" borderId="22" xfId="0" applyFont="1" applyFill="1" applyBorder="1" applyAlignment="1">
      <alignment horizontal="center" vertical="center"/>
    </xf>
    <xf numFmtId="165" fontId="5" fillId="3" borderId="23" xfId="2" applyNumberFormat="1" applyFont="1" applyFill="1" applyBorder="1" applyAlignment="1" applyProtection="1">
      <alignment vertical="center"/>
    </xf>
    <xf numFmtId="165" fontId="5" fillId="3" borderId="24" xfId="2" applyNumberFormat="1" applyFont="1" applyFill="1" applyBorder="1" applyAlignment="1" applyProtection="1">
      <alignment vertical="center"/>
    </xf>
    <xf numFmtId="165" fontId="5" fillId="3" borderId="25" xfId="2" applyNumberFormat="1" applyFont="1" applyFill="1" applyBorder="1" applyAlignment="1" applyProtection="1">
      <alignment vertical="center"/>
    </xf>
    <xf numFmtId="165" fontId="5" fillId="3" borderId="26" xfId="2" applyNumberFormat="1" applyFont="1" applyFill="1" applyBorder="1" applyAlignment="1" applyProtection="1">
      <alignment vertical="center"/>
    </xf>
    <xf numFmtId="165" fontId="5" fillId="3" borderId="27" xfId="2" applyNumberFormat="1" applyFont="1" applyFill="1" applyBorder="1" applyAlignment="1" applyProtection="1">
      <alignment vertical="center"/>
    </xf>
    <xf numFmtId="9" fontId="5" fillId="7" borderId="28" xfId="3" applyFont="1" applyFill="1" applyBorder="1" applyAlignment="1" applyProtection="1">
      <alignment horizontal="center" vertical="center"/>
    </xf>
    <xf numFmtId="0" fontId="5" fillId="10" borderId="0" xfId="0" applyFont="1" applyFill="1" applyAlignment="1">
      <alignment horizontal="left" vertical="center"/>
    </xf>
    <xf numFmtId="165" fontId="5" fillId="10" borderId="0" xfId="2" applyNumberFormat="1" applyFont="1" applyFill="1" applyBorder="1" applyAlignment="1" applyProtection="1">
      <alignment vertical="center"/>
    </xf>
    <xf numFmtId="165" fontId="5" fillId="0" borderId="0" xfId="0" applyNumberFormat="1" applyFont="1" applyAlignment="1">
      <alignment vertical="center"/>
    </xf>
    <xf numFmtId="166" fontId="5" fillId="0" borderId="0" xfId="0" applyNumberFormat="1" applyFont="1" applyAlignment="1">
      <alignment vertical="center"/>
    </xf>
    <xf numFmtId="0" fontId="0" fillId="0" borderId="0" xfId="0" applyAlignment="1">
      <alignment horizontal="center" vertical="center"/>
    </xf>
    <xf numFmtId="44" fontId="5" fillId="0" borderId="0" xfId="2" applyFont="1" applyFill="1" applyBorder="1" applyAlignment="1" applyProtection="1">
      <alignment vertical="center"/>
    </xf>
    <xf numFmtId="165" fontId="5" fillId="0" borderId="0" xfId="0" applyNumberFormat="1" applyFont="1" applyAlignment="1">
      <alignment vertical="center" wrapText="1"/>
    </xf>
    <xf numFmtId="165" fontId="5" fillId="12" borderId="34" xfId="0" applyNumberFormat="1" applyFont="1" applyFill="1" applyBorder="1" applyAlignment="1">
      <alignment horizontal="center" vertical="center" wrapText="1"/>
    </xf>
    <xf numFmtId="165" fontId="5" fillId="12" borderId="35" xfId="0" applyNumberFormat="1" applyFont="1" applyFill="1" applyBorder="1" applyAlignment="1">
      <alignment horizontal="center" vertical="center" wrapText="1"/>
    </xf>
    <xf numFmtId="165" fontId="5" fillId="12" borderId="37" xfId="0" applyNumberFormat="1" applyFont="1" applyFill="1" applyBorder="1" applyAlignment="1">
      <alignment horizontal="center" vertical="center" wrapText="1"/>
    </xf>
    <xf numFmtId="165" fontId="5" fillId="0" borderId="0" xfId="0" applyNumberFormat="1" applyFont="1" applyAlignment="1">
      <alignment horizontal="center" vertical="center" wrapText="1"/>
    </xf>
    <xf numFmtId="165" fontId="0" fillId="0" borderId="41" xfId="0" applyNumberFormat="1" applyBorder="1" applyAlignment="1">
      <alignment vertical="center"/>
    </xf>
    <xf numFmtId="165" fontId="7" fillId="0" borderId="40" xfId="2" applyNumberFormat="1" applyFont="1" applyFill="1" applyBorder="1" applyAlignment="1" applyProtection="1">
      <alignment vertical="center"/>
    </xf>
    <xf numFmtId="165" fontId="7" fillId="0" borderId="7" xfId="2" applyNumberFormat="1" applyFont="1" applyFill="1" applyBorder="1" applyAlignment="1" applyProtection="1">
      <alignment vertical="center"/>
    </xf>
    <xf numFmtId="165" fontId="7" fillId="0" borderId="42" xfId="2" applyNumberFormat="1" applyFont="1" applyFill="1" applyBorder="1" applyAlignment="1" applyProtection="1">
      <alignment vertical="center"/>
    </xf>
    <xf numFmtId="165" fontId="0" fillId="0" borderId="0" xfId="2" applyNumberFormat="1" applyFont="1" applyFill="1" applyBorder="1" applyAlignment="1" applyProtection="1">
      <alignment vertical="center"/>
    </xf>
    <xf numFmtId="165" fontId="0" fillId="0" borderId="45" xfId="0" applyNumberFormat="1" applyBorder="1" applyAlignment="1">
      <alignment vertical="center"/>
    </xf>
    <xf numFmtId="167" fontId="0" fillId="0" borderId="44" xfId="1" applyNumberFormat="1" applyFont="1" applyFill="1" applyBorder="1" applyAlignment="1" applyProtection="1">
      <alignment vertical="center"/>
    </xf>
    <xf numFmtId="167" fontId="0" fillId="0" borderId="15" xfId="1" applyNumberFormat="1" applyFont="1" applyFill="1" applyBorder="1" applyAlignment="1" applyProtection="1">
      <alignment vertical="center"/>
    </xf>
    <xf numFmtId="167" fontId="0" fillId="0" borderId="46" xfId="1" applyNumberFormat="1" applyFont="1" applyFill="1" applyBorder="1" applyAlignment="1" applyProtection="1">
      <alignment vertical="center"/>
    </xf>
    <xf numFmtId="167" fontId="0" fillId="0" borderId="0" xfId="1" applyNumberFormat="1" applyFont="1" applyFill="1" applyBorder="1" applyAlignment="1" applyProtection="1">
      <alignment vertical="center"/>
    </xf>
    <xf numFmtId="165" fontId="5" fillId="14" borderId="45" xfId="0" applyNumberFormat="1" applyFont="1" applyFill="1" applyBorder="1" applyAlignment="1">
      <alignment vertical="center"/>
    </xf>
    <xf numFmtId="165" fontId="5" fillId="14" borderId="44" xfId="2" applyNumberFormat="1" applyFont="1" applyFill="1" applyBorder="1" applyAlignment="1" applyProtection="1">
      <alignment vertical="center"/>
    </xf>
    <xf numFmtId="165" fontId="5" fillId="14" borderId="15" xfId="2" applyNumberFormat="1" applyFont="1" applyFill="1" applyBorder="1" applyAlignment="1" applyProtection="1">
      <alignment vertical="center"/>
    </xf>
    <xf numFmtId="165" fontId="5" fillId="14" borderId="47" xfId="2" applyNumberFormat="1" applyFont="1" applyFill="1" applyBorder="1" applyAlignment="1" applyProtection="1">
      <alignment horizontal="right" vertical="center"/>
    </xf>
    <xf numFmtId="165" fontId="5" fillId="14" borderId="15" xfId="2" applyNumberFormat="1" applyFont="1" applyFill="1" applyBorder="1" applyAlignment="1" applyProtection="1">
      <alignment horizontal="right" vertical="center"/>
    </xf>
    <xf numFmtId="165" fontId="5" fillId="14" borderId="46" xfId="2" applyNumberFormat="1" applyFont="1" applyFill="1" applyBorder="1" applyAlignment="1" applyProtection="1">
      <alignment horizontal="right" vertical="center"/>
    </xf>
    <xf numFmtId="165" fontId="5" fillId="0" borderId="0" xfId="2" applyNumberFormat="1" applyFont="1" applyFill="1" applyBorder="1" applyAlignment="1" applyProtection="1">
      <alignment vertical="center"/>
    </xf>
    <xf numFmtId="165" fontId="5" fillId="16" borderId="45" xfId="0" applyNumberFormat="1" applyFont="1" applyFill="1" applyBorder="1" applyAlignment="1">
      <alignment vertical="center"/>
    </xf>
    <xf numFmtId="165" fontId="5" fillId="16" borderId="44" xfId="2" applyNumberFormat="1" applyFont="1" applyFill="1" applyBorder="1" applyAlignment="1" applyProtection="1">
      <alignment vertical="center"/>
    </xf>
    <xf numFmtId="165" fontId="5" fillId="16" borderId="15" xfId="2" applyNumberFormat="1" applyFont="1" applyFill="1" applyBorder="1" applyAlignment="1" applyProtection="1">
      <alignment vertical="center"/>
    </xf>
    <xf numFmtId="165" fontId="5" fillId="16" borderId="46" xfId="2" applyNumberFormat="1" applyFont="1" applyFill="1" applyBorder="1" applyAlignment="1" applyProtection="1">
      <alignment vertical="center"/>
    </xf>
    <xf numFmtId="165" fontId="5" fillId="16" borderId="47" xfId="2" applyNumberFormat="1" applyFont="1" applyFill="1" applyBorder="1" applyAlignment="1" applyProtection="1">
      <alignment horizontal="right" vertical="center"/>
    </xf>
    <xf numFmtId="165" fontId="5" fillId="16" borderId="15" xfId="2" applyNumberFormat="1" applyFont="1" applyFill="1" applyBorder="1" applyAlignment="1" applyProtection="1">
      <alignment horizontal="right" vertical="center"/>
    </xf>
    <xf numFmtId="165" fontId="5" fillId="16" borderId="46" xfId="2" applyNumberFormat="1" applyFont="1" applyFill="1" applyBorder="1" applyAlignment="1" applyProtection="1">
      <alignment horizontal="right" vertical="center"/>
    </xf>
    <xf numFmtId="165" fontId="0" fillId="0" borderId="15" xfId="2" applyNumberFormat="1" applyFont="1" applyFill="1" applyBorder="1" applyAlignment="1" applyProtection="1">
      <alignment vertical="center"/>
    </xf>
    <xf numFmtId="165" fontId="0" fillId="0" borderId="46" xfId="2" applyNumberFormat="1" applyFont="1" applyFill="1" applyBorder="1" applyAlignment="1" applyProtection="1">
      <alignment vertical="center"/>
    </xf>
    <xf numFmtId="165" fontId="11" fillId="17" borderId="48" xfId="2" applyNumberFormat="1" applyFont="1" applyFill="1" applyBorder="1" applyAlignment="1" applyProtection="1">
      <alignment vertical="center" wrapText="1"/>
    </xf>
    <xf numFmtId="165" fontId="11" fillId="17" borderId="25" xfId="2" applyNumberFormat="1" applyFont="1" applyFill="1" applyBorder="1" applyAlignment="1" applyProtection="1">
      <alignment vertical="center" wrapText="1"/>
    </xf>
    <xf numFmtId="165" fontId="11" fillId="17" borderId="50" xfId="2" applyNumberFormat="1" applyFont="1" applyFill="1" applyBorder="1" applyAlignment="1" applyProtection="1">
      <alignment vertical="center" wrapText="1"/>
    </xf>
    <xf numFmtId="165" fontId="5" fillId="0" borderId="0" xfId="2" applyNumberFormat="1" applyFont="1" applyFill="1" applyBorder="1" applyAlignment="1" applyProtection="1">
      <alignment vertical="center" wrapText="1"/>
    </xf>
    <xf numFmtId="165" fontId="0" fillId="0" borderId="54" xfId="2" applyNumberFormat="1" applyFont="1" applyFill="1" applyBorder="1" applyAlignment="1" applyProtection="1">
      <alignment vertical="center"/>
    </xf>
    <xf numFmtId="165" fontId="0" fillId="0" borderId="55" xfId="2" applyNumberFormat="1" applyFont="1" applyFill="1" applyBorder="1" applyAlignment="1" applyProtection="1">
      <alignment vertical="center"/>
    </xf>
    <xf numFmtId="165" fontId="0" fillId="0" borderId="56" xfId="2" applyNumberFormat="1" applyFont="1" applyFill="1" applyBorder="1" applyAlignment="1" applyProtection="1">
      <alignment vertical="center"/>
    </xf>
    <xf numFmtId="165" fontId="0" fillId="0" borderId="2" xfId="0" applyNumberFormat="1" applyBorder="1" applyAlignment="1">
      <alignment vertical="center"/>
    </xf>
    <xf numFmtId="167" fontId="0" fillId="0" borderId="34" xfId="1" applyNumberFormat="1" applyFont="1" applyFill="1" applyBorder="1" applyAlignment="1" applyProtection="1">
      <alignment vertical="center"/>
    </xf>
    <xf numFmtId="167" fontId="0" fillId="0" borderId="35" xfId="1" applyNumberFormat="1" applyFont="1" applyFill="1" applyBorder="1" applyAlignment="1" applyProtection="1">
      <alignment vertical="center"/>
    </xf>
    <xf numFmtId="167" fontId="0" fillId="0" borderId="37" xfId="1" applyNumberFormat="1" applyFont="1" applyFill="1" applyBorder="1" applyAlignment="1" applyProtection="1">
      <alignment vertical="center"/>
    </xf>
    <xf numFmtId="165" fontId="5" fillId="14" borderId="2" xfId="0" applyNumberFormat="1" applyFont="1" applyFill="1" applyBorder="1" applyAlignment="1">
      <alignment vertical="center"/>
    </xf>
    <xf numFmtId="165" fontId="5" fillId="14" borderId="57" xfId="2" applyNumberFormat="1" applyFont="1" applyFill="1" applyBorder="1" applyAlignment="1" applyProtection="1">
      <alignment vertical="center"/>
    </xf>
    <xf numFmtId="165" fontId="5" fillId="14" borderId="14" xfId="2" applyNumberFormat="1" applyFont="1" applyFill="1" applyBorder="1" applyAlignment="1" applyProtection="1">
      <alignment vertical="center"/>
    </xf>
    <xf numFmtId="165" fontId="5" fillId="14" borderId="3" xfId="2" applyNumberFormat="1" applyFont="1" applyFill="1" applyBorder="1" applyAlignment="1" applyProtection="1">
      <alignment horizontal="right" vertical="center"/>
    </xf>
    <xf numFmtId="165" fontId="5" fillId="14" borderId="14" xfId="2" applyNumberFormat="1" applyFont="1" applyFill="1" applyBorder="1" applyAlignment="1" applyProtection="1">
      <alignment horizontal="right" vertical="center"/>
    </xf>
    <xf numFmtId="165" fontId="5" fillId="14" borderId="58" xfId="2" applyNumberFormat="1" applyFont="1" applyFill="1" applyBorder="1" applyAlignment="1" applyProtection="1">
      <alignment horizontal="right" vertical="center"/>
    </xf>
    <xf numFmtId="165" fontId="11" fillId="17" borderId="59" xfId="2" applyNumberFormat="1" applyFont="1" applyFill="1" applyBorder="1" applyAlignment="1" applyProtection="1">
      <alignment vertical="center" wrapText="1"/>
    </xf>
    <xf numFmtId="165" fontId="11" fillId="17" borderId="61" xfId="2" applyNumberFormat="1" applyFont="1" applyFill="1" applyBorder="1" applyAlignment="1" applyProtection="1">
      <alignment vertical="center" wrapText="1"/>
    </xf>
    <xf numFmtId="165" fontId="11" fillId="17" borderId="62" xfId="2" applyNumberFormat="1" applyFont="1" applyFill="1" applyBorder="1" applyAlignment="1" applyProtection="1">
      <alignment vertical="center" wrapText="1"/>
    </xf>
    <xf numFmtId="165" fontId="0" fillId="0" borderId="29" xfId="2" applyNumberFormat="1" applyFont="1" applyFill="1" applyBorder="1" applyAlignment="1" applyProtection="1">
      <alignment vertical="center"/>
    </xf>
    <xf numFmtId="165" fontId="0" fillId="0" borderId="5" xfId="2" applyNumberFormat="1" applyFont="1" applyFill="1" applyBorder="1" applyAlignment="1" applyProtection="1">
      <alignment vertical="center"/>
    </xf>
    <xf numFmtId="165" fontId="0" fillId="0" borderId="30" xfId="2" applyNumberFormat="1" applyFont="1" applyFill="1" applyBorder="1" applyAlignment="1" applyProtection="1">
      <alignment vertical="center"/>
    </xf>
    <xf numFmtId="1" fontId="0" fillId="0" borderId="0" xfId="3" applyNumberFormat="1" applyFont="1" applyProtection="1"/>
    <xf numFmtId="9" fontId="0" fillId="0" borderId="0" xfId="3" applyFont="1" applyFill="1" applyProtection="1"/>
    <xf numFmtId="0" fontId="0" fillId="21" borderId="69" xfId="0" applyFill="1" applyBorder="1" applyAlignment="1" applyProtection="1">
      <alignment horizontal="left" vertical="center"/>
      <protection locked="0"/>
    </xf>
    <xf numFmtId="168" fontId="0" fillId="21" borderId="7" xfId="2" applyNumberFormat="1" applyFont="1" applyFill="1" applyBorder="1" applyAlignment="1" applyProtection="1">
      <alignment vertical="center"/>
    </xf>
    <xf numFmtId="168" fontId="0" fillId="0" borderId="0" xfId="2" applyNumberFormat="1" applyFont="1" applyFill="1" applyBorder="1" applyAlignment="1" applyProtection="1">
      <alignment vertical="center"/>
    </xf>
    <xf numFmtId="170" fontId="0" fillId="2" borderId="7" xfId="2" applyNumberFormat="1" applyFont="1" applyFill="1" applyBorder="1" applyAlignment="1" applyProtection="1">
      <alignment horizontal="center" vertical="center"/>
      <protection locked="0"/>
    </xf>
    <xf numFmtId="170" fontId="0" fillId="23" borderId="15" xfId="2" applyNumberFormat="1" applyFont="1" applyFill="1" applyBorder="1" applyAlignment="1" applyProtection="1">
      <alignment horizontal="center" vertical="center"/>
    </xf>
    <xf numFmtId="168" fontId="0" fillId="21" borderId="25" xfId="2" applyNumberFormat="1" applyFont="1" applyFill="1" applyBorder="1" applyAlignment="1" applyProtection="1">
      <alignment vertical="center"/>
    </xf>
    <xf numFmtId="170" fontId="0" fillId="2" borderId="25" xfId="2" applyNumberFormat="1" applyFont="1" applyFill="1" applyBorder="1" applyAlignment="1" applyProtection="1">
      <alignment horizontal="center" vertical="center"/>
      <protection locked="0"/>
    </xf>
    <xf numFmtId="0" fontId="0" fillId="21" borderId="86" xfId="0" applyFill="1" applyBorder="1" applyAlignment="1" applyProtection="1">
      <alignment horizontal="left" vertical="center"/>
      <protection locked="0"/>
    </xf>
    <xf numFmtId="168" fontId="0" fillId="21" borderId="87" xfId="2" applyNumberFormat="1" applyFont="1" applyFill="1" applyBorder="1" applyAlignment="1" applyProtection="1">
      <alignment vertical="center"/>
    </xf>
    <xf numFmtId="170" fontId="0" fillId="2" borderId="91" xfId="2" applyNumberFormat="1" applyFont="1" applyFill="1" applyBorder="1" applyAlignment="1" applyProtection="1">
      <alignment horizontal="center" vertical="center"/>
      <protection locked="0"/>
    </xf>
    <xf numFmtId="0" fontId="11" fillId="21" borderId="94" xfId="0" applyFont="1" applyFill="1" applyBorder="1" applyAlignment="1">
      <alignment horizontal="center" vertical="center" wrapText="1"/>
    </xf>
    <xf numFmtId="0" fontId="0" fillId="21" borderId="94" xfId="0" applyFill="1" applyBorder="1" applyAlignment="1" applyProtection="1">
      <alignment horizontal="left" vertical="center"/>
      <protection locked="0"/>
    </xf>
    <xf numFmtId="168" fontId="0" fillId="21" borderId="96" xfId="2" applyNumberFormat="1" applyFont="1" applyFill="1" applyBorder="1" applyAlignment="1" applyProtection="1">
      <alignment vertical="center"/>
    </xf>
    <xf numFmtId="170" fontId="0" fillId="2" borderId="96" xfId="2" applyNumberFormat="1" applyFont="1" applyFill="1" applyBorder="1" applyAlignment="1" applyProtection="1">
      <alignment horizontal="center" vertical="center"/>
      <protection locked="0"/>
    </xf>
    <xf numFmtId="0" fontId="11" fillId="21" borderId="101" xfId="0" applyFont="1" applyFill="1" applyBorder="1" applyAlignment="1">
      <alignment horizontal="center" vertical="center" wrapText="1"/>
    </xf>
    <xf numFmtId="0" fontId="0" fillId="21" borderId="101" xfId="0" applyFill="1" applyBorder="1" applyAlignment="1" applyProtection="1">
      <alignment horizontal="left" vertical="center"/>
      <protection locked="0"/>
    </xf>
    <xf numFmtId="168" fontId="0" fillId="21" borderId="103" xfId="2" applyNumberFormat="1" applyFont="1" applyFill="1" applyBorder="1" applyAlignment="1" applyProtection="1">
      <alignment vertical="center"/>
    </xf>
    <xf numFmtId="172" fontId="0" fillId="0" borderId="0" xfId="1" applyNumberFormat="1" applyFont="1" applyFill="1" applyBorder="1" applyAlignment="1" applyProtection="1">
      <alignment vertical="center"/>
    </xf>
    <xf numFmtId="0" fontId="5" fillId="20" borderId="35" xfId="0" applyFont="1" applyFill="1" applyBorder="1" applyAlignment="1">
      <alignment horizontal="center" vertical="center" wrapText="1"/>
    </xf>
    <xf numFmtId="172" fontId="5" fillId="20" borderId="35" xfId="1" applyNumberFormat="1" applyFont="1" applyFill="1" applyBorder="1" applyAlignment="1" applyProtection="1">
      <alignment horizontal="center" vertical="center" wrapText="1"/>
    </xf>
    <xf numFmtId="0" fontId="12" fillId="20" borderId="35" xfId="0" applyFont="1" applyFill="1" applyBorder="1" applyAlignment="1">
      <alignment horizontal="center" vertical="center"/>
    </xf>
    <xf numFmtId="0" fontId="5" fillId="26" borderId="15" xfId="0" applyFont="1" applyFill="1" applyBorder="1" applyAlignment="1">
      <alignment horizontal="center" vertical="center"/>
    </xf>
    <xf numFmtId="0" fontId="12" fillId="27" borderId="15" xfId="0" applyFont="1" applyFill="1" applyBorder="1" applyAlignment="1">
      <alignment horizontal="left" vertical="center"/>
    </xf>
    <xf numFmtId="165" fontId="5" fillId="28" borderId="15" xfId="2" applyNumberFormat="1" applyFont="1" applyFill="1" applyBorder="1" applyAlignment="1" applyProtection="1">
      <alignment vertical="center"/>
    </xf>
    <xf numFmtId="165" fontId="12" fillId="29" borderId="15" xfId="2" applyNumberFormat="1" applyFont="1" applyFill="1" applyBorder="1" applyAlignment="1" applyProtection="1">
      <alignment vertical="center"/>
    </xf>
    <xf numFmtId="165" fontId="12" fillId="27" borderId="15" xfId="2" applyNumberFormat="1" applyFont="1" applyFill="1" applyBorder="1" applyAlignment="1" applyProtection="1">
      <alignment horizontal="center" vertical="center"/>
    </xf>
    <xf numFmtId="0" fontId="0" fillId="0" borderId="15" xfId="0" applyBorder="1" applyAlignment="1" applyProtection="1">
      <alignment horizontal="left" vertical="center"/>
      <protection locked="0"/>
    </xf>
    <xf numFmtId="0" fontId="5" fillId="30" borderId="15" xfId="0" applyFont="1" applyFill="1" applyBorder="1" applyAlignment="1">
      <alignment horizontal="center" vertical="center" wrapText="1"/>
    </xf>
    <xf numFmtId="0" fontId="12" fillId="30" borderId="15" xfId="0" applyFont="1" applyFill="1" applyBorder="1" applyAlignment="1">
      <alignment horizontal="left" vertical="center"/>
    </xf>
    <xf numFmtId="165" fontId="12" fillId="30" borderId="15" xfId="2" applyNumberFormat="1" applyFont="1" applyFill="1" applyBorder="1" applyAlignment="1" applyProtection="1">
      <alignment horizontal="center" vertical="center"/>
    </xf>
    <xf numFmtId="165" fontId="5" fillId="31" borderId="15" xfId="2" applyNumberFormat="1" applyFont="1" applyFill="1" applyBorder="1" applyAlignment="1" applyProtection="1">
      <alignment vertical="center"/>
    </xf>
    <xf numFmtId="1" fontId="0" fillId="0" borderId="15" xfId="0" applyNumberFormat="1" applyBorder="1" applyAlignment="1">
      <alignment horizontal="center" vertical="center" wrapText="1"/>
    </xf>
    <xf numFmtId="173" fontId="13" fillId="0" borderId="15" xfId="0" applyNumberFormat="1" applyFont="1" applyBorder="1" applyAlignment="1">
      <alignment horizontal="left"/>
    </xf>
    <xf numFmtId="165" fontId="0" fillId="9" borderId="15" xfId="2" applyNumberFormat="1" applyFont="1" applyFill="1" applyBorder="1" applyAlignment="1" applyProtection="1">
      <alignment vertical="center"/>
    </xf>
    <xf numFmtId="165" fontId="13" fillId="32" borderId="15" xfId="2" applyNumberFormat="1" applyFont="1" applyFill="1" applyBorder="1" applyAlignment="1" applyProtection="1">
      <alignment vertical="center"/>
    </xf>
    <xf numFmtId="165" fontId="12" fillId="33" borderId="15" xfId="2" applyNumberFormat="1" applyFont="1" applyFill="1" applyBorder="1" applyAlignment="1" applyProtection="1">
      <alignment vertical="center"/>
    </xf>
    <xf numFmtId="165" fontId="0" fillId="2" borderId="15" xfId="2" applyNumberFormat="1" applyFont="1" applyFill="1" applyBorder="1" applyAlignment="1" applyProtection="1">
      <alignment vertical="center"/>
      <protection locked="0"/>
    </xf>
    <xf numFmtId="165" fontId="13" fillId="2" borderId="15" xfId="2" applyNumberFormat="1" applyFont="1" applyFill="1" applyBorder="1" applyAlignment="1" applyProtection="1">
      <alignment vertical="center"/>
      <protection locked="0"/>
    </xf>
    <xf numFmtId="174" fontId="13" fillId="2" borderId="15" xfId="1" applyNumberFormat="1" applyFont="1" applyFill="1" applyBorder="1" applyAlignment="1" applyProtection="1">
      <alignment vertical="center"/>
      <protection locked="0"/>
    </xf>
    <xf numFmtId="165" fontId="13" fillId="34" borderId="15" xfId="2" applyNumberFormat="1" applyFont="1" applyFill="1" applyBorder="1" applyAlignment="1" applyProtection="1">
      <alignment vertical="center"/>
    </xf>
    <xf numFmtId="165" fontId="12" fillId="31" borderId="15" xfId="2" applyNumberFormat="1" applyFont="1" applyFill="1" applyBorder="1" applyAlignment="1" applyProtection="1">
      <alignment vertical="center"/>
    </xf>
    <xf numFmtId="165" fontId="12" fillId="30" borderId="15" xfId="2" applyNumberFormat="1" applyFont="1" applyFill="1" applyBorder="1" applyAlignment="1" applyProtection="1">
      <alignment vertical="center"/>
    </xf>
    <xf numFmtId="173" fontId="13" fillId="21" borderId="15" xfId="0" applyNumberFormat="1" applyFont="1" applyFill="1" applyBorder="1" applyAlignment="1">
      <alignment horizontal="left"/>
    </xf>
    <xf numFmtId="165" fontId="0" fillId="35" borderId="15" xfId="2" applyNumberFormat="1" applyFont="1" applyFill="1" applyBorder="1" applyAlignment="1" applyProtection="1">
      <alignment vertical="center"/>
      <protection locked="0"/>
    </xf>
    <xf numFmtId="165" fontId="13" fillId="35" borderId="15" xfId="2" applyNumberFormat="1" applyFont="1" applyFill="1" applyBorder="1" applyAlignment="1" applyProtection="1">
      <alignment vertical="center"/>
      <protection locked="0"/>
    </xf>
    <xf numFmtId="174" fontId="13" fillId="35" borderId="15" xfId="1" applyNumberFormat="1" applyFont="1" applyFill="1" applyBorder="1" applyAlignment="1" applyProtection="1">
      <alignment vertical="center"/>
      <protection locked="0"/>
    </xf>
    <xf numFmtId="1" fontId="0" fillId="0" borderId="45" xfId="0" applyNumberFormat="1" applyBorder="1" applyAlignment="1">
      <alignment horizontal="center" vertical="center" wrapText="1"/>
    </xf>
    <xf numFmtId="1" fontId="0" fillId="0" borderId="17" xfId="0" applyNumberFormat="1" applyBorder="1" applyAlignment="1">
      <alignment horizontal="center" vertical="center" wrapText="1"/>
    </xf>
    <xf numFmtId="0" fontId="5" fillId="30" borderId="17" xfId="0" applyFont="1" applyFill="1" applyBorder="1" applyAlignment="1">
      <alignment horizontal="center" vertical="center" wrapText="1"/>
    </xf>
    <xf numFmtId="173" fontId="13" fillId="35" borderId="15" xfId="0" applyNumberFormat="1" applyFont="1" applyFill="1" applyBorder="1" applyAlignment="1">
      <alignment horizontal="left"/>
    </xf>
    <xf numFmtId="1" fontId="0" fillId="0" borderId="109" xfId="0" applyNumberFormat="1" applyBorder="1" applyAlignment="1">
      <alignment horizontal="center" vertical="center" wrapText="1"/>
    </xf>
    <xf numFmtId="173" fontId="13" fillId="0" borderId="53" xfId="0" applyNumberFormat="1" applyFont="1" applyBorder="1" applyAlignment="1">
      <alignment horizontal="left"/>
    </xf>
    <xf numFmtId="173" fontId="13" fillId="0" borderId="2" xfId="0" applyNumberFormat="1" applyFont="1" applyBorder="1" applyAlignment="1">
      <alignment horizontal="left"/>
    </xf>
    <xf numFmtId="0" fontId="5" fillId="30" borderId="109" xfId="0" applyFont="1" applyFill="1" applyBorder="1" applyAlignment="1">
      <alignment horizontal="center" vertical="center" wrapText="1"/>
    </xf>
    <xf numFmtId="0" fontId="12" fillId="30" borderId="2" xfId="0" applyFont="1" applyFill="1" applyBorder="1" applyAlignment="1">
      <alignment horizontal="left" vertical="center"/>
    </xf>
    <xf numFmtId="1" fontId="0" fillId="0" borderId="1" xfId="0" applyNumberFormat="1" applyBorder="1" applyAlignment="1">
      <alignment horizontal="center" vertical="center" wrapText="1"/>
    </xf>
    <xf numFmtId="173" fontId="13" fillId="0" borderId="36" xfId="0" applyNumberFormat="1" applyFont="1" applyBorder="1" applyAlignment="1">
      <alignment horizontal="left"/>
    </xf>
    <xf numFmtId="0" fontId="5" fillId="36" borderId="111" xfId="0" applyFont="1" applyFill="1" applyBorder="1" applyAlignment="1">
      <alignment horizontal="center" vertical="center" wrapText="1"/>
    </xf>
    <xf numFmtId="0" fontId="5" fillId="17" borderId="112" xfId="0" applyFont="1" applyFill="1" applyBorder="1" applyAlignment="1">
      <alignment vertical="center"/>
    </xf>
    <xf numFmtId="175" fontId="5" fillId="17" borderId="113" xfId="2" applyNumberFormat="1" applyFont="1" applyFill="1" applyBorder="1" applyAlignment="1" applyProtection="1">
      <alignment vertical="center"/>
    </xf>
    <xf numFmtId="175" fontId="5" fillId="37" borderId="113" xfId="2" applyNumberFormat="1" applyFont="1" applyFill="1" applyBorder="1" applyAlignment="1" applyProtection="1">
      <alignment vertical="center"/>
    </xf>
    <xf numFmtId="0" fontId="0" fillId="0" borderId="113" xfId="0" applyBorder="1" applyAlignment="1" applyProtection="1">
      <alignment horizontal="left" vertical="center"/>
      <protection locked="0"/>
    </xf>
    <xf numFmtId="0" fontId="5" fillId="20" borderId="114" xfId="0" applyFont="1" applyFill="1" applyBorder="1" applyAlignment="1">
      <alignment horizontal="center" vertical="center" wrapText="1"/>
    </xf>
    <xf numFmtId="172" fontId="5" fillId="20" borderId="114" xfId="1" applyNumberFormat="1" applyFont="1" applyFill="1" applyBorder="1" applyAlignment="1" applyProtection="1">
      <alignment horizontal="center" vertical="center" wrapText="1"/>
    </xf>
    <xf numFmtId="0" fontId="12" fillId="20" borderId="119" xfId="0" applyFont="1" applyFill="1" applyBorder="1" applyAlignment="1">
      <alignment horizontal="center" vertical="center"/>
    </xf>
    <xf numFmtId="0" fontId="5" fillId="26" borderId="117" xfId="0" applyFont="1" applyFill="1" applyBorder="1" applyAlignment="1">
      <alignment horizontal="center" vertical="center"/>
    </xf>
    <xf numFmtId="0" fontId="12" fillId="27" borderId="119" xfId="0" applyFont="1" applyFill="1" applyBorder="1" applyAlignment="1">
      <alignment horizontal="left" vertical="center"/>
    </xf>
    <xf numFmtId="165" fontId="5" fillId="28" borderId="113" xfId="2" applyNumberFormat="1" applyFont="1" applyFill="1" applyBorder="1" applyAlignment="1" applyProtection="1">
      <alignment vertical="center"/>
    </xf>
    <xf numFmtId="165" fontId="12" fillId="29" borderId="113" xfId="2" applyNumberFormat="1" applyFont="1" applyFill="1" applyBorder="1" applyAlignment="1" applyProtection="1">
      <alignment vertical="center"/>
    </xf>
    <xf numFmtId="165" fontId="12" fillId="27" borderId="113" xfId="2" applyNumberFormat="1" applyFont="1" applyFill="1" applyBorder="1" applyAlignment="1" applyProtection="1">
      <alignment horizontal="center" vertical="center"/>
    </xf>
    <xf numFmtId="0" fontId="12" fillId="30" borderId="119" xfId="0" applyFont="1" applyFill="1" applyBorder="1" applyAlignment="1">
      <alignment horizontal="left" vertical="center"/>
    </xf>
    <xf numFmtId="165" fontId="12" fillId="30" borderId="113" xfId="2" applyNumberFormat="1" applyFont="1" applyFill="1" applyBorder="1" applyAlignment="1" applyProtection="1">
      <alignment horizontal="center" vertical="center"/>
    </xf>
    <xf numFmtId="165" fontId="5" fillId="31" borderId="113" xfId="2" applyNumberFormat="1" applyFont="1" applyFill="1" applyBorder="1" applyAlignment="1" applyProtection="1">
      <alignment vertical="center"/>
    </xf>
    <xf numFmtId="173" fontId="13" fillId="0" borderId="118" xfId="0" applyNumberFormat="1" applyFont="1" applyBorder="1" applyAlignment="1">
      <alignment horizontal="left"/>
    </xf>
    <xf numFmtId="165" fontId="0" fillId="9" borderId="113" xfId="2" applyNumberFormat="1" applyFont="1" applyFill="1" applyBorder="1" applyAlignment="1" applyProtection="1">
      <alignment vertical="center"/>
    </xf>
    <xf numFmtId="165" fontId="13" fillId="32" borderId="113" xfId="2" applyNumberFormat="1" applyFont="1" applyFill="1" applyBorder="1" applyAlignment="1" applyProtection="1">
      <alignment vertical="center"/>
    </xf>
    <xf numFmtId="165" fontId="12" fillId="33" borderId="113" xfId="2" applyNumberFormat="1" applyFont="1" applyFill="1" applyBorder="1" applyAlignment="1" applyProtection="1">
      <alignment vertical="center"/>
    </xf>
    <xf numFmtId="173" fontId="13" fillId="0" borderId="113" xfId="0" applyNumberFormat="1" applyFont="1" applyBorder="1" applyAlignment="1">
      <alignment horizontal="left"/>
    </xf>
    <xf numFmtId="165" fontId="0" fillId="2" borderId="113" xfId="2" applyNumberFormat="1" applyFont="1" applyFill="1" applyBorder="1" applyAlignment="1" applyProtection="1">
      <alignment vertical="center"/>
      <protection locked="0"/>
    </xf>
    <xf numFmtId="165" fontId="13" fillId="2" borderId="113" xfId="2" applyNumberFormat="1" applyFont="1" applyFill="1" applyBorder="1" applyAlignment="1" applyProtection="1">
      <alignment vertical="center"/>
      <protection locked="0"/>
    </xf>
    <xf numFmtId="174" fontId="13" fillId="2" borderId="113" xfId="1" applyNumberFormat="1" applyFont="1" applyFill="1" applyBorder="1" applyAlignment="1" applyProtection="1">
      <alignment vertical="center"/>
      <protection locked="0"/>
    </xf>
    <xf numFmtId="0" fontId="12" fillId="30" borderId="113" xfId="0" applyFont="1" applyFill="1" applyBorder="1" applyAlignment="1">
      <alignment horizontal="left" vertical="center"/>
    </xf>
    <xf numFmtId="165" fontId="12" fillId="31" borderId="113" xfId="2" applyNumberFormat="1" applyFont="1" applyFill="1" applyBorder="1" applyAlignment="1" applyProtection="1">
      <alignment vertical="center"/>
    </xf>
    <xf numFmtId="165" fontId="12" fillId="30" borderId="113" xfId="2" applyNumberFormat="1" applyFont="1" applyFill="1" applyBorder="1" applyAlignment="1" applyProtection="1">
      <alignment vertical="center"/>
    </xf>
    <xf numFmtId="173" fontId="13" fillId="21" borderId="113" xfId="0" applyNumberFormat="1" applyFont="1" applyFill="1" applyBorder="1" applyAlignment="1">
      <alignment horizontal="left"/>
    </xf>
    <xf numFmtId="165" fontId="0" fillId="35" borderId="113" xfId="2" applyNumberFormat="1" applyFont="1" applyFill="1" applyBorder="1" applyAlignment="1" applyProtection="1">
      <alignment vertical="center"/>
      <protection locked="0"/>
    </xf>
    <xf numFmtId="165" fontId="13" fillId="35" borderId="113" xfId="2" applyNumberFormat="1" applyFont="1" applyFill="1" applyBorder="1" applyAlignment="1" applyProtection="1">
      <alignment vertical="center"/>
      <protection locked="0"/>
    </xf>
    <xf numFmtId="174" fontId="13" fillId="35" borderId="113" xfId="1" applyNumberFormat="1" applyFont="1" applyFill="1" applyBorder="1" applyAlignment="1" applyProtection="1">
      <alignment vertical="center"/>
      <protection locked="0"/>
    </xf>
    <xf numFmtId="173" fontId="13" fillId="21" borderId="53" xfId="0" applyNumberFormat="1" applyFont="1" applyFill="1" applyBorder="1" applyAlignment="1">
      <alignment horizontal="left"/>
    </xf>
    <xf numFmtId="173" fontId="13" fillId="0" borderId="115" xfId="0" applyNumberFormat="1" applyFont="1" applyBorder="1" applyAlignment="1">
      <alignment horizontal="left"/>
    </xf>
    <xf numFmtId="0" fontId="12" fillId="27" borderId="114" xfId="0" applyFont="1" applyFill="1" applyBorder="1" applyAlignment="1">
      <alignment horizontal="left" vertical="center"/>
    </xf>
    <xf numFmtId="0" fontId="5" fillId="26" borderId="121" xfId="0" applyFont="1" applyFill="1" applyBorder="1" applyAlignment="1">
      <alignment horizontal="center" vertical="center"/>
    </xf>
    <xf numFmtId="0" fontId="5" fillId="30" borderId="113" xfId="0" applyFont="1" applyFill="1" applyBorder="1" applyAlignment="1">
      <alignment horizontal="center" vertical="center" wrapText="1"/>
    </xf>
    <xf numFmtId="1" fontId="0" fillId="0" borderId="113" xfId="0" applyNumberFormat="1" applyBorder="1" applyAlignment="1">
      <alignment horizontal="center" vertical="center" wrapText="1"/>
    </xf>
    <xf numFmtId="0" fontId="5" fillId="26" borderId="109" xfId="0" applyFont="1" applyFill="1" applyBorder="1" applyAlignment="1">
      <alignment horizontal="center" vertical="center"/>
    </xf>
    <xf numFmtId="0" fontId="12" fillId="27" borderId="55" xfId="0" applyFont="1" applyFill="1" applyBorder="1" applyAlignment="1">
      <alignment horizontal="left" vertical="center"/>
    </xf>
    <xf numFmtId="0" fontId="5" fillId="36" borderId="113" xfId="0" applyFont="1" applyFill="1" applyBorder="1" applyAlignment="1">
      <alignment horizontal="center" vertical="center" wrapText="1"/>
    </xf>
    <xf numFmtId="0" fontId="5" fillId="17" borderId="113" xfId="0" applyFont="1" applyFill="1" applyBorder="1" applyAlignment="1">
      <alignment vertical="center"/>
    </xf>
    <xf numFmtId="0" fontId="5" fillId="20" borderId="113" xfId="0" applyFont="1" applyFill="1" applyBorder="1" applyAlignment="1">
      <alignment horizontal="center" vertical="center" wrapText="1"/>
    </xf>
    <xf numFmtId="172" fontId="5" fillId="20" borderId="113" xfId="1" applyNumberFormat="1" applyFont="1" applyFill="1" applyBorder="1" applyAlignment="1" applyProtection="1">
      <alignment horizontal="center" vertical="center" wrapText="1"/>
    </xf>
    <xf numFmtId="0" fontId="12" fillId="20" borderId="113" xfId="0" applyFont="1" applyFill="1" applyBorder="1" applyAlignment="1">
      <alignment horizontal="center" vertical="center"/>
    </xf>
    <xf numFmtId="0" fontId="5" fillId="26" borderId="113" xfId="0" applyFont="1" applyFill="1" applyBorder="1" applyAlignment="1">
      <alignment horizontal="center" vertical="center"/>
    </xf>
    <xf numFmtId="0" fontId="12" fillId="27" borderId="113" xfId="0" applyFont="1" applyFill="1" applyBorder="1" applyAlignment="1">
      <alignment horizontal="left" vertical="center"/>
    </xf>
    <xf numFmtId="175" fontId="5" fillId="38" borderId="113" xfId="2" applyNumberFormat="1" applyFont="1" applyFill="1" applyBorder="1" applyAlignment="1" applyProtection="1">
      <alignment vertical="center"/>
    </xf>
    <xf numFmtId="175" fontId="5" fillId="39" borderId="113" xfId="2" applyNumberFormat="1" applyFont="1" applyFill="1" applyBorder="1" applyAlignment="1" applyProtection="1">
      <alignment vertical="center"/>
    </xf>
    <xf numFmtId="0" fontId="0" fillId="0" borderId="0" xfId="0" applyAlignment="1">
      <alignment horizontal="left" vertical="center"/>
    </xf>
    <xf numFmtId="165" fontId="13" fillId="0" borderId="0" xfId="2" applyNumberFormat="1" applyFont="1" applyFill="1" applyBorder="1" applyAlignment="1" applyProtection="1">
      <alignment vertical="center"/>
    </xf>
    <xf numFmtId="174" fontId="13" fillId="0" borderId="0" xfId="1" applyNumberFormat="1" applyFont="1" applyFill="1" applyBorder="1" applyAlignment="1" applyProtection="1">
      <alignment vertical="center"/>
    </xf>
    <xf numFmtId="165" fontId="12" fillId="0" borderId="0" xfId="2" applyNumberFormat="1" applyFont="1" applyFill="1" applyBorder="1" applyAlignment="1" applyProtection="1">
      <alignment vertical="center"/>
    </xf>
    <xf numFmtId="0" fontId="14" fillId="0" borderId="0" xfId="0" applyFont="1" applyAlignment="1">
      <alignment vertical="center"/>
    </xf>
    <xf numFmtId="165" fontId="14" fillId="0" borderId="0" xfId="0" applyNumberFormat="1" applyFont="1" applyAlignment="1">
      <alignment vertical="center"/>
    </xf>
    <xf numFmtId="165" fontId="9" fillId="0" borderId="0" xfId="0" applyNumberFormat="1" applyFont="1" applyAlignment="1">
      <alignment vertical="center"/>
    </xf>
    <xf numFmtId="0" fontId="5" fillId="0" borderId="1" xfId="0" applyFont="1" applyBorder="1" applyAlignment="1">
      <alignment horizontal="right" vertical="center"/>
    </xf>
    <xf numFmtId="0" fontId="8" fillId="0" borderId="0" xfId="0" applyFont="1" applyAlignment="1">
      <alignment horizontal="center" vertical="center"/>
    </xf>
    <xf numFmtId="0" fontId="0" fillId="19" borderId="0" xfId="0" applyFill="1"/>
    <xf numFmtId="0" fontId="0" fillId="19" borderId="0" xfId="0" applyFill="1" applyAlignment="1">
      <alignment horizontal="left" vertical="center"/>
    </xf>
    <xf numFmtId="176" fontId="5" fillId="19" borderId="0" xfId="0" applyNumberFormat="1" applyFont="1" applyFill="1" applyAlignment="1">
      <alignment horizontal="right" vertical="center"/>
    </xf>
    <xf numFmtId="0" fontId="0" fillId="19" borderId="76" xfId="0" applyFill="1" applyBorder="1"/>
    <xf numFmtId="0" fontId="15" fillId="0" borderId="0" xfId="0" applyFont="1" applyAlignment="1">
      <alignment horizontal="left" vertical="center" indent="2"/>
    </xf>
    <xf numFmtId="0" fontId="15" fillId="0" borderId="0" xfId="0" applyFont="1" applyAlignment="1">
      <alignment vertical="center"/>
    </xf>
    <xf numFmtId="0" fontId="15" fillId="0" borderId="76" xfId="0" applyFont="1" applyBorder="1" applyAlignment="1">
      <alignment vertical="center"/>
    </xf>
    <xf numFmtId="0" fontId="0" fillId="2" borderId="133"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7" xfId="0" applyFill="1" applyBorder="1" applyProtection="1">
      <protection locked="0"/>
    </xf>
    <xf numFmtId="168" fontId="0" fillId="2" borderId="7" xfId="2" applyNumberFormat="1" applyFont="1" applyFill="1" applyBorder="1" applyAlignment="1" applyProtection="1">
      <alignment vertical="center"/>
      <protection locked="0"/>
    </xf>
    <xf numFmtId="176" fontId="0" fillId="34" borderId="70" xfId="0" applyNumberFormat="1" applyFill="1" applyBorder="1" applyAlignment="1">
      <alignment horizontal="right" vertical="center"/>
    </xf>
    <xf numFmtId="176" fontId="0" fillId="0" borderId="70" xfId="0" applyNumberFormat="1" applyBorder="1" applyAlignment="1">
      <alignment horizontal="right" vertical="center"/>
    </xf>
    <xf numFmtId="9" fontId="0" fillId="2" borderId="40" xfId="0" applyNumberFormat="1" applyFill="1" applyBorder="1" applyAlignment="1" applyProtection="1">
      <alignment horizontal="center" vertical="center"/>
      <protection locked="0"/>
    </xf>
    <xf numFmtId="176" fontId="0" fillId="0" borderId="42" xfId="0" applyNumberFormat="1" applyBorder="1" applyAlignment="1">
      <alignment horizontal="right" vertical="center"/>
    </xf>
    <xf numFmtId="9" fontId="0" fillId="2" borderId="133" xfId="3" applyFont="1" applyFill="1" applyBorder="1" applyAlignment="1" applyProtection="1">
      <alignment horizontal="center" vertical="center"/>
      <protection locked="0"/>
    </xf>
    <xf numFmtId="9" fontId="0" fillId="40" borderId="70" xfId="0" applyNumberFormat="1" applyFill="1" applyBorder="1" applyAlignment="1">
      <alignment horizontal="center" vertical="center"/>
    </xf>
    <xf numFmtId="9" fontId="18" fillId="0" borderId="102" xfId="3" applyFont="1" applyFill="1" applyBorder="1" applyAlignment="1" applyProtection="1">
      <alignment horizontal="center" vertical="center"/>
    </xf>
    <xf numFmtId="176" fontId="0" fillId="44" borderId="104" xfId="0" applyNumberFormat="1" applyFill="1" applyBorder="1" applyAlignment="1">
      <alignment horizontal="right" vertical="center"/>
    </xf>
    <xf numFmtId="176" fontId="0" fillId="44" borderId="137" xfId="0" applyNumberFormat="1" applyFill="1" applyBorder="1" applyAlignment="1">
      <alignment horizontal="right" vertical="center"/>
    </xf>
    <xf numFmtId="9" fontId="18" fillId="0" borderId="105" xfId="3" applyFont="1" applyFill="1" applyBorder="1" applyAlignment="1" applyProtection="1">
      <alignment horizontal="center" vertical="center"/>
    </xf>
    <xf numFmtId="9" fontId="0" fillId="21" borderId="95" xfId="0" applyNumberFormat="1" applyFill="1" applyBorder="1" applyAlignment="1">
      <alignment horizontal="center" vertical="center"/>
    </xf>
    <xf numFmtId="176" fontId="0" fillId="40" borderId="96" xfId="0" applyNumberFormat="1" applyFill="1" applyBorder="1" applyAlignment="1">
      <alignment horizontal="right" vertical="center"/>
    </xf>
    <xf numFmtId="9" fontId="0" fillId="21" borderId="96" xfId="0" applyNumberFormat="1" applyFill="1" applyBorder="1" applyAlignment="1">
      <alignment horizontal="center" vertical="center"/>
    </xf>
    <xf numFmtId="9" fontId="0" fillId="21" borderId="96" xfId="3" applyFont="1" applyFill="1" applyBorder="1" applyAlignment="1" applyProtection="1">
      <alignment horizontal="center" vertical="center"/>
    </xf>
    <xf numFmtId="176" fontId="0" fillId="40" borderId="100" xfId="0" applyNumberFormat="1" applyFill="1" applyBorder="1" applyAlignment="1">
      <alignment horizontal="right" vertical="center"/>
    </xf>
    <xf numFmtId="0" fontId="0" fillId="2" borderId="113" xfId="0" applyFill="1" applyBorder="1" applyAlignment="1" applyProtection="1">
      <alignment horizontal="left" vertical="center"/>
      <protection locked="0"/>
    </xf>
    <xf numFmtId="168" fontId="0" fillId="2" borderId="113" xfId="2" applyNumberFormat="1" applyFont="1" applyFill="1" applyBorder="1" applyAlignment="1" applyProtection="1">
      <alignment vertical="center"/>
      <protection locked="0"/>
    </xf>
    <xf numFmtId="176" fontId="0" fillId="0" borderId="140" xfId="0" applyNumberFormat="1" applyBorder="1" applyAlignment="1">
      <alignment horizontal="right" vertical="center"/>
    </xf>
    <xf numFmtId="0" fontId="0" fillId="19" borderId="101" xfId="0" applyFill="1" applyBorder="1"/>
    <xf numFmtId="0" fontId="0" fillId="19" borderId="141" xfId="0" applyFill="1" applyBorder="1"/>
    <xf numFmtId="0" fontId="0" fillId="19" borderId="142" xfId="0" applyFill="1" applyBorder="1"/>
    <xf numFmtId="0" fontId="0" fillId="2" borderId="25" xfId="0" applyFill="1" applyBorder="1" applyAlignment="1" applyProtection="1">
      <alignment horizontal="left" vertical="center"/>
      <protection locked="0"/>
    </xf>
    <xf numFmtId="168" fontId="0" fillId="2" borderId="25" xfId="2" applyNumberFormat="1" applyFont="1" applyFill="1" applyBorder="1" applyAlignment="1" applyProtection="1">
      <alignment vertical="center"/>
      <protection locked="0"/>
    </xf>
    <xf numFmtId="168" fontId="0" fillId="2" borderId="49" xfId="2" applyNumberFormat="1" applyFont="1" applyFill="1" applyBorder="1" applyAlignment="1" applyProtection="1">
      <alignment vertical="center"/>
      <protection locked="0"/>
    </xf>
    <xf numFmtId="0" fontId="0" fillId="2" borderId="128" xfId="0" applyFill="1" applyBorder="1" applyAlignment="1" applyProtection="1">
      <alignment horizontal="left" vertical="center"/>
      <protection locked="0"/>
    </xf>
    <xf numFmtId="176" fontId="8" fillId="40" borderId="99" xfId="0" applyNumberFormat="1" applyFont="1" applyFill="1" applyBorder="1" applyAlignment="1">
      <alignment horizontal="right" vertical="center"/>
    </xf>
    <xf numFmtId="9" fontId="19" fillId="8" borderId="95" xfId="3" applyFont="1" applyFill="1" applyBorder="1" applyAlignment="1" applyProtection="1">
      <alignment horizontal="center" vertical="center"/>
    </xf>
    <xf numFmtId="176" fontId="8" fillId="40" borderId="100" xfId="0" applyNumberFormat="1" applyFont="1" applyFill="1" applyBorder="1" applyAlignment="1">
      <alignment horizontal="right" vertical="center"/>
    </xf>
    <xf numFmtId="9" fontId="19" fillId="8" borderId="145" xfId="3" applyFont="1" applyFill="1" applyBorder="1" applyAlignment="1" applyProtection="1">
      <alignment horizontal="center" vertical="center"/>
    </xf>
    <xf numFmtId="171" fontId="5" fillId="2" borderId="99" xfId="2" applyNumberFormat="1" applyFont="1" applyFill="1" applyBorder="1" applyAlignment="1">
      <alignment vertical="center"/>
    </xf>
    <xf numFmtId="0" fontId="0" fillId="2" borderId="40" xfId="0" applyFill="1" applyBorder="1" applyAlignment="1" applyProtection="1">
      <alignment horizontal="left" vertical="center"/>
      <protection locked="0"/>
    </xf>
    <xf numFmtId="176" fontId="0" fillId="19" borderId="0" xfId="0" applyNumberFormat="1" applyFill="1"/>
    <xf numFmtId="0" fontId="0" fillId="19" borderId="0" xfId="0" applyFill="1" applyAlignment="1">
      <alignment horizontal="center" vertical="center"/>
    </xf>
    <xf numFmtId="177" fontId="0" fillId="19" borderId="0" xfId="0" applyNumberFormat="1" applyFill="1"/>
    <xf numFmtId="171" fontId="1" fillId="0" borderId="0" xfId="2" applyNumberFormat="1" applyProtection="1"/>
    <xf numFmtId="171" fontId="0" fillId="19" borderId="0" xfId="0" applyNumberFormat="1" applyFill="1"/>
    <xf numFmtId="9" fontId="5" fillId="0" borderId="0" xfId="0" applyNumberFormat="1" applyFont="1" applyAlignment="1">
      <alignment vertical="center"/>
    </xf>
    <xf numFmtId="178" fontId="5" fillId="0" borderId="0" xfId="0" applyNumberFormat="1" applyFont="1" applyAlignment="1">
      <alignment vertical="center"/>
    </xf>
    <xf numFmtId="165" fontId="5" fillId="12" borderId="48" xfId="0" applyNumberFormat="1" applyFont="1" applyFill="1" applyBorder="1" applyAlignment="1">
      <alignment horizontal="center" vertical="center" wrapText="1"/>
    </xf>
    <xf numFmtId="165" fontId="5" fillId="12" borderId="25" xfId="0" applyNumberFormat="1" applyFont="1" applyFill="1" applyBorder="1" applyAlignment="1">
      <alignment horizontal="center" vertical="center" wrapText="1"/>
    </xf>
    <xf numFmtId="165" fontId="5" fillId="12" borderId="50" xfId="0" applyNumberFormat="1" applyFont="1" applyFill="1" applyBorder="1" applyAlignment="1">
      <alignment horizontal="center" vertical="center" wrapText="1"/>
    </xf>
    <xf numFmtId="165" fontId="5" fillId="3" borderId="51" xfId="0" applyNumberFormat="1" applyFont="1" applyFill="1" applyBorder="1" applyAlignment="1">
      <alignment horizontal="center" vertical="center" wrapText="1"/>
    </xf>
    <xf numFmtId="165" fontId="5" fillId="3" borderId="25" xfId="0" applyNumberFormat="1" applyFont="1" applyFill="1" applyBorder="1" applyAlignment="1">
      <alignment horizontal="center" vertical="center" wrapText="1"/>
    </xf>
    <xf numFmtId="165" fontId="5" fillId="3" borderId="49" xfId="0" applyNumberFormat="1" applyFont="1" applyFill="1" applyBorder="1" applyAlignment="1">
      <alignment horizontal="center" vertical="center" wrapText="1"/>
    </xf>
    <xf numFmtId="165" fontId="5" fillId="3" borderId="48" xfId="0" applyNumberFormat="1" applyFont="1" applyFill="1" applyBorder="1" applyAlignment="1">
      <alignment horizontal="center" vertical="center" wrapText="1"/>
    </xf>
    <xf numFmtId="165" fontId="5" fillId="3" borderId="50" xfId="0" applyNumberFormat="1" applyFont="1" applyFill="1" applyBorder="1" applyAlignment="1">
      <alignment horizontal="center" vertical="center" wrapText="1"/>
    </xf>
    <xf numFmtId="165" fontId="5" fillId="3" borderId="143" xfId="0" applyNumberFormat="1" applyFont="1" applyFill="1" applyBorder="1" applyAlignment="1">
      <alignment horizontal="center" vertical="center" wrapText="1"/>
    </xf>
    <xf numFmtId="165" fontId="5" fillId="3" borderId="120" xfId="0" applyNumberFormat="1" applyFont="1" applyFill="1" applyBorder="1" applyAlignment="1">
      <alignment horizontal="center" vertical="center" wrapText="1"/>
    </xf>
    <xf numFmtId="165" fontId="5" fillId="3" borderId="135" xfId="0" applyNumberFormat="1" applyFont="1" applyFill="1" applyBorder="1" applyAlignment="1">
      <alignment horizontal="center" vertical="center" wrapText="1"/>
    </xf>
    <xf numFmtId="175" fontId="0" fillId="0" borderId="72" xfId="2" applyNumberFormat="1" applyFont="1" applyFill="1" applyBorder="1" applyAlignment="1" applyProtection="1">
      <alignment vertical="center"/>
    </xf>
    <xf numFmtId="165" fontId="0" fillId="34" borderId="40" xfId="2" applyNumberFormat="1" applyFont="1" applyFill="1" applyBorder="1" applyAlignment="1" applyProtection="1">
      <alignment vertical="center"/>
    </xf>
    <xf numFmtId="165" fontId="0" fillId="34" borderId="7" xfId="2" applyNumberFormat="1" applyFont="1" applyFill="1" applyBorder="1" applyAlignment="1" applyProtection="1">
      <alignment vertical="center"/>
    </xf>
    <xf numFmtId="165" fontId="0" fillId="34" borderId="42" xfId="2" applyNumberFormat="1" applyFont="1" applyFill="1" applyBorder="1" applyAlignment="1" applyProtection="1">
      <alignment vertical="center"/>
    </xf>
    <xf numFmtId="165" fontId="0" fillId="46" borderId="133" xfId="2" applyNumberFormat="1" applyFont="1" applyFill="1" applyBorder="1" applyAlignment="1" applyProtection="1">
      <alignment vertical="center"/>
    </xf>
    <xf numFmtId="165" fontId="0" fillId="46" borderId="7" xfId="2" applyNumberFormat="1" applyFont="1" applyFill="1" applyBorder="1" applyAlignment="1" applyProtection="1">
      <alignment vertical="center"/>
    </xf>
    <xf numFmtId="165" fontId="0" fillId="46" borderId="72" xfId="2" applyNumberFormat="1" applyFont="1" applyFill="1" applyBorder="1" applyAlignment="1" applyProtection="1">
      <alignment vertical="center"/>
    </xf>
    <xf numFmtId="165" fontId="0" fillId="0" borderId="40" xfId="2" applyNumberFormat="1" applyFont="1" applyFill="1" applyBorder="1" applyAlignment="1" applyProtection="1">
      <alignment vertical="center"/>
    </xf>
    <xf numFmtId="165" fontId="0" fillId="0" borderId="7" xfId="2" applyNumberFormat="1" applyFont="1" applyFill="1" applyBorder="1" applyAlignment="1" applyProtection="1">
      <alignment vertical="center"/>
    </xf>
    <xf numFmtId="165" fontId="0" fillId="0" borderId="72" xfId="2" applyNumberFormat="1" applyFont="1" applyFill="1" applyBorder="1" applyAlignment="1" applyProtection="1">
      <alignment vertical="center"/>
    </xf>
    <xf numFmtId="179" fontId="0" fillId="0" borderId="40" xfId="3" applyNumberFormat="1" applyFont="1" applyBorder="1" applyAlignment="1">
      <alignment horizontal="center" vertical="center"/>
    </xf>
    <xf numFmtId="179" fontId="0" fillId="0" borderId="7" xfId="3" applyNumberFormat="1" applyFont="1" applyBorder="1" applyAlignment="1">
      <alignment horizontal="center" vertical="center"/>
    </xf>
    <xf numFmtId="179" fontId="0" fillId="0" borderId="42" xfId="3" applyNumberFormat="1" applyFont="1" applyBorder="1" applyAlignment="1">
      <alignment horizontal="center" vertical="center"/>
    </xf>
    <xf numFmtId="175" fontId="0" fillId="0" borderId="139" xfId="2" applyNumberFormat="1" applyFont="1" applyFill="1" applyBorder="1" applyAlignment="1" applyProtection="1">
      <alignment vertical="center"/>
    </xf>
    <xf numFmtId="165" fontId="0" fillId="32" borderId="44" xfId="2" applyNumberFormat="1" applyFont="1" applyFill="1" applyBorder="1" applyAlignment="1" applyProtection="1">
      <alignment vertical="center"/>
    </xf>
    <xf numFmtId="165" fontId="0" fillId="32" borderId="113" xfId="2" applyNumberFormat="1" applyFont="1" applyFill="1" applyBorder="1" applyAlignment="1" applyProtection="1">
      <alignment vertical="center"/>
    </xf>
    <xf numFmtId="165" fontId="0" fillId="32" borderId="140" xfId="2" applyNumberFormat="1" applyFont="1" applyFill="1" applyBorder="1" applyAlignment="1" applyProtection="1">
      <alignment vertical="center"/>
    </xf>
    <xf numFmtId="165" fontId="0" fillId="47" borderId="123" xfId="2" applyNumberFormat="1" applyFont="1" applyFill="1" applyBorder="1" applyAlignment="1" applyProtection="1">
      <alignment vertical="center"/>
    </xf>
    <xf numFmtId="165" fontId="0" fillId="47" borderId="113" xfId="2" applyNumberFormat="1" applyFont="1" applyFill="1" applyBorder="1" applyAlignment="1" applyProtection="1">
      <alignment vertical="center"/>
    </xf>
    <xf numFmtId="165" fontId="0" fillId="47" borderId="139" xfId="2" applyNumberFormat="1" applyFont="1" applyFill="1" applyBorder="1" applyAlignment="1" applyProtection="1">
      <alignment vertical="center"/>
    </xf>
    <xf numFmtId="165" fontId="0" fillId="1" borderId="44" xfId="2" applyNumberFormat="1" applyFont="1" applyFill="1" applyBorder="1" applyAlignment="1" applyProtection="1">
      <alignment vertical="center"/>
    </xf>
    <xf numFmtId="165" fontId="0" fillId="1" borderId="113" xfId="2" applyNumberFormat="1" applyFont="1" applyFill="1" applyBorder="1" applyAlignment="1" applyProtection="1">
      <alignment vertical="center"/>
    </xf>
    <xf numFmtId="165" fontId="0" fillId="1" borderId="139" xfId="2" applyNumberFormat="1" applyFont="1" applyFill="1" applyBorder="1" applyAlignment="1" applyProtection="1">
      <alignment vertical="center"/>
    </xf>
    <xf numFmtId="165" fontId="0" fillId="1" borderId="140" xfId="2" applyNumberFormat="1" applyFont="1" applyFill="1" applyBorder="1" applyAlignment="1" applyProtection="1">
      <alignment vertical="center"/>
    </xf>
    <xf numFmtId="175" fontId="0" fillId="0" borderId="49" xfId="2" applyNumberFormat="1" applyFont="1" applyFill="1" applyBorder="1" applyAlignment="1" applyProtection="1">
      <alignment horizontal="right" vertical="center"/>
    </xf>
    <xf numFmtId="165" fontId="0" fillId="32" borderId="48" xfId="2" applyNumberFormat="1" applyFont="1" applyFill="1" applyBorder="1" applyAlignment="1" applyProtection="1">
      <alignment vertical="center"/>
    </xf>
    <xf numFmtId="165" fontId="0" fillId="34" borderId="25" xfId="2" applyNumberFormat="1" applyFont="1" applyFill="1" applyBorder="1" applyAlignment="1" applyProtection="1">
      <alignment vertical="center"/>
    </xf>
    <xf numFmtId="165" fontId="0" fillId="34" borderId="50" xfId="2" applyNumberFormat="1" applyFont="1" applyFill="1" applyBorder="1" applyAlignment="1" applyProtection="1">
      <alignment vertical="center"/>
    </xf>
    <xf numFmtId="165" fontId="0" fillId="47" borderId="51" xfId="2" applyNumberFormat="1" applyFont="1" applyFill="1" applyBorder="1" applyAlignment="1" applyProtection="1">
      <alignment vertical="center"/>
    </xf>
    <xf numFmtId="165" fontId="0" fillId="46" borderId="25" xfId="2" applyNumberFormat="1" applyFont="1" applyFill="1" applyBorder="1" applyAlignment="1" applyProtection="1">
      <alignment vertical="center"/>
    </xf>
    <xf numFmtId="165" fontId="0" fillId="46" borderId="49" xfId="2" applyNumberFormat="1" applyFont="1" applyFill="1" applyBorder="1" applyAlignment="1" applyProtection="1">
      <alignment vertical="center"/>
    </xf>
    <xf numFmtId="165" fontId="0" fillId="1" borderId="48" xfId="2" applyNumberFormat="1" applyFont="1" applyFill="1" applyBorder="1" applyAlignment="1" applyProtection="1">
      <alignment vertical="center"/>
    </xf>
    <xf numFmtId="165" fontId="0" fillId="0" borderId="25" xfId="2" applyNumberFormat="1" applyFont="1" applyFill="1" applyBorder="1" applyAlignment="1" applyProtection="1">
      <alignment vertical="center"/>
    </xf>
    <xf numFmtId="165" fontId="0" fillId="0" borderId="49" xfId="2" applyNumberFormat="1" applyFont="1" applyFill="1" applyBorder="1" applyAlignment="1" applyProtection="1">
      <alignment vertical="center"/>
    </xf>
    <xf numFmtId="179" fontId="0" fillId="1" borderId="48" xfId="3" applyNumberFormat="1" applyFont="1" applyFill="1" applyBorder="1" applyAlignment="1">
      <alignment horizontal="center" vertical="center"/>
    </xf>
    <xf numFmtId="179" fontId="0" fillId="0" borderId="25" xfId="3" applyNumberFormat="1" applyFont="1" applyBorder="1" applyAlignment="1">
      <alignment horizontal="center" vertical="center"/>
    </xf>
    <xf numFmtId="179" fontId="0" fillId="0" borderId="50" xfId="3" applyNumberFormat="1" applyFont="1" applyBorder="1" applyAlignment="1">
      <alignment horizontal="center" vertical="center"/>
    </xf>
    <xf numFmtId="165" fontId="0" fillId="0" borderId="42" xfId="2" applyNumberFormat="1" applyFont="1" applyFill="1" applyBorder="1" applyAlignment="1" applyProtection="1">
      <alignment vertical="center"/>
    </xf>
    <xf numFmtId="165" fontId="0" fillId="0" borderId="50" xfId="2" applyNumberFormat="1" applyFont="1" applyFill="1" applyBorder="1" applyAlignment="1" applyProtection="1">
      <alignment vertical="center"/>
    </xf>
    <xf numFmtId="0" fontId="8" fillId="0" borderId="147" xfId="0" applyFont="1" applyBorder="1" applyAlignment="1">
      <alignment horizontal="center" vertical="center" wrapText="1"/>
    </xf>
    <xf numFmtId="175" fontId="0" fillId="0" borderId="129" xfId="2" applyNumberFormat="1" applyFont="1" applyFill="1" applyBorder="1" applyAlignment="1" applyProtection="1">
      <alignment vertical="center"/>
    </xf>
    <xf numFmtId="165" fontId="0" fillId="34" borderId="147" xfId="2" applyNumberFormat="1" applyFont="1" applyFill="1" applyBorder="1" applyAlignment="1" applyProtection="1">
      <alignment vertical="center"/>
    </xf>
    <xf numFmtId="165" fontId="0" fillId="34" borderId="9" xfId="2" applyNumberFormat="1" applyFont="1" applyFill="1" applyBorder="1" applyAlignment="1" applyProtection="1">
      <alignment vertical="center"/>
    </xf>
    <xf numFmtId="165" fontId="0" fillId="34" borderId="148" xfId="2" applyNumberFormat="1" applyFont="1" applyFill="1" applyBorder="1" applyAlignment="1" applyProtection="1">
      <alignment vertical="center"/>
    </xf>
    <xf numFmtId="165" fontId="0" fillId="46" borderId="128" xfId="2" applyNumberFormat="1" applyFont="1" applyFill="1" applyBorder="1" applyAlignment="1" applyProtection="1">
      <alignment vertical="center"/>
    </xf>
    <xf numFmtId="165" fontId="0" fillId="46" borderId="9" xfId="2" applyNumberFormat="1" applyFont="1" applyFill="1" applyBorder="1" applyAlignment="1" applyProtection="1">
      <alignment vertical="center"/>
    </xf>
    <xf numFmtId="165" fontId="0" fillId="46" borderId="129" xfId="2" applyNumberFormat="1" applyFont="1" applyFill="1" applyBorder="1" applyAlignment="1" applyProtection="1">
      <alignment vertical="center"/>
    </xf>
    <xf numFmtId="165" fontId="0" fillId="0" borderId="147" xfId="2" applyNumberFormat="1" applyFont="1" applyFill="1" applyBorder="1" applyAlignment="1" applyProtection="1">
      <alignment vertical="center"/>
    </xf>
    <xf numFmtId="165" fontId="0" fillId="0" borderId="9" xfId="2" applyNumberFormat="1" applyFont="1" applyFill="1" applyBorder="1" applyAlignment="1" applyProtection="1">
      <alignment vertical="center"/>
    </xf>
    <xf numFmtId="165" fontId="0" fillId="0" borderId="148" xfId="2" applyNumberFormat="1" applyFont="1" applyFill="1" applyBorder="1" applyAlignment="1" applyProtection="1">
      <alignment vertical="center"/>
    </xf>
    <xf numFmtId="179" fontId="0" fillId="0" borderId="147" xfId="3" applyNumberFormat="1" applyFont="1" applyBorder="1" applyAlignment="1">
      <alignment horizontal="center" vertical="center"/>
    </xf>
    <xf numFmtId="0" fontId="8" fillId="0" borderId="95" xfId="0" applyFont="1" applyBorder="1" applyAlignment="1">
      <alignment horizontal="center" vertical="center" wrapText="1"/>
    </xf>
    <xf numFmtId="175" fontId="0" fillId="0" borderId="97" xfId="2" applyNumberFormat="1" applyFont="1" applyFill="1" applyBorder="1" applyAlignment="1" applyProtection="1">
      <alignment vertical="center"/>
    </xf>
    <xf numFmtId="165" fontId="0" fillId="34" borderId="95" xfId="2" applyNumberFormat="1" applyFont="1" applyFill="1" applyBorder="1" applyAlignment="1" applyProtection="1">
      <alignment vertical="center"/>
    </xf>
    <xf numFmtId="165" fontId="0" fillId="34" borderId="96" xfId="2" applyNumberFormat="1" applyFont="1" applyFill="1" applyBorder="1" applyAlignment="1" applyProtection="1">
      <alignment vertical="center"/>
    </xf>
    <xf numFmtId="165" fontId="0" fillId="34" borderId="100" xfId="2" applyNumberFormat="1" applyFont="1" applyFill="1" applyBorder="1" applyAlignment="1" applyProtection="1">
      <alignment vertical="center"/>
    </xf>
    <xf numFmtId="165" fontId="0" fillId="46" borderId="98" xfId="2" applyNumberFormat="1" applyFont="1" applyFill="1" applyBorder="1" applyAlignment="1" applyProtection="1">
      <alignment vertical="center"/>
    </xf>
    <xf numFmtId="165" fontId="0" fillId="46" borderId="96" xfId="2" applyNumberFormat="1" applyFont="1" applyFill="1" applyBorder="1" applyAlignment="1" applyProtection="1">
      <alignment vertical="center"/>
    </xf>
    <xf numFmtId="165" fontId="0" fillId="46" borderId="97" xfId="2" applyNumberFormat="1" applyFont="1" applyFill="1" applyBorder="1" applyAlignment="1" applyProtection="1">
      <alignment vertical="center"/>
    </xf>
    <xf numFmtId="165" fontId="0" fillId="0" borderId="95" xfId="2" applyNumberFormat="1" applyFont="1" applyFill="1" applyBorder="1" applyAlignment="1" applyProtection="1">
      <alignment vertical="center"/>
    </xf>
    <xf numFmtId="165" fontId="0" fillId="0" borderId="96" xfId="2" applyNumberFormat="1" applyFont="1" applyFill="1" applyBorder="1" applyAlignment="1" applyProtection="1">
      <alignment vertical="center"/>
    </xf>
    <xf numFmtId="165" fontId="0" fillId="0" borderId="100" xfId="2" applyNumberFormat="1" applyFont="1" applyFill="1" applyBorder="1" applyAlignment="1" applyProtection="1">
      <alignment vertical="center"/>
    </xf>
    <xf numFmtId="179" fontId="0" fillId="0" borderId="95" xfId="3" applyNumberFormat="1" applyFont="1" applyBorder="1" applyAlignment="1">
      <alignment horizontal="center" vertical="center"/>
    </xf>
    <xf numFmtId="179" fontId="0" fillId="0" borderId="96" xfId="3" applyNumberFormat="1" applyFont="1" applyBorder="1" applyAlignment="1">
      <alignment horizontal="center" vertical="center"/>
    </xf>
    <xf numFmtId="179" fontId="0" fillId="0" borderId="100" xfId="3" applyNumberFormat="1" applyFont="1" applyBorder="1" applyAlignment="1">
      <alignment horizontal="center" vertical="center"/>
    </xf>
    <xf numFmtId="0" fontId="8" fillId="2" borderId="115" xfId="0" applyFont="1" applyFill="1" applyBorder="1" applyAlignment="1">
      <alignment horizontal="center" vertical="center"/>
    </xf>
    <xf numFmtId="0" fontId="8" fillId="0" borderId="107" xfId="0" applyFont="1" applyBorder="1" applyAlignment="1">
      <alignment horizontal="center" vertical="center"/>
    </xf>
    <xf numFmtId="0" fontId="15" fillId="19" borderId="0" xfId="0" applyFont="1" applyFill="1" applyAlignment="1">
      <alignment horizontal="left" vertical="center" indent="2"/>
    </xf>
    <xf numFmtId="176" fontId="5" fillId="40" borderId="149" xfId="0" applyNumberFormat="1" applyFont="1" applyFill="1" applyBorder="1" applyAlignment="1">
      <alignment horizontal="center" vertical="center"/>
    </xf>
    <xf numFmtId="169" fontId="5" fillId="8" borderId="149" xfId="3" applyNumberFormat="1" applyFont="1" applyFill="1" applyBorder="1" applyAlignment="1" applyProtection="1">
      <alignment horizontal="center" vertical="center"/>
    </xf>
    <xf numFmtId="168" fontId="0" fillId="34" borderId="7" xfId="2" applyNumberFormat="1" applyFont="1" applyFill="1" applyBorder="1" applyAlignment="1" applyProtection="1">
      <alignment vertical="center"/>
    </xf>
    <xf numFmtId="168" fontId="0" fillId="34" borderId="113" xfId="2" applyNumberFormat="1" applyFont="1" applyFill="1" applyBorder="1" applyAlignment="1" applyProtection="1">
      <alignment vertical="center"/>
    </xf>
    <xf numFmtId="168" fontId="0" fillId="34" borderId="25" xfId="2" applyNumberFormat="1" applyFont="1" applyFill="1" applyBorder="1" applyAlignment="1" applyProtection="1">
      <alignment vertical="center"/>
    </xf>
    <xf numFmtId="0" fontId="5" fillId="0" borderId="1" xfId="0" applyFont="1" applyBorder="1" applyAlignment="1">
      <alignment horizontal="center" vertical="center"/>
    </xf>
    <xf numFmtId="0" fontId="0" fillId="0" borderId="0" xfId="0" applyAlignment="1">
      <alignment horizontal="left" vertical="center" wrapText="1"/>
    </xf>
    <xf numFmtId="165" fontId="5" fillId="12" borderId="114" xfId="0" applyNumberFormat="1" applyFont="1" applyFill="1" applyBorder="1" applyAlignment="1">
      <alignment horizontal="center" vertical="center" wrapText="1"/>
    </xf>
    <xf numFmtId="165" fontId="5" fillId="12" borderId="118" xfId="0" applyNumberFormat="1" applyFont="1" applyFill="1" applyBorder="1" applyAlignment="1">
      <alignment horizontal="center" vertical="center" wrapText="1"/>
    </xf>
    <xf numFmtId="0" fontId="5" fillId="7" borderId="167" xfId="0" applyFont="1" applyFill="1" applyBorder="1" applyAlignment="1">
      <alignment horizontal="center" vertical="center" wrapText="1"/>
    </xf>
    <xf numFmtId="0" fontId="5" fillId="7" borderId="114" xfId="0" applyFont="1" applyFill="1" applyBorder="1" applyAlignment="1">
      <alignment horizontal="center" vertical="center" wrapText="1"/>
    </xf>
    <xf numFmtId="0" fontId="5" fillId="7" borderId="168" xfId="0" applyFont="1" applyFill="1" applyBorder="1" applyAlignment="1">
      <alignment horizontal="center" vertical="center" wrapText="1"/>
    </xf>
    <xf numFmtId="0" fontId="5" fillId="3" borderId="121" xfId="0" applyFont="1" applyFill="1" applyBorder="1" applyAlignment="1">
      <alignment horizontal="center" vertical="center"/>
    </xf>
    <xf numFmtId="0" fontId="5" fillId="7" borderId="118" xfId="0" applyFont="1" applyFill="1" applyBorder="1" applyAlignment="1">
      <alignment horizontal="center" vertical="center" wrapText="1"/>
    </xf>
    <xf numFmtId="0" fontId="5" fillId="3" borderId="167" xfId="0" applyFont="1" applyFill="1" applyBorder="1" applyAlignment="1">
      <alignment horizontal="center" vertical="center"/>
    </xf>
    <xf numFmtId="180" fontId="1" fillId="46" borderId="40" xfId="3" applyNumberFormat="1" applyFill="1" applyBorder="1" applyAlignment="1" applyProtection="1">
      <alignment horizontal="center" vertical="center"/>
    </xf>
    <xf numFmtId="180" fontId="1" fillId="46" borderId="7" xfId="3" applyNumberFormat="1" applyFill="1" applyBorder="1" applyAlignment="1" applyProtection="1">
      <alignment horizontal="center" vertical="center"/>
    </xf>
    <xf numFmtId="180" fontId="1" fillId="46" borderId="42" xfId="3" applyNumberFormat="1" applyFill="1" applyBorder="1" applyAlignment="1" applyProtection="1">
      <alignment horizontal="center" vertical="center"/>
    </xf>
    <xf numFmtId="165" fontId="0" fillId="34" borderId="170" xfId="2" applyNumberFormat="1" applyFont="1" applyFill="1" applyBorder="1" applyAlignment="1" applyProtection="1">
      <alignment vertical="center"/>
    </xf>
    <xf numFmtId="165" fontId="0" fillId="49" borderId="113" xfId="2" applyNumberFormat="1" applyFont="1" applyFill="1" applyBorder="1" applyAlignment="1" applyProtection="1">
      <alignment vertical="center"/>
    </xf>
    <xf numFmtId="165" fontId="0" fillId="49" borderId="139" xfId="2" applyNumberFormat="1" applyFont="1" applyFill="1" applyBorder="1" applyAlignment="1" applyProtection="1">
      <alignment vertical="center"/>
    </xf>
    <xf numFmtId="180" fontId="1" fillId="47" borderId="152" xfId="3" applyNumberFormat="1" applyFill="1" applyBorder="1" applyAlignment="1" applyProtection="1">
      <alignment horizontal="center" vertical="center"/>
    </xf>
    <xf numFmtId="180" fontId="1" fillId="47" borderId="113" xfId="3" applyNumberFormat="1" applyFill="1" applyBorder="1" applyAlignment="1" applyProtection="1">
      <alignment horizontal="center" vertical="center"/>
    </xf>
    <xf numFmtId="180" fontId="1" fillId="47" borderId="140" xfId="3" applyNumberFormat="1" applyFill="1" applyBorder="1" applyAlignment="1" applyProtection="1">
      <alignment horizontal="center" vertical="center"/>
    </xf>
    <xf numFmtId="165" fontId="0" fillId="32" borderId="146" xfId="2" applyNumberFormat="1" applyFont="1" applyFill="1" applyBorder="1" applyAlignment="1" applyProtection="1">
      <alignment vertical="center"/>
    </xf>
    <xf numFmtId="165" fontId="0" fillId="34" borderId="49" xfId="2" applyNumberFormat="1" applyFont="1" applyFill="1" applyBorder="1" applyAlignment="1" applyProtection="1">
      <alignment vertical="center"/>
    </xf>
    <xf numFmtId="180" fontId="1" fillId="46" borderId="48" xfId="3" applyNumberFormat="1" applyFill="1" applyBorder="1" applyAlignment="1" applyProtection="1">
      <alignment horizontal="center" vertical="center"/>
    </xf>
    <xf numFmtId="180" fontId="1" fillId="46" borderId="25" xfId="3" applyNumberFormat="1" applyFill="1" applyBorder="1" applyAlignment="1" applyProtection="1">
      <alignment horizontal="center" vertical="center"/>
    </xf>
    <xf numFmtId="180" fontId="1" fillId="46" borderId="50" xfId="3" applyNumberFormat="1" applyFill="1" applyBorder="1" applyAlignment="1" applyProtection="1">
      <alignment horizontal="center" vertical="center"/>
    </xf>
    <xf numFmtId="165" fontId="0" fillId="34" borderId="136" xfId="2" applyNumberFormat="1" applyFont="1" applyFill="1" applyBorder="1" applyAlignment="1" applyProtection="1">
      <alignment vertical="center"/>
    </xf>
    <xf numFmtId="0" fontId="11" fillId="0" borderId="79" xfId="0" applyFont="1" applyBorder="1" applyAlignment="1">
      <alignment horizontal="center" vertical="center" wrapText="1"/>
    </xf>
    <xf numFmtId="180" fontId="1" fillId="46" borderId="172" xfId="3" applyNumberFormat="1" applyFill="1" applyBorder="1" applyAlignment="1" applyProtection="1">
      <alignment horizontal="center" vertical="center"/>
    </xf>
    <xf numFmtId="180" fontId="1" fillId="46" borderId="108" xfId="3" applyNumberFormat="1" applyFill="1" applyBorder="1" applyAlignment="1" applyProtection="1">
      <alignment horizontal="center" vertical="center"/>
    </xf>
    <xf numFmtId="180" fontId="1" fillId="46" borderId="154" xfId="3" applyNumberFormat="1" applyFill="1" applyBorder="1" applyAlignment="1" applyProtection="1">
      <alignment horizontal="center" vertical="center"/>
    </xf>
    <xf numFmtId="165" fontId="0" fillId="34" borderId="77" xfId="2" applyNumberFormat="1" applyFont="1" applyFill="1" applyBorder="1" applyAlignment="1" applyProtection="1">
      <alignment vertical="center"/>
    </xf>
    <xf numFmtId="0" fontId="11" fillId="0" borderId="99" xfId="0" applyFont="1" applyBorder="1" applyAlignment="1">
      <alignment horizontal="center" vertical="center" wrapText="1"/>
    </xf>
    <xf numFmtId="180" fontId="1" fillId="46" borderId="95" xfId="3" applyNumberFormat="1" applyFill="1" applyBorder="1" applyAlignment="1" applyProtection="1">
      <alignment horizontal="center" vertical="center"/>
    </xf>
    <xf numFmtId="180" fontId="1" fillId="46" borderId="96" xfId="3" applyNumberFormat="1" applyFill="1" applyBorder="1" applyAlignment="1" applyProtection="1">
      <alignment horizontal="center" vertical="center"/>
    </xf>
    <xf numFmtId="180" fontId="1" fillId="46" borderId="100" xfId="3" applyNumberFormat="1" applyFill="1" applyBorder="1" applyAlignment="1" applyProtection="1">
      <alignment horizontal="center" vertical="center"/>
    </xf>
    <xf numFmtId="165" fontId="0" fillId="34" borderId="138" xfId="2" applyNumberFormat="1" applyFont="1" applyFill="1" applyBorder="1" applyAlignment="1" applyProtection="1">
      <alignment vertical="center"/>
    </xf>
    <xf numFmtId="0" fontId="0" fillId="0" borderId="0" xfId="0" applyProtection="1">
      <protection locked="0"/>
    </xf>
    <xf numFmtId="0" fontId="5" fillId="0" borderId="0" xfId="0" applyFont="1" applyAlignment="1" applyProtection="1">
      <alignment vertical="center"/>
      <protection locked="0"/>
    </xf>
    <xf numFmtId="0" fontId="0" fillId="21" borderId="0" xfId="0" applyFill="1"/>
    <xf numFmtId="0" fontId="22" fillId="0" borderId="0" xfId="0" applyFont="1"/>
    <xf numFmtId="9" fontId="14" fillId="21" borderId="0" xfId="0" applyNumberFormat="1" applyFont="1" applyFill="1" applyAlignment="1">
      <alignment horizontal="center"/>
    </xf>
    <xf numFmtId="0" fontId="2" fillId="43" borderId="99" xfId="0" applyFont="1" applyFill="1" applyBorder="1" applyAlignment="1">
      <alignment horizontal="center" vertical="center"/>
    </xf>
    <xf numFmtId="0" fontId="0" fillId="21" borderId="89" xfId="0" applyFill="1" applyBorder="1" applyAlignment="1">
      <alignment horizontal="left" indent="2"/>
    </xf>
    <xf numFmtId="181" fontId="0" fillId="21" borderId="123" xfId="0" applyNumberFormat="1" applyFill="1" applyBorder="1"/>
    <xf numFmtId="181" fontId="2" fillId="21" borderId="83" xfId="0" applyNumberFormat="1" applyFont="1" applyFill="1" applyBorder="1"/>
    <xf numFmtId="0" fontId="0" fillId="21" borderId="83" xfId="0" applyFill="1" applyBorder="1" applyAlignment="1">
      <alignment horizontal="left" indent="2"/>
    </xf>
    <xf numFmtId="181" fontId="0" fillId="21" borderId="113" xfId="0" applyNumberFormat="1" applyFill="1" applyBorder="1"/>
    <xf numFmtId="181" fontId="0" fillId="21" borderId="139" xfId="0" applyNumberFormat="1" applyFill="1" applyBorder="1"/>
    <xf numFmtId="0" fontId="0" fillId="21" borderId="85" xfId="0" applyFill="1" applyBorder="1" applyAlignment="1">
      <alignment horizontal="left" indent="2"/>
    </xf>
    <xf numFmtId="181" fontId="0" fillId="21" borderId="171" xfId="0" applyNumberFormat="1" applyFill="1" applyBorder="1"/>
    <xf numFmtId="181" fontId="2" fillId="21" borderId="144" xfId="0" applyNumberFormat="1" applyFont="1" applyFill="1" applyBorder="1"/>
    <xf numFmtId="0" fontId="2" fillId="9" borderId="95" xfId="0" applyFont="1" applyFill="1" applyBorder="1" applyAlignment="1">
      <alignment horizontal="left" indent="2"/>
    </xf>
    <xf numFmtId="181" fontId="2" fillId="21" borderId="96" xfId="0" applyNumberFormat="1" applyFont="1" applyFill="1" applyBorder="1"/>
    <xf numFmtId="181" fontId="2" fillId="21" borderId="97" xfId="0" applyNumberFormat="1" applyFont="1" applyFill="1" applyBorder="1"/>
    <xf numFmtId="181" fontId="2" fillId="21" borderId="99" xfId="0" applyNumberFormat="1" applyFont="1" applyFill="1" applyBorder="1"/>
    <xf numFmtId="0" fontId="2" fillId="0" borderId="0" xfId="0" applyFont="1" applyAlignment="1">
      <alignment horizontal="left" indent="2"/>
    </xf>
    <xf numFmtId="9" fontId="5" fillId="21" borderId="0" xfId="5" applyFont="1" applyFill="1" applyAlignment="1" applyProtection="1">
      <alignment horizontal="center"/>
    </xf>
    <xf numFmtId="181" fontId="2" fillId="21" borderId="0" xfId="0" applyNumberFormat="1" applyFont="1" applyFill="1"/>
    <xf numFmtId="0" fontId="23" fillId="21" borderId="0" xfId="0" applyFont="1" applyFill="1" applyAlignment="1">
      <alignment horizontal="left"/>
    </xf>
    <xf numFmtId="9" fontId="5" fillId="0" borderId="0" xfId="3" applyFont="1" applyAlignment="1" applyProtection="1">
      <alignment horizontal="center"/>
    </xf>
    <xf numFmtId="0" fontId="24" fillId="21" borderId="0" xfId="0" applyFont="1" applyFill="1"/>
    <xf numFmtId="0" fontId="2" fillId="43" borderId="94" xfId="0" applyFont="1" applyFill="1" applyBorder="1" applyAlignment="1">
      <alignment horizontal="center" vertical="center"/>
    </xf>
    <xf numFmtId="0" fontId="0" fillId="21" borderId="86" xfId="0" applyFill="1" applyBorder="1" applyAlignment="1">
      <alignment horizontal="left" indent="2"/>
    </xf>
    <xf numFmtId="0" fontId="0" fillId="21" borderId="151" xfId="0" applyFill="1" applyBorder="1" applyAlignment="1">
      <alignment horizontal="left" indent="2"/>
    </xf>
    <xf numFmtId="0" fontId="0" fillId="21" borderId="84" xfId="0" applyFill="1" applyBorder="1" applyAlignment="1">
      <alignment horizontal="left" indent="2"/>
    </xf>
    <xf numFmtId="0" fontId="2" fillId="9" borderId="94" xfId="0" applyFont="1" applyFill="1" applyBorder="1" applyAlignment="1">
      <alignment horizontal="left" indent="2"/>
    </xf>
    <xf numFmtId="181" fontId="2" fillId="21" borderId="153" xfId="0" applyNumberFormat="1" applyFont="1" applyFill="1" applyBorder="1"/>
    <xf numFmtId="181" fontId="2" fillId="21" borderId="173" xfId="0" applyNumberFormat="1" applyFont="1" applyFill="1" applyBorder="1"/>
    <xf numFmtId="181" fontId="2" fillId="21" borderId="138" xfId="0" applyNumberFormat="1" applyFont="1" applyFill="1" applyBorder="1"/>
    <xf numFmtId="42" fontId="0" fillId="0" borderId="149" xfId="6" applyFont="1" applyBorder="1"/>
    <xf numFmtId="181" fontId="0" fillId="21" borderId="149" xfId="0" applyNumberFormat="1" applyFill="1" applyBorder="1"/>
    <xf numFmtId="181" fontId="2" fillId="21" borderId="149" xfId="0" applyNumberFormat="1" applyFont="1" applyFill="1" applyBorder="1"/>
    <xf numFmtId="181" fontId="0" fillId="21" borderId="174" xfId="0" applyNumberFormat="1" applyFill="1" applyBorder="1"/>
    <xf numFmtId="181" fontId="0" fillId="21" borderId="155" xfId="0" applyNumberFormat="1" applyFill="1" applyBorder="1"/>
    <xf numFmtId="181" fontId="0" fillId="21" borderId="175" xfId="0" applyNumberFormat="1" applyFill="1" applyBorder="1" applyAlignment="1">
      <alignment horizontal="center"/>
    </xf>
    <xf numFmtId="181" fontId="0" fillId="21" borderId="175" xfId="0" applyNumberFormat="1" applyFill="1" applyBorder="1" applyAlignment="1">
      <alignment horizontal="center" vertical="center"/>
    </xf>
    <xf numFmtId="0" fontId="2" fillId="50" borderId="138" xfId="0" applyFont="1" applyFill="1" applyBorder="1" applyAlignment="1">
      <alignment horizontal="center" vertical="center" wrapText="1"/>
    </xf>
    <xf numFmtId="0" fontId="2" fillId="50" borderId="127" xfId="0" applyFont="1" applyFill="1" applyBorder="1" applyAlignment="1">
      <alignment horizontal="center" vertical="center" wrapText="1"/>
    </xf>
    <xf numFmtId="0" fontId="0" fillId="0" borderId="149" xfId="0" applyBorder="1"/>
    <xf numFmtId="181" fontId="0" fillId="21" borderId="176" xfId="0" applyNumberFormat="1" applyFill="1" applyBorder="1"/>
    <xf numFmtId="181" fontId="0" fillId="21" borderId="143" xfId="0" applyNumberFormat="1" applyFill="1" applyBorder="1"/>
    <xf numFmtId="181" fontId="2" fillId="21" borderId="177" xfId="0" applyNumberFormat="1" applyFont="1" applyFill="1" applyBorder="1"/>
    <xf numFmtId="181" fontId="2" fillId="21" borderId="104" xfId="0" applyNumberFormat="1" applyFont="1" applyFill="1" applyBorder="1"/>
    <xf numFmtId="181" fontId="0" fillId="0" borderId="0" xfId="0" applyNumberFormat="1"/>
    <xf numFmtId="42" fontId="0" fillId="0" borderId="0" xfId="6" applyFont="1"/>
    <xf numFmtId="0" fontId="0" fillId="21" borderId="179" xfId="0" applyFill="1" applyBorder="1" applyAlignment="1">
      <alignment horizontal="left" indent="2"/>
    </xf>
    <xf numFmtId="181" fontId="0" fillId="2" borderId="149" xfId="0" applyNumberFormat="1" applyFill="1" applyBorder="1"/>
    <xf numFmtId="181" fontId="0" fillId="2" borderId="143" xfId="0" applyNumberFormat="1" applyFill="1" applyBorder="1"/>
    <xf numFmtId="0" fontId="0" fillId="21" borderId="181" xfId="0" applyFill="1" applyBorder="1" applyAlignment="1">
      <alignment horizontal="left" indent="2"/>
    </xf>
    <xf numFmtId="181" fontId="0" fillId="2" borderId="155" xfId="0" applyNumberFormat="1" applyFill="1" applyBorder="1"/>
    <xf numFmtId="0" fontId="0" fillId="21" borderId="144" xfId="0" applyFill="1" applyBorder="1" applyAlignment="1">
      <alignment horizontal="left" indent="2"/>
    </xf>
    <xf numFmtId="181" fontId="0" fillId="21" borderId="182" xfId="0" applyNumberFormat="1" applyFill="1" applyBorder="1"/>
    <xf numFmtId="181" fontId="0" fillId="21" borderId="160" xfId="0" applyNumberFormat="1" applyFill="1" applyBorder="1"/>
    <xf numFmtId="0" fontId="0" fillId="22" borderId="149" xfId="0" applyFill="1" applyBorder="1"/>
    <xf numFmtId="0" fontId="0" fillId="46" borderId="149" xfId="0" applyFill="1" applyBorder="1"/>
    <xf numFmtId="9" fontId="0" fillId="0" borderId="149" xfId="3" applyFont="1" applyBorder="1"/>
    <xf numFmtId="0" fontId="0" fillId="0" borderId="149" xfId="0" applyBorder="1" applyAlignment="1">
      <alignment horizontal="center"/>
    </xf>
    <xf numFmtId="0" fontId="0" fillId="0" borderId="0" xfId="0" applyAlignment="1">
      <alignment horizontal="center"/>
    </xf>
    <xf numFmtId="0" fontId="0" fillId="51" borderId="149" xfId="0" applyFill="1" applyBorder="1"/>
    <xf numFmtId="0" fontId="0" fillId="9" borderId="149" xfId="0" applyFill="1" applyBorder="1"/>
    <xf numFmtId="0" fontId="0" fillId="52" borderId="149" xfId="0" applyFill="1" applyBorder="1"/>
    <xf numFmtId="0" fontId="2" fillId="9" borderId="95" xfId="0" applyFont="1" applyFill="1" applyBorder="1" applyAlignment="1">
      <alignment horizontal="center" vertical="center"/>
    </xf>
    <xf numFmtId="0" fontId="2" fillId="52" borderId="96" xfId="0" applyFont="1" applyFill="1" applyBorder="1" applyAlignment="1">
      <alignment horizontal="center" vertical="center"/>
    </xf>
    <xf numFmtId="0" fontId="2" fillId="9" borderId="96" xfId="0" applyFont="1" applyFill="1" applyBorder="1" applyAlignment="1">
      <alignment horizontal="center" vertical="center"/>
    </xf>
    <xf numFmtId="0" fontId="2" fillId="52" borderId="100" xfId="0" applyFont="1" applyFill="1" applyBorder="1" applyAlignment="1">
      <alignment horizontal="center" vertical="center"/>
    </xf>
    <xf numFmtId="0" fontId="25" fillId="0" borderId="0" xfId="0" applyFont="1" applyAlignment="1">
      <alignment horizontal="center" vertical="center"/>
    </xf>
    <xf numFmtId="0" fontId="25" fillId="0" borderId="0" xfId="0" applyFont="1" applyAlignment="1">
      <alignment vertical="center"/>
    </xf>
    <xf numFmtId="0" fontId="3" fillId="0" borderId="0" xfId="4" applyBorder="1" applyAlignment="1" applyProtection="1">
      <alignment vertical="center"/>
    </xf>
    <xf numFmtId="0" fontId="3" fillId="0" borderId="0" xfId="4" quotePrefix="1"/>
    <xf numFmtId="0" fontId="0" fillId="2" borderId="187" xfId="0" applyFill="1" applyBorder="1" applyAlignment="1" applyProtection="1">
      <alignment horizontal="left" vertical="center"/>
      <protection locked="0"/>
    </xf>
    <xf numFmtId="0" fontId="0" fillId="2" borderId="188" xfId="0" applyFill="1" applyBorder="1" applyAlignment="1" applyProtection="1">
      <alignment horizontal="left" vertical="center"/>
      <protection locked="0"/>
    </xf>
    <xf numFmtId="0" fontId="0" fillId="2" borderId="189" xfId="0" applyFill="1" applyBorder="1" applyAlignment="1" applyProtection="1">
      <alignment horizontal="left" vertical="center"/>
      <protection locked="0"/>
    </xf>
    <xf numFmtId="0" fontId="0" fillId="0" borderId="132" xfId="0" applyBorder="1"/>
    <xf numFmtId="0" fontId="0" fillId="0" borderId="183" xfId="0" applyBorder="1"/>
    <xf numFmtId="9" fontId="0" fillId="0" borderId="0" xfId="3" applyFont="1"/>
    <xf numFmtId="9" fontId="0" fillId="0" borderId="175" xfId="3" applyFont="1" applyBorder="1" applyAlignment="1">
      <alignment horizontal="center"/>
    </xf>
    <xf numFmtId="9" fontId="0" fillId="0" borderId="183" xfId="3" applyFont="1" applyBorder="1" applyAlignment="1">
      <alignment horizontal="center"/>
    </xf>
    <xf numFmtId="9" fontId="0" fillId="0" borderId="132" xfId="3" applyFont="1" applyBorder="1" applyAlignment="1">
      <alignment horizontal="center"/>
    </xf>
    <xf numFmtId="9" fontId="2" fillId="0" borderId="149" xfId="3" applyFont="1" applyBorder="1" applyAlignment="1">
      <alignment horizontal="center"/>
    </xf>
    <xf numFmtId="9" fontId="0" fillId="0" borderId="0" xfId="0" applyNumberFormat="1"/>
    <xf numFmtId="6" fontId="0" fillId="0" borderId="0" xfId="0" applyNumberFormat="1"/>
    <xf numFmtId="6" fontId="27" fillId="53" borderId="192" xfId="0" applyNumberFormat="1" applyFont="1" applyFill="1" applyBorder="1" applyAlignment="1">
      <alignment horizontal="right" vertical="center" wrapText="1"/>
    </xf>
    <xf numFmtId="6" fontId="27" fillId="54" borderId="192" xfId="0" applyNumberFormat="1" applyFont="1" applyFill="1" applyBorder="1" applyAlignment="1">
      <alignment horizontal="right" vertical="center" wrapText="1"/>
    </xf>
    <xf numFmtId="169" fontId="0" fillId="0" borderId="0" xfId="0" applyNumberFormat="1"/>
    <xf numFmtId="42" fontId="2" fillId="0" borderId="0" xfId="6" applyFont="1"/>
    <xf numFmtId="42" fontId="0" fillId="0" borderId="182" xfId="6" applyFont="1" applyBorder="1"/>
    <xf numFmtId="0" fontId="2" fillId="0" borderId="149" xfId="0" applyFont="1" applyBorder="1"/>
    <xf numFmtId="42" fontId="2" fillId="0" borderId="190" xfId="6" applyFont="1" applyBorder="1"/>
    <xf numFmtId="42" fontId="26" fillId="0" borderId="0" xfId="6" applyFont="1"/>
    <xf numFmtId="0" fontId="0" fillId="0" borderId="99" xfId="0" applyBorder="1" applyAlignment="1">
      <alignment horizontal="center"/>
    </xf>
    <xf numFmtId="9" fontId="26" fillId="0" borderId="0" xfId="3" applyFont="1"/>
    <xf numFmtId="9" fontId="2" fillId="0" borderId="0" xfId="3" applyFont="1"/>
    <xf numFmtId="0" fontId="26" fillId="0" borderId="0" xfId="0" applyFont="1"/>
    <xf numFmtId="9" fontId="26" fillId="0" borderId="0" xfId="3" applyFont="1" applyAlignment="1">
      <alignment horizontal="center"/>
    </xf>
    <xf numFmtId="42" fontId="0" fillId="0" borderId="0" xfId="0" applyNumberFormat="1"/>
    <xf numFmtId="42" fontId="26" fillId="0" borderId="0" xfId="0" applyNumberFormat="1" applyFont="1"/>
    <xf numFmtId="9" fontId="1" fillId="0" borderId="0" xfId="3" applyFont="1"/>
    <xf numFmtId="0" fontId="2" fillId="0" borderId="0" xfId="0" applyFont="1" applyAlignment="1">
      <alignment horizontal="center"/>
    </xf>
    <xf numFmtId="6" fontId="27" fillId="55" borderId="192" xfId="0" applyNumberFormat="1" applyFont="1" applyFill="1" applyBorder="1" applyAlignment="1">
      <alignment horizontal="right" vertical="center" wrapText="1"/>
    </xf>
    <xf numFmtId="0" fontId="0" fillId="21" borderId="149" xfId="0" applyFill="1" applyBorder="1"/>
    <xf numFmtId="42" fontId="0" fillId="21" borderId="149" xfId="6" applyFont="1" applyFill="1" applyBorder="1"/>
    <xf numFmtId="9" fontId="0" fillId="21" borderId="149" xfId="0" applyNumberFormat="1" applyFill="1" applyBorder="1" applyAlignment="1">
      <alignment horizontal="center"/>
    </xf>
    <xf numFmtId="9" fontId="0" fillId="21" borderId="149" xfId="3" applyFont="1" applyFill="1" applyBorder="1" applyAlignment="1">
      <alignment horizontal="center"/>
    </xf>
    <xf numFmtId="9" fontId="5" fillId="0" borderId="0" xfId="3" applyFont="1" applyAlignment="1">
      <alignment horizontal="center" vertical="center"/>
    </xf>
    <xf numFmtId="9" fontId="5" fillId="10" borderId="0" xfId="3" applyFont="1" applyFill="1" applyBorder="1" applyAlignment="1" applyProtection="1">
      <alignment vertical="center"/>
    </xf>
    <xf numFmtId="9" fontId="0" fillId="0" borderId="0" xfId="3" applyFont="1" applyAlignment="1">
      <alignment vertical="center"/>
    </xf>
    <xf numFmtId="165" fontId="5" fillId="2" borderId="106" xfId="0" applyNumberFormat="1" applyFont="1" applyFill="1" applyBorder="1" applyAlignment="1">
      <alignment vertical="center"/>
    </xf>
    <xf numFmtId="165" fontId="0" fillId="49" borderId="193" xfId="2" applyNumberFormat="1" applyFont="1" applyFill="1" applyBorder="1" applyAlignment="1" applyProtection="1">
      <alignment vertical="center"/>
    </xf>
    <xf numFmtId="175" fontId="0" fillId="0" borderId="70" xfId="2" applyNumberFormat="1" applyFont="1" applyFill="1" applyBorder="1" applyAlignment="1" applyProtection="1">
      <alignment vertical="center"/>
    </xf>
    <xf numFmtId="175" fontId="0" fillId="0" borderId="83" xfId="2" applyNumberFormat="1" applyFont="1" applyFill="1" applyBorder="1" applyAlignment="1" applyProtection="1">
      <alignment vertical="center"/>
    </xf>
    <xf numFmtId="175" fontId="0" fillId="0" borderId="85" xfId="2" applyNumberFormat="1" applyFont="1" applyFill="1" applyBorder="1" applyAlignment="1" applyProtection="1">
      <alignment horizontal="right" vertical="center"/>
    </xf>
    <xf numFmtId="165" fontId="0" fillId="34" borderId="183" xfId="2" applyNumberFormat="1" applyFont="1" applyFill="1" applyBorder="1" applyAlignment="1" applyProtection="1">
      <alignment vertical="center"/>
    </xf>
    <xf numFmtId="165" fontId="0" fillId="34" borderId="191" xfId="2" applyNumberFormat="1" applyFont="1" applyFill="1" applyBorder="1" applyAlignment="1" applyProtection="1">
      <alignment vertical="center"/>
    </xf>
    <xf numFmtId="165" fontId="0" fillId="49" borderId="152" xfId="2" applyNumberFormat="1" applyFont="1" applyFill="1" applyBorder="1" applyAlignment="1" applyProtection="1">
      <alignment vertical="center"/>
    </xf>
    <xf numFmtId="165" fontId="0" fillId="49" borderId="194" xfId="2" applyNumberFormat="1" applyFont="1" applyFill="1" applyBorder="1" applyAlignment="1" applyProtection="1">
      <alignment vertical="center"/>
    </xf>
    <xf numFmtId="165" fontId="0" fillId="49" borderId="140" xfId="2" applyNumberFormat="1" applyFont="1" applyFill="1" applyBorder="1" applyAlignment="1" applyProtection="1">
      <alignment vertical="center"/>
    </xf>
    <xf numFmtId="165" fontId="0" fillId="34" borderId="48" xfId="2" applyNumberFormat="1" applyFont="1" applyFill="1" applyBorder="1" applyAlignment="1" applyProtection="1">
      <alignment vertical="center"/>
    </xf>
    <xf numFmtId="180" fontId="1" fillId="47" borderId="194" xfId="3" applyNumberFormat="1" applyFill="1" applyBorder="1" applyAlignment="1" applyProtection="1">
      <alignment horizontal="center" vertical="center"/>
    </xf>
    <xf numFmtId="165" fontId="0" fillId="34" borderId="160" xfId="2" applyNumberFormat="1" applyFont="1" applyFill="1" applyBorder="1" applyAlignment="1" applyProtection="1">
      <alignment vertical="center"/>
    </xf>
    <xf numFmtId="165" fontId="0" fillId="34" borderId="195" xfId="2" applyNumberFormat="1" applyFont="1" applyFill="1" applyBorder="1" applyAlignment="1" applyProtection="1">
      <alignment vertical="center"/>
    </xf>
    <xf numFmtId="175" fontId="0" fillId="0" borderId="73" xfId="2" applyNumberFormat="1" applyFont="1" applyFill="1" applyBorder="1" applyAlignment="1" applyProtection="1">
      <alignment vertical="center"/>
    </xf>
    <xf numFmtId="175" fontId="0" fillId="0" borderId="99" xfId="2" applyNumberFormat="1" applyFont="1" applyFill="1" applyBorder="1" applyAlignment="1" applyProtection="1">
      <alignment vertical="center"/>
    </xf>
    <xf numFmtId="0" fontId="2" fillId="0" borderId="0" xfId="0" applyFont="1" applyAlignment="1">
      <alignment horizontal="right" indent="2"/>
    </xf>
    <xf numFmtId="0" fontId="23" fillId="21" borderId="0" xfId="0" applyFont="1" applyFill="1" applyAlignment="1">
      <alignment horizontal="right"/>
    </xf>
    <xf numFmtId="0" fontId="2" fillId="21" borderId="0" xfId="0" applyFont="1" applyFill="1" applyAlignment="1">
      <alignment horizontal="right"/>
    </xf>
    <xf numFmtId="0" fontId="2" fillId="50" borderId="73" xfId="0" applyFont="1" applyFill="1" applyBorder="1" applyAlignment="1">
      <alignment horizontal="center" vertical="center" wrapText="1"/>
    </xf>
    <xf numFmtId="181" fontId="2" fillId="21" borderId="70" xfId="0" applyNumberFormat="1" applyFont="1" applyFill="1" applyBorder="1"/>
    <xf numFmtId="42" fontId="0" fillId="21" borderId="0" xfId="0" applyNumberFormat="1" applyFill="1"/>
    <xf numFmtId="181" fontId="0" fillId="21" borderId="7" xfId="0" applyNumberFormat="1" applyFill="1" applyBorder="1"/>
    <xf numFmtId="181" fontId="0" fillId="21" borderId="197" xfId="0" applyNumberFormat="1" applyFill="1" applyBorder="1"/>
    <xf numFmtId="181" fontId="0" fillId="21" borderId="198" xfId="0" applyNumberFormat="1" applyFill="1" applyBorder="1"/>
    <xf numFmtId="1" fontId="0" fillId="0" borderId="0" xfId="0" applyNumberFormat="1"/>
    <xf numFmtId="1" fontId="0" fillId="21" borderId="0" xfId="0" applyNumberFormat="1" applyFill="1"/>
    <xf numFmtId="0" fontId="5" fillId="2" borderId="70" xfId="0" applyFont="1" applyFill="1" applyBorder="1" applyAlignment="1">
      <alignment horizontal="center" vertical="center"/>
    </xf>
    <xf numFmtId="165" fontId="5" fillId="2" borderId="83" xfId="0" applyNumberFormat="1" applyFont="1" applyFill="1" applyBorder="1" applyAlignment="1">
      <alignment vertical="center"/>
    </xf>
    <xf numFmtId="168" fontId="0" fillId="21" borderId="40" xfId="2" applyNumberFormat="1" applyFont="1" applyFill="1" applyBorder="1" applyAlignment="1" applyProtection="1">
      <alignment vertical="center"/>
    </xf>
    <xf numFmtId="168" fontId="0" fillId="21" borderId="42" xfId="2" applyNumberFormat="1" applyFont="1" applyFill="1" applyBorder="1" applyAlignment="1" applyProtection="1">
      <alignment vertical="center"/>
    </xf>
    <xf numFmtId="168" fontId="0" fillId="21" borderId="50" xfId="2" applyNumberFormat="1" applyFont="1" applyFill="1" applyBorder="1" applyAlignment="1" applyProtection="1">
      <alignment vertical="center"/>
    </xf>
    <xf numFmtId="168" fontId="0" fillId="21" borderId="204" xfId="2" applyNumberFormat="1" applyFont="1" applyFill="1" applyBorder="1" applyAlignment="1" applyProtection="1">
      <alignment vertical="center"/>
    </xf>
    <xf numFmtId="168" fontId="0" fillId="21" borderId="206" xfId="2" applyNumberFormat="1" applyFont="1" applyFill="1" applyBorder="1" applyAlignment="1" applyProtection="1">
      <alignment vertical="center"/>
    </xf>
    <xf numFmtId="168" fontId="0" fillId="21" borderId="207" xfId="2" applyNumberFormat="1" applyFont="1" applyFill="1" applyBorder="1" applyAlignment="1" applyProtection="1">
      <alignment vertical="center"/>
    </xf>
    <xf numFmtId="168" fontId="0" fillId="21" borderId="95" xfId="2" applyNumberFormat="1" applyFont="1" applyFill="1" applyBorder="1" applyAlignment="1" applyProtection="1">
      <alignment vertical="center"/>
    </xf>
    <xf numFmtId="168" fontId="0" fillId="21" borderId="100" xfId="2" applyNumberFormat="1" applyFont="1" applyFill="1" applyBorder="1" applyAlignment="1" applyProtection="1">
      <alignment vertical="center"/>
    </xf>
    <xf numFmtId="168" fontId="0" fillId="21" borderId="102" xfId="2" applyNumberFormat="1" applyFont="1" applyFill="1" applyBorder="1" applyAlignment="1" applyProtection="1">
      <alignment vertical="center"/>
    </xf>
    <xf numFmtId="168" fontId="0" fillId="21" borderId="137" xfId="2" applyNumberFormat="1" applyFont="1" applyFill="1" applyBorder="1" applyAlignment="1" applyProtection="1">
      <alignment vertical="center"/>
    </xf>
    <xf numFmtId="170" fontId="0" fillId="2" borderId="43" xfId="2" applyNumberFormat="1" applyFont="1" applyFill="1" applyBorder="1" applyAlignment="1" applyProtection="1">
      <alignment horizontal="center" vertical="center"/>
      <protection locked="0"/>
    </xf>
    <xf numFmtId="170" fontId="0" fillId="23" borderId="47" xfId="2" applyNumberFormat="1" applyFont="1" applyFill="1" applyBorder="1" applyAlignment="1" applyProtection="1">
      <alignment horizontal="center" vertical="center"/>
    </xf>
    <xf numFmtId="170" fontId="0" fillId="2" borderId="98" xfId="2" applyNumberFormat="1" applyFont="1" applyFill="1" applyBorder="1" applyAlignment="1" applyProtection="1">
      <alignment horizontal="center" vertical="center"/>
      <protection locked="0"/>
    </xf>
    <xf numFmtId="170" fontId="0" fillId="2" borderId="41" xfId="2" applyNumberFormat="1" applyFont="1" applyFill="1" applyBorder="1" applyAlignment="1" applyProtection="1">
      <alignment horizontal="center" vertical="center"/>
      <protection locked="0"/>
    </xf>
    <xf numFmtId="170" fontId="0" fillId="23" borderId="45" xfId="2" applyNumberFormat="1" applyFont="1" applyFill="1" applyBorder="1" applyAlignment="1" applyProtection="1">
      <alignment horizontal="center" vertical="center"/>
    </xf>
    <xf numFmtId="170" fontId="0" fillId="2" borderId="49" xfId="2" applyNumberFormat="1" applyFont="1" applyFill="1" applyBorder="1" applyAlignment="1" applyProtection="1">
      <alignment horizontal="center" vertical="center"/>
      <protection locked="0"/>
    </xf>
    <xf numFmtId="170" fontId="0" fillId="2" borderId="199" xfId="2" applyNumberFormat="1" applyFont="1" applyFill="1" applyBorder="1" applyAlignment="1" applyProtection="1">
      <alignment horizontal="center" vertical="center"/>
      <protection locked="0"/>
    </xf>
    <xf numFmtId="170" fontId="0" fillId="2" borderId="97" xfId="2" applyNumberFormat="1" applyFont="1" applyFill="1" applyBorder="1" applyAlignment="1" applyProtection="1">
      <alignment horizontal="center" vertical="center"/>
      <protection locked="0"/>
    </xf>
    <xf numFmtId="176" fontId="0" fillId="34" borderId="69" xfId="0" applyNumberFormat="1" applyFill="1" applyBorder="1" applyAlignment="1">
      <alignment horizontal="right" vertical="center"/>
    </xf>
    <xf numFmtId="176" fontId="0" fillId="34" borderId="201" xfId="0" applyNumberFormat="1" applyFill="1" applyBorder="1" applyAlignment="1">
      <alignment horizontal="right" vertical="center"/>
    </xf>
    <xf numFmtId="176" fontId="0" fillId="34" borderId="211" xfId="0" applyNumberFormat="1" applyFill="1" applyBorder="1" applyAlignment="1">
      <alignment horizontal="right" vertical="center"/>
    </xf>
    <xf numFmtId="176" fontId="0" fillId="34" borderId="181" xfId="0" applyNumberFormat="1" applyFill="1" applyBorder="1" applyAlignment="1">
      <alignment horizontal="right" vertical="center"/>
    </xf>
    <xf numFmtId="176" fontId="8" fillId="40" borderId="106" xfId="0" applyNumberFormat="1" applyFont="1" applyFill="1" applyBorder="1" applyAlignment="1">
      <alignment horizontal="right" vertical="center"/>
    </xf>
    <xf numFmtId="165" fontId="0" fillId="0" borderId="14" xfId="2" applyNumberFormat="1" applyFont="1" applyFill="1" applyBorder="1" applyAlignment="1" applyProtection="1">
      <alignment vertical="center"/>
    </xf>
    <xf numFmtId="165" fontId="0" fillId="0" borderId="2" xfId="2" applyNumberFormat="1" applyFont="1" applyFill="1" applyBorder="1" applyAlignment="1" applyProtection="1">
      <alignment vertical="center"/>
    </xf>
    <xf numFmtId="165" fontId="5" fillId="0" borderId="15" xfId="2" applyNumberFormat="1" applyFont="1" applyFill="1" applyBorder="1" applyAlignment="1" applyProtection="1">
      <alignment vertical="center"/>
    </xf>
    <xf numFmtId="169" fontId="2" fillId="0" borderId="0" xfId="2" applyNumberFormat="1" applyFont="1" applyFill="1" applyBorder="1" applyAlignment="1" applyProtection="1">
      <alignment horizontal="center" vertical="center"/>
      <protection locked="0"/>
    </xf>
    <xf numFmtId="168" fontId="0" fillId="21" borderId="41" xfId="2" applyNumberFormat="1" applyFont="1" applyFill="1" applyBorder="1" applyAlignment="1" applyProtection="1">
      <alignment vertical="center"/>
    </xf>
    <xf numFmtId="168" fontId="0" fillId="23" borderId="48" xfId="2" applyNumberFormat="1" applyFont="1" applyFill="1" applyBorder="1" applyAlignment="1" applyProtection="1">
      <alignment vertical="center"/>
    </xf>
    <xf numFmtId="168" fontId="0" fillId="21" borderId="49" xfId="2" applyNumberFormat="1" applyFont="1" applyFill="1" applyBorder="1" applyAlignment="1" applyProtection="1">
      <alignment vertical="center"/>
    </xf>
    <xf numFmtId="168" fontId="0" fillId="23" borderId="90" xfId="2" applyNumberFormat="1" applyFont="1" applyFill="1" applyBorder="1" applyAlignment="1" applyProtection="1">
      <alignment vertical="center"/>
    </xf>
    <xf numFmtId="168" fontId="0" fillId="21" borderId="91" xfId="2" applyNumberFormat="1" applyFont="1" applyFill="1" applyBorder="1" applyAlignment="1" applyProtection="1">
      <alignment vertical="center"/>
    </xf>
    <xf numFmtId="168" fontId="0" fillId="21" borderId="92" xfId="2" applyNumberFormat="1" applyFont="1" applyFill="1" applyBorder="1" applyAlignment="1" applyProtection="1">
      <alignment vertical="center"/>
    </xf>
    <xf numFmtId="168" fontId="0" fillId="23" borderId="205" xfId="2" applyNumberFormat="1" applyFont="1" applyFill="1" applyBorder="1" applyAlignment="1" applyProtection="1">
      <alignment vertical="center"/>
    </xf>
    <xf numFmtId="168" fontId="0" fillId="21" borderId="97" xfId="2" applyNumberFormat="1" applyFont="1" applyFill="1" applyBorder="1" applyAlignment="1" applyProtection="1">
      <alignment vertical="center"/>
    </xf>
    <xf numFmtId="168" fontId="0" fillId="21" borderId="104" xfId="2" applyNumberFormat="1" applyFont="1" applyFill="1" applyBorder="1" applyAlignment="1" applyProtection="1">
      <alignment vertical="center"/>
    </xf>
    <xf numFmtId="168" fontId="0" fillId="2" borderId="41" xfId="2" applyNumberFormat="1" applyFont="1" applyFill="1" applyBorder="1" applyAlignment="1" applyProtection="1">
      <alignment vertical="center"/>
      <protection locked="0"/>
    </xf>
    <xf numFmtId="168" fontId="0" fillId="2" borderId="198" xfId="2" applyNumberFormat="1" applyFont="1" applyFill="1" applyBorder="1" applyAlignment="1" applyProtection="1">
      <alignment vertical="center"/>
      <protection locked="0"/>
    </xf>
    <xf numFmtId="176" fontId="0" fillId="34" borderId="70" xfId="0" applyNumberFormat="1" applyFill="1" applyBorder="1" applyAlignment="1">
      <alignment vertical="center"/>
    </xf>
    <xf numFmtId="176" fontId="0" fillId="34" borderId="209" xfId="0" applyNumberFormat="1" applyFill="1" applyBorder="1" applyAlignment="1">
      <alignment vertical="center"/>
    </xf>
    <xf numFmtId="176" fontId="0" fillId="34" borderId="85" xfId="0" applyNumberFormat="1" applyFill="1" applyBorder="1" applyAlignment="1">
      <alignment vertical="center"/>
    </xf>
    <xf numFmtId="0" fontId="0" fillId="19" borderId="0" xfId="0" applyFill="1" applyAlignment="1">
      <alignment horizontal="center"/>
    </xf>
    <xf numFmtId="42" fontId="0" fillId="21" borderId="0" xfId="0" applyNumberFormat="1" applyFill="1" applyAlignment="1">
      <alignment vertical="center"/>
    </xf>
    <xf numFmtId="0" fontId="2" fillId="43" borderId="213" xfId="0" applyFont="1" applyFill="1" applyBorder="1" applyAlignment="1">
      <alignment horizontal="center" vertical="center"/>
    </xf>
    <xf numFmtId="0" fontId="2" fillId="50" borderId="214" xfId="0" applyFont="1" applyFill="1" applyBorder="1" applyAlignment="1">
      <alignment horizontal="center" vertical="center" wrapText="1"/>
    </xf>
    <xf numFmtId="0" fontId="2" fillId="50" borderId="128" xfId="0" applyFont="1" applyFill="1" applyBorder="1" applyAlignment="1">
      <alignment horizontal="center" vertical="center" wrapText="1"/>
    </xf>
    <xf numFmtId="0" fontId="23" fillId="50" borderId="214" xfId="0" applyFont="1" applyFill="1" applyBorder="1" applyAlignment="1">
      <alignment horizontal="center" vertical="center" wrapText="1"/>
    </xf>
    <xf numFmtId="0" fontId="0" fillId="21" borderId="152" xfId="0" applyFill="1" applyBorder="1" applyAlignment="1">
      <alignment horizontal="left" indent="2"/>
    </xf>
    <xf numFmtId="0" fontId="2" fillId="50" borderId="215" xfId="0" applyFont="1" applyFill="1" applyBorder="1" applyAlignment="1">
      <alignment horizontal="center" vertical="center" wrapText="1"/>
    </xf>
    <xf numFmtId="181" fontId="0" fillId="21" borderId="41" xfId="0" applyNumberFormat="1" applyFill="1" applyBorder="1"/>
    <xf numFmtId="181" fontId="2" fillId="21" borderId="209" xfId="0" applyNumberFormat="1" applyFont="1" applyFill="1" applyBorder="1"/>
    <xf numFmtId="0" fontId="2" fillId="43" borderId="40" xfId="0" applyFont="1" applyFill="1" applyBorder="1" applyAlignment="1">
      <alignment horizontal="center" vertical="center"/>
    </xf>
    <xf numFmtId="0" fontId="2" fillId="50" borderId="7" xfId="0" applyFont="1" applyFill="1" applyBorder="1" applyAlignment="1">
      <alignment horizontal="center" vertical="center" wrapText="1"/>
    </xf>
    <xf numFmtId="0" fontId="23" fillId="50" borderId="7" xfId="0" applyFont="1" applyFill="1" applyBorder="1" applyAlignment="1">
      <alignment horizontal="center" vertical="center" wrapText="1"/>
    </xf>
    <xf numFmtId="0" fontId="0" fillId="21" borderId="205" xfId="0" applyFill="1" applyBorder="1" applyAlignment="1">
      <alignment horizontal="left" indent="2"/>
    </xf>
    <xf numFmtId="181" fontId="0" fillId="21" borderId="206" xfId="0" applyNumberFormat="1" applyFill="1" applyBorder="1"/>
    <xf numFmtId="0" fontId="2" fillId="50" borderId="41" xfId="0" applyFont="1" applyFill="1" applyBorder="1" applyAlignment="1">
      <alignment horizontal="center" vertical="center" wrapText="1"/>
    </xf>
    <xf numFmtId="181" fontId="0" fillId="21" borderId="199" xfId="0" applyNumberFormat="1" applyFill="1" applyBorder="1"/>
    <xf numFmtId="0" fontId="2" fillId="50" borderId="70" xfId="0" applyFont="1" applyFill="1" applyBorder="1" applyAlignment="1">
      <alignment horizontal="center" vertical="center" wrapText="1"/>
    </xf>
    <xf numFmtId="181" fontId="2" fillId="21" borderId="210" xfId="0" applyNumberFormat="1" applyFont="1" applyFill="1" applyBorder="1"/>
    <xf numFmtId="0" fontId="0" fillId="0" borderId="0" xfId="0" applyAlignment="1" applyProtection="1">
      <alignment vertical="center"/>
      <protection locked="0"/>
    </xf>
    <xf numFmtId="0" fontId="0" fillId="0" borderId="113" xfId="0" applyBorder="1" applyAlignment="1" applyProtection="1">
      <alignment horizontal="center" vertical="center"/>
      <protection locked="0"/>
    </xf>
    <xf numFmtId="0" fontId="0" fillId="0" borderId="123" xfId="0" applyBorder="1" applyAlignment="1" applyProtection="1">
      <alignment horizontal="center" vertical="center"/>
      <protection locked="0"/>
    </xf>
    <xf numFmtId="0" fontId="0" fillId="0" borderId="197" xfId="0" applyBorder="1" applyAlignment="1" applyProtection="1">
      <alignment horizontal="left" vertical="center"/>
      <protection locked="0"/>
    </xf>
    <xf numFmtId="0" fontId="0" fillId="2" borderId="197" xfId="0" applyFill="1" applyBorder="1" applyAlignment="1" applyProtection="1">
      <alignment horizontal="left" vertical="center"/>
      <protection locked="0"/>
    </xf>
    <xf numFmtId="176" fontId="0" fillId="0" borderId="0" xfId="0" applyNumberFormat="1" applyAlignment="1">
      <alignment horizontal="center" vertical="center"/>
    </xf>
    <xf numFmtId="169" fontId="5" fillId="0" borderId="0" xfId="3" applyNumberFormat="1" applyFont="1" applyFill="1" applyBorder="1" applyAlignment="1" applyProtection="1">
      <alignment horizontal="center" vertical="center"/>
    </xf>
    <xf numFmtId="176" fontId="0" fillId="40" borderId="197" xfId="0" applyNumberFormat="1" applyFill="1" applyBorder="1" applyAlignment="1">
      <alignment horizontal="center" vertical="center"/>
    </xf>
    <xf numFmtId="169" fontId="5" fillId="8" borderId="197" xfId="3" applyNumberFormat="1" applyFont="1" applyFill="1" applyBorder="1" applyAlignment="1" applyProtection="1">
      <alignment horizontal="center" vertical="center"/>
    </xf>
    <xf numFmtId="0" fontId="5" fillId="7" borderId="217" xfId="0" applyFont="1" applyFill="1" applyBorder="1" applyAlignment="1">
      <alignment horizontal="center" vertical="center" wrapText="1"/>
    </xf>
    <xf numFmtId="0" fontId="5" fillId="7" borderId="218" xfId="0" applyFont="1" applyFill="1" applyBorder="1" applyAlignment="1">
      <alignment horizontal="center" vertical="center" wrapText="1"/>
    </xf>
    <xf numFmtId="0" fontId="5" fillId="7" borderId="219" xfId="0" applyFont="1" applyFill="1" applyBorder="1" applyAlignment="1">
      <alignment horizontal="center" vertical="center" wrapText="1"/>
    </xf>
    <xf numFmtId="181" fontId="0" fillId="21" borderId="220" xfId="0" applyNumberFormat="1" applyFill="1" applyBorder="1"/>
    <xf numFmtId="181" fontId="0" fillId="21" borderId="221" xfId="0" applyNumberFormat="1" applyFill="1" applyBorder="1"/>
    <xf numFmtId="181" fontId="2" fillId="21" borderId="222" xfId="0" applyNumberFormat="1" applyFont="1" applyFill="1" applyBorder="1"/>
    <xf numFmtId="181" fontId="0" fillId="21" borderId="43" xfId="0" applyNumberFormat="1" applyFill="1" applyBorder="1"/>
    <xf numFmtId="181" fontId="0" fillId="21" borderId="47" xfId="0" applyNumberFormat="1" applyFill="1" applyBorder="1"/>
    <xf numFmtId="181" fontId="0" fillId="21" borderId="223" xfId="0" applyNumberFormat="1" applyFill="1" applyBorder="1"/>
    <xf numFmtId="0" fontId="0" fillId="21" borderId="70" xfId="0" applyFill="1" applyBorder="1" applyAlignment="1">
      <alignment horizontal="left" indent="2"/>
    </xf>
    <xf numFmtId="0" fontId="0" fillId="21" borderId="224" xfId="0" applyFill="1" applyBorder="1" applyAlignment="1">
      <alignment horizontal="left" indent="2"/>
    </xf>
    <xf numFmtId="9" fontId="2" fillId="21" borderId="0" xfId="3" applyFont="1" applyFill="1"/>
    <xf numFmtId="0" fontId="2" fillId="9" borderId="99" xfId="0" applyFont="1" applyFill="1" applyBorder="1" applyAlignment="1">
      <alignment horizontal="center" vertical="center"/>
    </xf>
    <xf numFmtId="0" fontId="2" fillId="9" borderId="94" xfId="0" applyFont="1" applyFill="1" applyBorder="1" applyAlignment="1">
      <alignment horizontal="center" vertical="center"/>
    </xf>
    <xf numFmtId="181" fontId="23" fillId="21" borderId="95" xfId="0" applyNumberFormat="1" applyFont="1" applyFill="1" applyBorder="1"/>
    <xf numFmtId="181" fontId="23" fillId="21" borderId="96" xfId="0" applyNumberFormat="1" applyFont="1" applyFill="1" applyBorder="1"/>
    <xf numFmtId="181" fontId="2" fillId="21" borderId="100" xfId="0" applyNumberFormat="1" applyFont="1" applyFill="1" applyBorder="1"/>
    <xf numFmtId="0" fontId="0" fillId="2" borderId="197" xfId="0" applyFill="1" applyBorder="1" applyProtection="1">
      <protection locked="0"/>
    </xf>
    <xf numFmtId="168" fontId="0" fillId="2" borderId="197" xfId="2" applyNumberFormat="1" applyFont="1" applyFill="1" applyBorder="1" applyAlignment="1" applyProtection="1">
      <alignment vertical="center"/>
      <protection locked="0"/>
    </xf>
    <xf numFmtId="176" fontId="0" fillId="0" borderId="224" xfId="0" applyNumberFormat="1" applyBorder="1" applyAlignment="1">
      <alignment horizontal="right" vertical="center"/>
    </xf>
    <xf numFmtId="9" fontId="0" fillId="2" borderId="152" xfId="0" applyNumberFormat="1" applyFill="1" applyBorder="1" applyAlignment="1" applyProtection="1">
      <alignment horizontal="center" vertical="center"/>
      <protection locked="0"/>
    </xf>
    <xf numFmtId="176" fontId="0" fillId="0" borderId="198" xfId="0" applyNumberFormat="1" applyBorder="1" applyAlignment="1">
      <alignment horizontal="right" vertical="center"/>
    </xf>
    <xf numFmtId="9" fontId="0" fillId="2" borderId="193" xfId="3" applyFont="1" applyFill="1" applyBorder="1" applyAlignment="1" applyProtection="1">
      <alignment horizontal="center" vertical="center"/>
      <protection locked="0"/>
    </xf>
    <xf numFmtId="9" fontId="0" fillId="40" borderId="224" xfId="0" applyNumberFormat="1" applyFill="1" applyBorder="1" applyAlignment="1">
      <alignment horizontal="center" vertical="center"/>
    </xf>
    <xf numFmtId="165" fontId="2" fillId="0" borderId="197" xfId="0" applyNumberFormat="1" applyFont="1" applyBorder="1" applyAlignment="1">
      <alignment horizontal="center" vertical="center" wrapText="1"/>
    </xf>
    <xf numFmtId="9" fontId="2" fillId="0" borderId="197" xfId="3" applyFont="1" applyBorder="1" applyAlignment="1">
      <alignment horizontal="center" vertical="center"/>
    </xf>
    <xf numFmtId="169" fontId="2" fillId="0" borderId="197" xfId="3" applyNumberFormat="1" applyFont="1" applyBorder="1" applyAlignment="1">
      <alignment horizontal="center" vertical="center"/>
    </xf>
    <xf numFmtId="0" fontId="0" fillId="2" borderId="70" xfId="0" applyFill="1" applyBorder="1" applyAlignment="1" applyProtection="1">
      <alignment horizontal="left" vertical="center"/>
      <protection locked="0"/>
    </xf>
    <xf numFmtId="0" fontId="0" fillId="2" borderId="224" xfId="0" applyFill="1" applyBorder="1" applyAlignment="1" applyProtection="1">
      <alignment horizontal="left" vertical="center"/>
      <protection locked="0"/>
    </xf>
    <xf numFmtId="0" fontId="0" fillId="2" borderId="106" xfId="0" applyFill="1" applyBorder="1" applyAlignment="1" applyProtection="1">
      <alignment horizontal="left" vertical="center"/>
      <protection locked="0"/>
    </xf>
    <xf numFmtId="165" fontId="0" fillId="2" borderId="70" xfId="2" applyNumberFormat="1" applyFont="1" applyFill="1" applyBorder="1" applyAlignment="1" applyProtection="1">
      <alignment vertical="center"/>
      <protection locked="0"/>
    </xf>
    <xf numFmtId="165" fontId="0" fillId="2" borderId="106" xfId="2" applyNumberFormat="1" applyFont="1" applyFill="1" applyBorder="1" applyAlignment="1" applyProtection="1">
      <alignment vertical="center"/>
      <protection locked="0"/>
    </xf>
    <xf numFmtId="165" fontId="0" fillId="2" borderId="170" xfId="2" applyNumberFormat="1" applyFont="1" applyFill="1" applyBorder="1" applyAlignment="1" applyProtection="1">
      <alignment vertical="center"/>
      <protection locked="0"/>
    </xf>
    <xf numFmtId="165" fontId="0" fillId="2" borderId="203" xfId="2" applyNumberFormat="1" applyFont="1" applyFill="1" applyBorder="1" applyAlignment="1" applyProtection="1">
      <alignment vertical="center"/>
      <protection locked="0"/>
    </xf>
    <xf numFmtId="165" fontId="0" fillId="2" borderId="142" xfId="2" applyNumberFormat="1" applyFont="1" applyFill="1" applyBorder="1" applyAlignment="1" applyProtection="1">
      <alignment vertical="center"/>
      <protection locked="0"/>
    </xf>
    <xf numFmtId="0" fontId="0" fillId="2" borderId="99" xfId="0" applyFill="1" applyBorder="1" applyAlignment="1" applyProtection="1">
      <alignment horizontal="left" vertical="center"/>
      <protection locked="0"/>
    </xf>
    <xf numFmtId="165" fontId="0" fillId="2" borderId="99" xfId="2" applyNumberFormat="1" applyFont="1" applyFill="1" applyBorder="1" applyAlignment="1" applyProtection="1">
      <alignment vertical="center"/>
      <protection locked="0"/>
    </xf>
    <xf numFmtId="165" fontId="0" fillId="2" borderId="225" xfId="2" applyNumberFormat="1" applyFont="1" applyFill="1" applyBorder="1" applyAlignment="1" applyProtection="1">
      <alignment vertical="center"/>
      <protection locked="0"/>
    </xf>
    <xf numFmtId="168" fontId="0" fillId="2" borderId="217" xfId="2" applyNumberFormat="1" applyFont="1" applyFill="1" applyBorder="1" applyAlignment="1" applyProtection="1">
      <alignment vertical="center"/>
      <protection locked="0"/>
    </xf>
    <xf numFmtId="0" fontId="0" fillId="2" borderId="41" xfId="0" applyFill="1" applyBorder="1" applyProtection="1">
      <protection locked="0"/>
    </xf>
    <xf numFmtId="0" fontId="0" fillId="2" borderId="193" xfId="0" applyFill="1" applyBorder="1" applyAlignment="1" applyProtection="1">
      <alignment horizontal="left" vertical="center"/>
      <protection locked="0"/>
    </xf>
    <xf numFmtId="0" fontId="0" fillId="2" borderId="198" xfId="0" applyFill="1" applyBorder="1" applyProtection="1">
      <protection locked="0"/>
    </xf>
    <xf numFmtId="9" fontId="0" fillId="19" borderId="0" xfId="0" applyNumberFormat="1" applyFill="1" applyAlignment="1">
      <alignment horizontal="center"/>
    </xf>
    <xf numFmtId="176" fontId="0" fillId="34" borderId="226" xfId="0" applyNumberFormat="1" applyFill="1" applyBorder="1" applyAlignment="1">
      <alignment horizontal="right" vertical="center"/>
    </xf>
    <xf numFmtId="176" fontId="0" fillId="0" borderId="89" xfId="0" applyNumberFormat="1" applyBorder="1" applyAlignment="1">
      <alignment horizontal="right" vertical="center"/>
    </xf>
    <xf numFmtId="176" fontId="0" fillId="0" borderId="28" xfId="0" applyNumberFormat="1" applyBorder="1" applyAlignment="1">
      <alignment horizontal="right" vertical="center"/>
    </xf>
    <xf numFmtId="165" fontId="5" fillId="17" borderId="51" xfId="2" applyNumberFormat="1" applyFont="1" applyFill="1" applyBorder="1" applyAlignment="1" applyProtection="1">
      <alignment vertical="center" wrapText="1"/>
    </xf>
    <xf numFmtId="165" fontId="5" fillId="17" borderId="25" xfId="2" applyNumberFormat="1" applyFont="1" applyFill="1" applyBorder="1" applyAlignment="1" applyProtection="1">
      <alignment vertical="center" wrapText="1"/>
    </xf>
    <xf numFmtId="165" fontId="5" fillId="17" borderId="50" xfId="2" applyNumberFormat="1" applyFont="1" applyFill="1" applyBorder="1" applyAlignment="1" applyProtection="1">
      <alignment vertical="center" wrapText="1"/>
    </xf>
    <xf numFmtId="165" fontId="5" fillId="17" borderId="63" xfId="2" applyNumberFormat="1" applyFont="1" applyFill="1" applyBorder="1" applyAlignment="1" applyProtection="1">
      <alignment vertical="center" wrapText="1"/>
    </xf>
    <xf numFmtId="165" fontId="5" fillId="17" borderId="61" xfId="2" applyNumberFormat="1" applyFont="1" applyFill="1" applyBorder="1" applyAlignment="1" applyProtection="1">
      <alignment vertical="center" wrapText="1"/>
    </xf>
    <xf numFmtId="165" fontId="5" fillId="17" borderId="62" xfId="2" applyNumberFormat="1" applyFont="1" applyFill="1" applyBorder="1" applyAlignment="1" applyProtection="1">
      <alignment vertical="center" wrapText="1"/>
    </xf>
    <xf numFmtId="0" fontId="0" fillId="19" borderId="211" xfId="0" applyFill="1" applyBorder="1"/>
    <xf numFmtId="0" fontId="0" fillId="19" borderId="215" xfId="0" applyFill="1" applyBorder="1"/>
    <xf numFmtId="0" fontId="0" fillId="19" borderId="196" xfId="0" applyFill="1" applyBorder="1"/>
    <xf numFmtId="0" fontId="0" fillId="19" borderId="178" xfId="0" applyFill="1" applyBorder="1"/>
    <xf numFmtId="0" fontId="16" fillId="41" borderId="230" xfId="0" applyFont="1" applyFill="1" applyBorder="1" applyAlignment="1">
      <alignment horizontal="center" vertical="center"/>
    </xf>
    <xf numFmtId="0" fontId="16" fillId="41" borderId="217" xfId="0" applyFont="1" applyFill="1" applyBorder="1" applyAlignment="1">
      <alignment horizontal="center" vertical="center"/>
    </xf>
    <xf numFmtId="0" fontId="16" fillId="42" borderId="230" xfId="0" applyFont="1" applyFill="1" applyBorder="1" applyAlignment="1">
      <alignment horizontal="center" vertical="center"/>
    </xf>
    <xf numFmtId="0" fontId="16" fillId="42" borderId="219" xfId="0" applyFont="1" applyFill="1" applyBorder="1" applyAlignment="1">
      <alignment horizontal="center" vertical="center"/>
    </xf>
    <xf numFmtId="0" fontId="16" fillId="43" borderId="195" xfId="0" applyFont="1" applyFill="1" applyBorder="1" applyAlignment="1">
      <alignment horizontal="center" vertical="center"/>
    </xf>
    <xf numFmtId="0" fontId="16" fillId="43" borderId="217" xfId="0" applyFont="1" applyFill="1" applyBorder="1" applyAlignment="1">
      <alignment horizontal="center" vertical="center"/>
    </xf>
    <xf numFmtId="0" fontId="16" fillId="43" borderId="219" xfId="0" applyFont="1" applyFill="1" applyBorder="1" applyAlignment="1">
      <alignment horizontal="center" vertical="center"/>
    </xf>
    <xf numFmtId="0" fontId="16" fillId="41" borderId="205" xfId="0" applyFont="1" applyFill="1" applyBorder="1" applyAlignment="1">
      <alignment horizontal="center" vertical="center"/>
    </xf>
    <xf numFmtId="0" fontId="16" fillId="41" borderId="207" xfId="0" applyFont="1" applyFill="1" applyBorder="1" applyAlignment="1">
      <alignment horizontal="center" vertical="center"/>
    </xf>
    <xf numFmtId="0" fontId="16" fillId="42" borderId="205" xfId="0" applyFont="1" applyFill="1" applyBorder="1" applyAlignment="1">
      <alignment horizontal="center" vertical="center"/>
    </xf>
    <xf numFmtId="0" fontId="16" fillId="42" borderId="207" xfId="0" applyFont="1" applyFill="1" applyBorder="1" applyAlignment="1">
      <alignment horizontal="center" vertical="center"/>
    </xf>
    <xf numFmtId="0" fontId="16" fillId="43" borderId="205" xfId="0" applyFont="1" applyFill="1" applyBorder="1" applyAlignment="1">
      <alignment horizontal="center" vertical="center"/>
    </xf>
    <xf numFmtId="0" fontId="16" fillId="43" borderId="207" xfId="0" applyFont="1" applyFill="1" applyBorder="1" applyAlignment="1">
      <alignment horizontal="center" vertical="center"/>
    </xf>
    <xf numFmtId="176" fontId="0" fillId="0" borderId="41" xfId="0" applyNumberFormat="1" applyBorder="1" applyAlignment="1">
      <alignment horizontal="right" vertical="center"/>
    </xf>
    <xf numFmtId="0" fontId="5" fillId="26" borderId="197" xfId="0" applyFont="1" applyFill="1" applyBorder="1" applyAlignment="1">
      <alignment horizontal="center" vertical="center"/>
    </xf>
    <xf numFmtId="0" fontId="12" fillId="27" borderId="197" xfId="0" applyFont="1" applyFill="1" applyBorder="1" applyAlignment="1">
      <alignment horizontal="left" vertical="center"/>
    </xf>
    <xf numFmtId="165" fontId="12" fillId="27" borderId="197" xfId="2" applyNumberFormat="1" applyFont="1" applyFill="1" applyBorder="1" applyAlignment="1" applyProtection="1">
      <alignment horizontal="center" vertical="center"/>
    </xf>
    <xf numFmtId="0" fontId="5" fillId="30" borderId="197" xfId="0" applyFont="1" applyFill="1" applyBorder="1" applyAlignment="1">
      <alignment horizontal="center" vertical="center" wrapText="1"/>
    </xf>
    <xf numFmtId="0" fontId="12" fillId="30" borderId="197" xfId="0" applyFont="1" applyFill="1" applyBorder="1" applyAlignment="1">
      <alignment horizontal="left" vertical="center"/>
    </xf>
    <xf numFmtId="165" fontId="12" fillId="30" borderId="197" xfId="2" applyNumberFormat="1" applyFont="1" applyFill="1" applyBorder="1" applyAlignment="1" applyProtection="1">
      <alignment horizontal="center" vertical="center"/>
    </xf>
    <xf numFmtId="1" fontId="0" fillId="0" borderId="197" xfId="0" applyNumberFormat="1" applyBorder="1" applyAlignment="1">
      <alignment horizontal="center" vertical="center" wrapText="1"/>
    </xf>
    <xf numFmtId="173" fontId="13" fillId="0" borderId="197" xfId="0" applyNumberFormat="1" applyFont="1" applyBorder="1" applyAlignment="1">
      <alignment horizontal="left"/>
    </xf>
    <xf numFmtId="165" fontId="0" fillId="2" borderId="197" xfId="2" applyNumberFormat="1" applyFont="1" applyFill="1" applyBorder="1" applyAlignment="1" applyProtection="1">
      <alignment vertical="center"/>
      <protection locked="0"/>
    </xf>
    <xf numFmtId="165" fontId="12" fillId="30" borderId="197" xfId="2" applyNumberFormat="1" applyFont="1" applyFill="1" applyBorder="1" applyAlignment="1" applyProtection="1">
      <alignment horizontal="center" vertical="center"/>
      <protection locked="0"/>
    </xf>
    <xf numFmtId="0" fontId="0" fillId="2" borderId="195" xfId="0" applyFill="1" applyBorder="1" applyAlignment="1" applyProtection="1">
      <alignment horizontal="left" vertical="center"/>
      <protection locked="0"/>
    </xf>
    <xf numFmtId="0" fontId="0" fillId="2" borderId="218" xfId="0" applyFill="1" applyBorder="1" applyAlignment="1" applyProtection="1">
      <alignment horizontal="left" vertical="center"/>
      <protection locked="0"/>
    </xf>
    <xf numFmtId="0" fontId="0" fillId="2" borderId="218" xfId="0" applyFill="1" applyBorder="1" applyProtection="1">
      <protection locked="0"/>
    </xf>
    <xf numFmtId="0" fontId="0" fillId="2" borderId="217" xfId="0" applyFill="1" applyBorder="1" applyProtection="1">
      <protection locked="0"/>
    </xf>
    <xf numFmtId="168" fontId="0" fillId="2" borderId="218" xfId="2" applyNumberFormat="1" applyFont="1" applyFill="1" applyBorder="1" applyAlignment="1" applyProtection="1">
      <alignment vertical="center"/>
      <protection locked="0"/>
    </xf>
    <xf numFmtId="9" fontId="0" fillId="2" borderId="230" xfId="0" applyNumberFormat="1" applyFill="1" applyBorder="1" applyAlignment="1" applyProtection="1">
      <alignment horizontal="center" vertical="center"/>
      <protection locked="0"/>
    </xf>
    <xf numFmtId="176" fontId="0" fillId="0" borderId="217" xfId="0" applyNumberFormat="1" applyBorder="1" applyAlignment="1">
      <alignment horizontal="right" vertical="center"/>
    </xf>
    <xf numFmtId="176" fontId="0" fillId="0" borderId="219" xfId="0" applyNumberFormat="1" applyBorder="1" applyAlignment="1">
      <alignment horizontal="right" vertical="center"/>
    </xf>
    <xf numFmtId="9" fontId="0" fillId="2" borderId="195" xfId="3" applyFont="1" applyFill="1" applyBorder="1" applyAlignment="1" applyProtection="1">
      <alignment horizontal="center" vertical="center"/>
      <protection locked="0"/>
    </xf>
    <xf numFmtId="9" fontId="0" fillId="40" borderId="28" xfId="0" applyNumberFormat="1" applyFill="1" applyBorder="1" applyAlignment="1">
      <alignment horizontal="center" vertical="center"/>
    </xf>
    <xf numFmtId="0" fontId="0" fillId="2" borderId="216" xfId="0" applyFill="1" applyBorder="1" applyAlignment="1" applyProtection="1">
      <alignment horizontal="left" vertical="center"/>
      <protection locked="0"/>
    </xf>
    <xf numFmtId="0" fontId="0" fillId="2" borderId="216" xfId="0" applyFill="1" applyBorder="1" applyProtection="1">
      <protection locked="0"/>
    </xf>
    <xf numFmtId="0" fontId="0" fillId="2" borderId="229" xfId="0" applyFill="1" applyBorder="1" applyProtection="1">
      <protection locked="0"/>
    </xf>
    <xf numFmtId="0" fontId="0" fillId="2" borderId="171" xfId="0" applyFill="1" applyBorder="1" applyAlignment="1" applyProtection="1">
      <alignment horizontal="left" vertical="center"/>
      <protection locked="0"/>
    </xf>
    <xf numFmtId="0" fontId="0" fillId="2" borderId="231" xfId="0" applyFill="1" applyBorder="1" applyProtection="1">
      <protection locked="0"/>
    </xf>
    <xf numFmtId="0" fontId="0" fillId="2" borderId="232" xfId="0" applyFill="1" applyBorder="1" applyAlignment="1" applyProtection="1">
      <alignment horizontal="left" vertical="center"/>
      <protection locked="0"/>
    </xf>
    <xf numFmtId="0" fontId="0" fillId="2" borderId="232" xfId="0" applyFill="1" applyBorder="1" applyProtection="1">
      <protection locked="0"/>
    </xf>
    <xf numFmtId="0" fontId="0" fillId="2" borderId="152" xfId="0" applyFill="1" applyBorder="1" applyAlignment="1" applyProtection="1">
      <alignment horizontal="left" vertical="center"/>
      <protection locked="0"/>
    </xf>
    <xf numFmtId="176" fontId="0" fillId="34" borderId="224" xfId="0" applyNumberFormat="1" applyFill="1" applyBorder="1" applyAlignment="1">
      <alignment horizontal="right" vertical="center"/>
    </xf>
    <xf numFmtId="0" fontId="0" fillId="2" borderId="230" xfId="0" applyFill="1" applyBorder="1" applyAlignment="1" applyProtection="1">
      <alignment horizontal="left" vertical="center"/>
      <protection locked="0"/>
    </xf>
    <xf numFmtId="176" fontId="0" fillId="34" borderId="28" xfId="0" applyNumberFormat="1" applyFill="1" applyBorder="1" applyAlignment="1">
      <alignment horizontal="right" vertical="center"/>
    </xf>
    <xf numFmtId="165" fontId="5" fillId="36" borderId="197" xfId="0" applyNumberFormat="1" applyFont="1" applyFill="1" applyBorder="1" applyAlignment="1">
      <alignment horizontal="center" vertical="center" wrapText="1"/>
    </xf>
    <xf numFmtId="168" fontId="0" fillId="21" borderId="152" xfId="2" applyNumberFormat="1" applyFont="1" applyFill="1" applyBorder="1" applyAlignment="1" applyProtection="1">
      <alignment vertical="center"/>
    </xf>
    <xf numFmtId="168" fontId="0" fillId="21" borderId="140" xfId="2" applyNumberFormat="1" applyFont="1" applyFill="1" applyBorder="1" applyAlignment="1" applyProtection="1">
      <alignment vertical="center"/>
    </xf>
    <xf numFmtId="168" fontId="0" fillId="21" borderId="230" xfId="2" applyNumberFormat="1" applyFont="1" applyFill="1" applyBorder="1" applyAlignment="1" applyProtection="1">
      <alignment vertical="center"/>
    </xf>
    <xf numFmtId="168" fontId="0" fillId="21" borderId="219" xfId="2" applyNumberFormat="1" applyFont="1" applyFill="1" applyBorder="1" applyAlignment="1" applyProtection="1">
      <alignment vertical="center"/>
    </xf>
    <xf numFmtId="168" fontId="0" fillId="21" borderId="175" xfId="2" applyNumberFormat="1" applyFont="1" applyFill="1" applyBorder="1" applyAlignment="1" applyProtection="1">
      <alignment vertical="center"/>
    </xf>
    <xf numFmtId="0" fontId="0" fillId="21" borderId="201" xfId="0" applyFill="1" applyBorder="1" applyAlignment="1" applyProtection="1">
      <alignment horizontal="left" vertical="center"/>
      <protection locked="0"/>
    </xf>
    <xf numFmtId="0" fontId="0" fillId="21" borderId="226" xfId="0" applyFill="1" applyBorder="1" applyAlignment="1" applyProtection="1">
      <alignment horizontal="right" vertical="center"/>
      <protection locked="0"/>
    </xf>
    <xf numFmtId="168" fontId="0" fillId="21" borderId="218" xfId="2" applyNumberFormat="1" applyFont="1" applyFill="1" applyBorder="1" applyAlignment="1" applyProtection="1">
      <alignment vertical="center"/>
    </xf>
    <xf numFmtId="168" fontId="0" fillId="21" borderId="220" xfId="2" applyNumberFormat="1" applyFont="1" applyFill="1" applyBorder="1" applyAlignment="1" applyProtection="1">
      <alignment vertical="center"/>
    </xf>
    <xf numFmtId="168" fontId="0" fillId="21" borderId="205" xfId="2" applyNumberFormat="1" applyFont="1" applyFill="1" applyBorder="1" applyAlignment="1" applyProtection="1">
      <alignment vertical="center"/>
    </xf>
    <xf numFmtId="165" fontId="5" fillId="3" borderId="233" xfId="0" applyNumberFormat="1" applyFont="1" applyFill="1" applyBorder="1" applyAlignment="1">
      <alignment horizontal="center" vertical="center" wrapText="1"/>
    </xf>
    <xf numFmtId="165" fontId="5" fillId="3" borderId="234" xfId="0" applyNumberFormat="1" applyFont="1" applyFill="1" applyBorder="1" applyAlignment="1">
      <alignment horizontal="center" vertical="center" wrapText="1"/>
    </xf>
    <xf numFmtId="0" fontId="0" fillId="21" borderId="181" xfId="0" applyFill="1" applyBorder="1" applyAlignment="1" applyProtection="1">
      <alignment horizontal="right" vertical="center"/>
      <protection locked="0"/>
    </xf>
    <xf numFmtId="168" fontId="0" fillId="21" borderId="235" xfId="2" applyNumberFormat="1" applyFont="1" applyFill="1" applyBorder="1" applyAlignment="1" applyProtection="1">
      <alignment vertical="center"/>
    </xf>
    <xf numFmtId="168" fontId="0" fillId="21" borderId="236" xfId="2" applyNumberFormat="1" applyFont="1" applyFill="1" applyBorder="1" applyAlignment="1" applyProtection="1">
      <alignment vertical="center"/>
    </xf>
    <xf numFmtId="0" fontId="2" fillId="51" borderId="0" xfId="0" applyFont="1" applyFill="1" applyAlignment="1">
      <alignment horizontal="center"/>
    </xf>
    <xf numFmtId="165" fontId="5" fillId="3" borderId="237" xfId="0" applyNumberFormat="1" applyFont="1" applyFill="1" applyBorder="1" applyAlignment="1">
      <alignment horizontal="center" vertical="center" wrapText="1"/>
    </xf>
    <xf numFmtId="165" fontId="5" fillId="3" borderId="238" xfId="0" applyNumberFormat="1" applyFont="1" applyFill="1" applyBorder="1" applyAlignment="1">
      <alignment horizontal="center" vertical="center" wrapText="1"/>
    </xf>
    <xf numFmtId="9" fontId="0" fillId="21" borderId="40" xfId="3" applyFont="1" applyFill="1" applyBorder="1" applyAlignment="1" applyProtection="1">
      <alignment horizontal="center" vertical="center"/>
    </xf>
    <xf numFmtId="9" fontId="0" fillId="21" borderId="42" xfId="3" applyFont="1" applyFill="1" applyBorder="1" applyAlignment="1" applyProtection="1">
      <alignment horizontal="center" vertical="center"/>
    </xf>
    <xf numFmtId="9" fontId="0" fillId="21" borderId="152" xfId="3" applyFont="1" applyFill="1" applyBorder="1" applyAlignment="1" applyProtection="1">
      <alignment horizontal="center" vertical="center"/>
    </xf>
    <xf numFmtId="9" fontId="0" fillId="21" borderId="140" xfId="3" applyFont="1" applyFill="1" applyBorder="1" applyAlignment="1" applyProtection="1">
      <alignment horizontal="center" vertical="center"/>
    </xf>
    <xf numFmtId="9" fontId="0" fillId="21" borderId="230" xfId="3" applyFont="1" applyFill="1" applyBorder="1" applyAlignment="1" applyProtection="1">
      <alignment horizontal="center" vertical="center"/>
    </xf>
    <xf numFmtId="9" fontId="0" fillId="21" borderId="219" xfId="3" applyFont="1" applyFill="1" applyBorder="1" applyAlignment="1" applyProtection="1">
      <alignment horizontal="center" vertical="center"/>
    </xf>
    <xf numFmtId="9" fontId="0" fillId="21" borderId="87" xfId="3" applyFont="1" applyFill="1" applyBorder="1" applyAlignment="1" applyProtection="1">
      <alignment horizontal="center" vertical="center"/>
    </xf>
    <xf numFmtId="9" fontId="0" fillId="21" borderId="204" xfId="3" applyFont="1" applyFill="1" applyBorder="1" applyAlignment="1" applyProtection="1">
      <alignment horizontal="center" vertical="center"/>
    </xf>
    <xf numFmtId="9" fontId="0" fillId="21" borderId="205" xfId="3" applyFont="1" applyFill="1" applyBorder="1" applyAlignment="1" applyProtection="1">
      <alignment horizontal="center" vertical="center"/>
    </xf>
    <xf numFmtId="9" fontId="0" fillId="21" borderId="207" xfId="3" applyFont="1" applyFill="1" applyBorder="1" applyAlignment="1" applyProtection="1">
      <alignment horizontal="center" vertical="center"/>
    </xf>
    <xf numFmtId="9" fontId="0" fillId="21" borderId="95" xfId="3" applyFont="1" applyFill="1" applyBorder="1" applyAlignment="1" applyProtection="1">
      <alignment horizontal="center" vertical="center"/>
    </xf>
    <xf numFmtId="9" fontId="0" fillId="21" borderId="100" xfId="3" applyFont="1" applyFill="1" applyBorder="1" applyAlignment="1" applyProtection="1">
      <alignment horizontal="center" vertical="center"/>
    </xf>
    <xf numFmtId="9" fontId="0" fillId="21" borderId="102" xfId="3" applyFont="1" applyFill="1" applyBorder="1" applyAlignment="1" applyProtection="1">
      <alignment horizontal="center" vertical="center"/>
    </xf>
    <xf numFmtId="9" fontId="0" fillId="21" borderId="137" xfId="3" applyFont="1" applyFill="1" applyBorder="1" applyAlignment="1" applyProtection="1">
      <alignment horizontal="center" vertical="center"/>
    </xf>
    <xf numFmtId="165" fontId="5" fillId="3" borderId="239" xfId="0" applyNumberFormat="1" applyFont="1" applyFill="1" applyBorder="1" applyAlignment="1">
      <alignment horizontal="center" vertical="center" wrapText="1"/>
    </xf>
    <xf numFmtId="168" fontId="0" fillId="23" borderId="230" xfId="2" applyNumberFormat="1" applyFont="1" applyFill="1" applyBorder="1" applyAlignment="1" applyProtection="1">
      <alignment vertical="center"/>
    </xf>
    <xf numFmtId="0" fontId="0" fillId="0" borderId="42" xfId="0" applyBorder="1" applyAlignment="1">
      <alignment horizontal="left" vertical="center"/>
    </xf>
    <xf numFmtId="0" fontId="0" fillId="21" borderId="80" xfId="0" applyFill="1" applyBorder="1" applyAlignment="1" applyProtection="1">
      <alignment horizontal="left" vertical="center"/>
      <protection locked="0"/>
    </xf>
    <xf numFmtId="0" fontId="0" fillId="0" borderId="46" xfId="0" applyBorder="1" applyAlignment="1">
      <alignment horizontal="left" vertical="center"/>
    </xf>
    <xf numFmtId="0" fontId="0" fillId="21" borderId="84" xfId="0" applyFill="1" applyBorder="1" applyAlignment="1" applyProtection="1">
      <alignment horizontal="right" vertical="center"/>
      <protection locked="0"/>
    </xf>
    <xf numFmtId="0" fontId="0" fillId="0" borderId="50" xfId="0" applyBorder="1" applyAlignment="1">
      <alignment horizontal="right" vertical="center"/>
    </xf>
    <xf numFmtId="0" fontId="0" fillId="21" borderId="99" xfId="0" applyFill="1" applyBorder="1" applyAlignment="1" applyProtection="1">
      <alignment horizontal="left" vertical="center"/>
      <protection locked="0"/>
    </xf>
    <xf numFmtId="0" fontId="0" fillId="21" borderId="74" xfId="0" applyFill="1" applyBorder="1" applyAlignment="1" applyProtection="1">
      <alignment horizontal="right" vertical="center"/>
      <protection locked="0"/>
    </xf>
    <xf numFmtId="0" fontId="0" fillId="0" borderId="135" xfId="0" applyBorder="1" applyAlignment="1">
      <alignment horizontal="right" vertical="center"/>
    </xf>
    <xf numFmtId="0" fontId="23" fillId="21" borderId="94" xfId="0" applyFont="1" applyFill="1" applyBorder="1" applyAlignment="1">
      <alignment horizontal="center" vertical="center" wrapText="1"/>
    </xf>
    <xf numFmtId="0" fontId="23" fillId="0" borderId="95" xfId="0" applyFont="1" applyBorder="1" applyAlignment="1">
      <alignment horizontal="center" vertical="center" wrapText="1"/>
    </xf>
    <xf numFmtId="0" fontId="0" fillId="0" borderId="100" xfId="0" applyBorder="1" applyAlignment="1">
      <alignment horizontal="left" vertical="center"/>
    </xf>
    <xf numFmtId="0" fontId="23" fillId="21" borderId="101" xfId="0" applyFont="1" applyFill="1" applyBorder="1" applyAlignment="1">
      <alignment horizontal="center" vertical="center" wrapText="1"/>
    </xf>
    <xf numFmtId="168" fontId="0" fillId="0" borderId="0" xfId="0" applyNumberFormat="1"/>
    <xf numFmtId="164" fontId="0" fillId="0" borderId="0" xfId="0" applyNumberFormat="1"/>
    <xf numFmtId="0" fontId="30"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31" fillId="0" borderId="0" xfId="0" applyFont="1" applyAlignment="1">
      <alignment vertical="center"/>
    </xf>
    <xf numFmtId="3" fontId="30" fillId="0" borderId="0" xfId="3" applyNumberFormat="1" applyFont="1" applyBorder="1" applyAlignment="1" applyProtection="1">
      <alignment vertical="center"/>
    </xf>
    <xf numFmtId="9" fontId="30" fillId="0" borderId="0" xfId="3" applyFont="1" applyBorder="1" applyAlignment="1" applyProtection="1">
      <alignment vertical="center"/>
    </xf>
    <xf numFmtId="0" fontId="23" fillId="0" borderId="0" xfId="0" applyFont="1" applyAlignment="1">
      <alignment horizontal="right" vertical="center"/>
    </xf>
    <xf numFmtId="0" fontId="32" fillId="19" borderId="0" xfId="0" applyFont="1" applyFill="1" applyAlignment="1">
      <alignment horizontal="left" vertical="center" indent="2"/>
    </xf>
    <xf numFmtId="165" fontId="23" fillId="0" borderId="0" xfId="0" applyNumberFormat="1" applyFont="1" applyAlignment="1">
      <alignment horizontal="center" vertical="center" wrapText="1"/>
    </xf>
    <xf numFmtId="165" fontId="29" fillId="58" borderId="239" xfId="0" applyNumberFormat="1" applyFont="1" applyFill="1" applyBorder="1" applyAlignment="1">
      <alignment horizontal="center" vertical="center" wrapText="1"/>
    </xf>
    <xf numFmtId="165" fontId="29" fillId="58" borderId="233" xfId="0" applyNumberFormat="1" applyFont="1" applyFill="1" applyBorder="1" applyAlignment="1">
      <alignment horizontal="center" vertical="center" wrapText="1"/>
    </xf>
    <xf numFmtId="165" fontId="29" fillId="58" borderId="234" xfId="0" applyNumberFormat="1" applyFont="1" applyFill="1" applyBorder="1" applyAlignment="1">
      <alignment horizontal="center" vertical="center" wrapText="1"/>
    </xf>
    <xf numFmtId="165" fontId="23" fillId="7" borderId="76" xfId="0" applyNumberFormat="1" applyFont="1" applyFill="1" applyBorder="1" applyAlignment="1">
      <alignment horizontal="center" vertical="center" wrapText="1"/>
    </xf>
    <xf numFmtId="165" fontId="23" fillId="7" borderId="233" xfId="0" applyNumberFormat="1" applyFont="1" applyFill="1" applyBorder="1" applyAlignment="1">
      <alignment horizontal="center" vertical="center" wrapText="1"/>
    </xf>
    <xf numFmtId="165" fontId="23" fillId="7" borderId="178" xfId="0" applyNumberFormat="1" applyFont="1" applyFill="1" applyBorder="1" applyAlignment="1">
      <alignment horizontal="center" vertical="center" wrapText="1"/>
    </xf>
    <xf numFmtId="165" fontId="23" fillId="3" borderId="239" xfId="0" applyNumberFormat="1" applyFont="1" applyFill="1" applyBorder="1" applyAlignment="1">
      <alignment horizontal="center" vertical="center" wrapText="1"/>
    </xf>
    <xf numFmtId="165" fontId="23" fillId="3" borderId="233" xfId="0" applyNumberFormat="1" applyFont="1" applyFill="1" applyBorder="1" applyAlignment="1">
      <alignment horizontal="center" vertical="center" wrapText="1"/>
    </xf>
    <xf numFmtId="165" fontId="23" fillId="3" borderId="234" xfId="0" applyNumberFormat="1" applyFont="1" applyFill="1" applyBorder="1" applyAlignment="1">
      <alignment horizontal="center" vertical="center" wrapText="1"/>
    </xf>
    <xf numFmtId="165" fontId="23" fillId="12" borderId="66" xfId="0" applyNumberFormat="1" applyFont="1" applyFill="1" applyBorder="1" applyAlignment="1">
      <alignment horizontal="center" vertical="center" wrapText="1"/>
    </xf>
    <xf numFmtId="165" fontId="23" fillId="12" borderId="35" xfId="0" applyNumberFormat="1" applyFont="1" applyFill="1" applyBorder="1" applyAlignment="1">
      <alignment horizontal="center" vertical="center" wrapText="1"/>
    </xf>
    <xf numFmtId="165" fontId="23" fillId="12" borderId="208" xfId="0" applyNumberFormat="1" applyFont="1" applyFill="1" applyBorder="1" applyAlignment="1">
      <alignment horizontal="center" vertical="center" wrapText="1"/>
    </xf>
    <xf numFmtId="170" fontId="23" fillId="22" borderId="70" xfId="0" applyNumberFormat="1" applyFont="1" applyFill="1" applyBorder="1" applyAlignment="1">
      <alignment horizontal="center" vertical="center"/>
    </xf>
    <xf numFmtId="170" fontId="23" fillId="24" borderId="209" xfId="0" applyNumberFormat="1" applyFont="1" applyFill="1" applyBorder="1" applyAlignment="1">
      <alignment horizontal="center" vertical="center"/>
    </xf>
    <xf numFmtId="170" fontId="23" fillId="22" borderId="85" xfId="0" applyNumberFormat="1" applyFont="1" applyFill="1" applyBorder="1" applyAlignment="1">
      <alignment horizontal="center" vertical="center"/>
    </xf>
    <xf numFmtId="170" fontId="23" fillId="22" borderId="210" xfId="0" applyNumberFormat="1" applyFont="1" applyFill="1" applyBorder="1" applyAlignment="1">
      <alignment horizontal="center" vertical="center"/>
    </xf>
    <xf numFmtId="170" fontId="23" fillId="22" borderId="99" xfId="0" applyNumberFormat="1" applyFont="1" applyFill="1" applyBorder="1" applyAlignment="1">
      <alignment horizontal="center" vertical="center"/>
    </xf>
    <xf numFmtId="0" fontId="0" fillId="21" borderId="182" xfId="0" applyFill="1" applyBorder="1"/>
    <xf numFmtId="0" fontId="0" fillId="21" borderId="160" xfId="0" applyFill="1" applyBorder="1"/>
    <xf numFmtId="0" fontId="0" fillId="21" borderId="240" xfId="0" applyFill="1" applyBorder="1"/>
    <xf numFmtId="169" fontId="0" fillId="2" borderId="40" xfId="2" applyNumberFormat="1" applyFont="1" applyFill="1" applyBorder="1" applyAlignment="1" applyProtection="1">
      <alignment horizontal="center" vertical="center"/>
    </xf>
    <xf numFmtId="169" fontId="0" fillId="2" borderId="7" xfId="2" applyNumberFormat="1" applyFont="1" applyFill="1" applyBorder="1" applyAlignment="1" applyProtection="1">
      <alignment horizontal="center" vertical="center"/>
    </xf>
    <xf numFmtId="169" fontId="0" fillId="2" borderId="42" xfId="2" applyNumberFormat="1" applyFont="1" applyFill="1" applyBorder="1" applyAlignment="1" applyProtection="1">
      <alignment horizontal="center" vertical="center"/>
    </xf>
    <xf numFmtId="169" fontId="0" fillId="2" borderId="95" xfId="2" applyNumberFormat="1" applyFont="1" applyFill="1" applyBorder="1" applyAlignment="1" applyProtection="1">
      <alignment horizontal="center" vertical="center"/>
    </xf>
    <xf numFmtId="169" fontId="0" fillId="2" borderId="96" xfId="2" applyNumberFormat="1" applyFont="1" applyFill="1" applyBorder="1" applyAlignment="1" applyProtection="1">
      <alignment horizontal="center" vertical="center"/>
    </xf>
    <xf numFmtId="169" fontId="0" fillId="2" borderId="100" xfId="2" applyNumberFormat="1" applyFont="1" applyFill="1" applyBorder="1" applyAlignment="1" applyProtection="1">
      <alignment horizontal="center" vertical="center"/>
    </xf>
    <xf numFmtId="0" fontId="0" fillId="0" borderId="0" xfId="0" applyAlignment="1" applyProtection="1">
      <alignment horizontal="left" vertical="center" wrapText="1"/>
      <protection locked="0"/>
    </xf>
    <xf numFmtId="0" fontId="21" fillId="0" borderId="0" xfId="0" applyFont="1" applyAlignment="1">
      <alignment vertical="center" wrapText="1"/>
    </xf>
    <xf numFmtId="0" fontId="21"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pplyProtection="1">
      <alignment horizontal="left" vertical="center"/>
      <protection locked="0"/>
    </xf>
    <xf numFmtId="9" fontId="0" fillId="0" borderId="0" xfId="3" applyFont="1" applyFill="1" applyBorder="1"/>
    <xf numFmtId="0" fontId="0" fillId="0" borderId="0" xfId="0" applyAlignment="1" applyProtection="1">
      <alignment horizontal="right" vertical="center"/>
      <protection locked="0"/>
    </xf>
    <xf numFmtId="0" fontId="3" fillId="0" borderId="0" xfId="4" applyBorder="1" applyAlignment="1" applyProtection="1">
      <alignment horizontal="left" vertical="center"/>
    </xf>
    <xf numFmtId="0" fontId="3" fillId="0" borderId="0" xfId="4"/>
    <xf numFmtId="0" fontId="0" fillId="0" borderId="0" xfId="0"/>
    <xf numFmtId="0" fontId="3" fillId="0" borderId="0" xfId="4" applyBorder="1" applyAlignment="1" applyProtection="1">
      <alignment horizontal="left" vertical="center" wrapText="1"/>
    </xf>
    <xf numFmtId="0" fontId="0" fillId="0" borderId="158" xfId="0" applyBorder="1" applyAlignment="1">
      <alignment horizontal="center"/>
    </xf>
    <xf numFmtId="0" fontId="0" fillId="0" borderId="160" xfId="0" applyBorder="1" applyAlignment="1">
      <alignment horizontal="center"/>
    </xf>
    <xf numFmtId="0" fontId="2" fillId="0" borderId="139" xfId="0" applyFont="1" applyBorder="1" applyAlignment="1">
      <alignment horizontal="center"/>
    </xf>
    <xf numFmtId="0" fontId="2" fillId="0" borderId="190" xfId="0" applyFont="1" applyBorder="1" applyAlignment="1">
      <alignment horizontal="center"/>
    </xf>
    <xf numFmtId="0" fontId="0" fillId="21" borderId="139" xfId="0" applyFill="1" applyBorder="1" applyAlignment="1">
      <alignment horizontal="center"/>
    </xf>
    <xf numFmtId="0" fontId="0" fillId="21" borderId="193" xfId="0" applyFill="1" applyBorder="1" applyAlignment="1">
      <alignment horizontal="center"/>
    </xf>
    <xf numFmtId="0" fontId="0" fillId="21" borderId="149" xfId="0" applyFill="1" applyBorder="1" applyAlignment="1">
      <alignment horizontal="right"/>
    </xf>
    <xf numFmtId="0" fontId="24" fillId="0" borderId="139" xfId="0" applyFont="1" applyBorder="1" applyAlignment="1">
      <alignment horizontal="center"/>
    </xf>
    <xf numFmtId="0" fontId="24" fillId="0" borderId="190" xfId="0" applyFont="1" applyBorder="1" applyAlignment="1">
      <alignment horizontal="center"/>
    </xf>
    <xf numFmtId="0" fontId="0" fillId="0" borderId="139" xfId="0" applyBorder="1" applyAlignment="1">
      <alignment horizontal="center"/>
    </xf>
    <xf numFmtId="0" fontId="0" fillId="0" borderId="190" xfId="0" applyBorder="1" applyAlignment="1">
      <alignment horizontal="center"/>
    </xf>
    <xf numFmtId="0" fontId="0" fillId="0" borderId="125" xfId="0" applyBorder="1" applyAlignment="1">
      <alignment horizontal="center"/>
    </xf>
    <xf numFmtId="0" fontId="0" fillId="0" borderId="143" xfId="0" applyBorder="1" applyAlignment="1">
      <alignment horizontal="center"/>
    </xf>
    <xf numFmtId="0" fontId="0" fillId="0" borderId="191" xfId="0" applyBorder="1" applyAlignment="1">
      <alignment horizontal="center"/>
    </xf>
    <xf numFmtId="0" fontId="0" fillId="0" borderId="182" xfId="0" applyBorder="1" applyAlignment="1">
      <alignment horizontal="center"/>
    </xf>
    <xf numFmtId="0" fontId="5" fillId="0" borderId="1" xfId="0" applyFont="1" applyBorder="1" applyAlignment="1">
      <alignment horizontal="right"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3" fillId="0" borderId="0" xfId="4" applyFill="1" applyBorder="1" applyAlignment="1" applyProtection="1">
      <alignment horizontal="left" vertical="center" indent="2"/>
    </xf>
    <xf numFmtId="0" fontId="5" fillId="3" borderId="29"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5" xfId="0" applyFont="1" applyFill="1" applyBorder="1" applyAlignment="1">
      <alignment horizontal="center" vertical="center" wrapText="1"/>
    </xf>
    <xf numFmtId="165" fontId="5" fillId="3" borderId="6" xfId="0" applyNumberFormat="1" applyFont="1" applyFill="1" applyBorder="1" applyAlignment="1">
      <alignment horizontal="center" vertical="center"/>
    </xf>
    <xf numFmtId="165" fontId="5" fillId="3" borderId="36" xfId="0" applyNumberFormat="1" applyFont="1" applyFill="1" applyBorder="1" applyAlignment="1">
      <alignment horizontal="center" vertical="center"/>
    </xf>
    <xf numFmtId="165" fontId="10" fillId="11" borderId="29" xfId="0" applyNumberFormat="1" applyFont="1" applyFill="1" applyBorder="1" applyAlignment="1">
      <alignment horizontal="center" vertical="center" wrapText="1"/>
    </xf>
    <xf numFmtId="165" fontId="10" fillId="11" borderId="5" xfId="0" applyNumberFormat="1" applyFont="1" applyFill="1" applyBorder="1" applyAlignment="1">
      <alignment horizontal="center" vertical="center" wrapText="1"/>
    </xf>
    <xf numFmtId="165" fontId="10" fillId="11" borderId="30" xfId="0" applyNumberFormat="1" applyFont="1" applyFill="1" applyBorder="1" applyAlignment="1">
      <alignment horizontal="center" vertical="center" wrapText="1"/>
    </xf>
    <xf numFmtId="165" fontId="9" fillId="11" borderId="31" xfId="0" applyNumberFormat="1" applyFont="1" applyFill="1" applyBorder="1" applyAlignment="1">
      <alignment horizontal="center" vertical="center" wrapText="1"/>
    </xf>
    <xf numFmtId="165" fontId="9" fillId="11" borderId="1" xfId="0" applyNumberFormat="1" applyFont="1" applyFill="1" applyBorder="1" applyAlignment="1">
      <alignment horizontal="center" vertical="center" wrapText="1"/>
    </xf>
    <xf numFmtId="165" fontId="9" fillId="11" borderId="32" xfId="0" applyNumberFormat="1" applyFont="1" applyFill="1" applyBorder="1" applyAlignment="1">
      <alignment horizontal="center" vertical="center" wrapText="1"/>
    </xf>
    <xf numFmtId="165" fontId="9" fillId="11" borderId="38" xfId="0" applyNumberFormat="1" applyFont="1" applyFill="1" applyBorder="1" applyAlignment="1">
      <alignment horizontal="center" vertical="center" wrapText="1"/>
    </xf>
    <xf numFmtId="165" fontId="9" fillId="11" borderId="33" xfId="0" applyNumberFormat="1" applyFont="1" applyFill="1" applyBorder="1" applyAlignment="1">
      <alignment horizontal="center" vertical="center" wrapText="1"/>
    </xf>
    <xf numFmtId="165" fontId="9" fillId="11" borderId="39" xfId="0" applyNumberFormat="1" applyFont="1" applyFill="1" applyBorder="1" applyAlignment="1">
      <alignment horizontal="center" vertical="center" wrapText="1"/>
    </xf>
    <xf numFmtId="0" fontId="8" fillId="0" borderId="40"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8" xfId="0" applyFont="1" applyBorder="1" applyAlignment="1">
      <alignment horizontal="center" vertical="center" wrapText="1"/>
    </xf>
    <xf numFmtId="0" fontId="0" fillId="0" borderId="7" xfId="0" applyBorder="1" applyAlignment="1">
      <alignment horizontal="left" vertical="center" wrapText="1"/>
    </xf>
    <xf numFmtId="0" fontId="0" fillId="0" borderId="15" xfId="0" applyBorder="1" applyAlignment="1">
      <alignment horizontal="left" vertical="center" wrapText="1"/>
    </xf>
    <xf numFmtId="165" fontId="0" fillId="13" borderId="43" xfId="2" applyNumberFormat="1" applyFont="1" applyFill="1" applyBorder="1" applyAlignment="1" applyProtection="1">
      <alignment horizontal="right" vertical="center"/>
    </xf>
    <xf numFmtId="165" fontId="0" fillId="13" borderId="47" xfId="2" applyNumberFormat="1" applyFont="1" applyFill="1" applyBorder="1" applyAlignment="1" applyProtection="1">
      <alignment horizontal="right" vertical="center"/>
    </xf>
    <xf numFmtId="165" fontId="0" fillId="13" borderId="7" xfId="2" applyNumberFormat="1" applyFont="1" applyFill="1" applyBorder="1" applyAlignment="1" applyProtection="1">
      <alignment horizontal="right" vertical="center"/>
    </xf>
    <xf numFmtId="165" fontId="0" fillId="13" borderId="15" xfId="2" applyNumberFormat="1" applyFont="1" applyFill="1" applyBorder="1" applyAlignment="1" applyProtection="1">
      <alignment horizontal="right" vertical="center"/>
    </xf>
    <xf numFmtId="165" fontId="0" fillId="10" borderId="42" xfId="2" applyNumberFormat="1" applyFont="1" applyFill="1" applyBorder="1" applyAlignment="1" applyProtection="1">
      <alignment horizontal="right" vertical="center"/>
    </xf>
    <xf numFmtId="165" fontId="0" fillId="10" borderId="46" xfId="2" applyNumberFormat="1" applyFont="1" applyFill="1" applyBorder="1" applyAlignment="1" applyProtection="1">
      <alignment horizontal="right" vertical="center"/>
    </xf>
    <xf numFmtId="165" fontId="0" fillId="15" borderId="45" xfId="2" applyNumberFormat="1" applyFont="1" applyFill="1" applyBorder="1" applyAlignment="1" applyProtection="1">
      <alignment horizontal="right" vertical="center"/>
    </xf>
    <xf numFmtId="165" fontId="28" fillId="15" borderId="46" xfId="2" applyNumberFormat="1" applyFont="1" applyFill="1" applyBorder="1" applyAlignment="1" applyProtection="1">
      <alignment horizontal="right" vertical="center"/>
    </xf>
    <xf numFmtId="165" fontId="0" fillId="15" borderId="44" xfId="2" applyNumberFormat="1" applyFont="1" applyFill="1" applyBorder="1" applyAlignment="1" applyProtection="1">
      <alignment horizontal="right" vertical="center"/>
    </xf>
    <xf numFmtId="165" fontId="28" fillId="13" borderId="47" xfId="2" applyNumberFormat="1" applyFont="1" applyFill="1" applyBorder="1" applyAlignment="1" applyProtection="1">
      <alignment horizontal="right" vertical="center"/>
    </xf>
    <xf numFmtId="165" fontId="28" fillId="13" borderId="15" xfId="2" applyNumberFormat="1" applyFont="1" applyFill="1" applyBorder="1" applyAlignment="1" applyProtection="1">
      <alignment horizontal="right" vertical="center"/>
    </xf>
    <xf numFmtId="165" fontId="28" fillId="10" borderId="46" xfId="2" applyNumberFormat="1" applyFont="1" applyFill="1" applyBorder="1" applyAlignment="1" applyProtection="1">
      <alignment horizontal="right" vertical="center"/>
    </xf>
    <xf numFmtId="165" fontId="28" fillId="15" borderId="15" xfId="2" applyNumberFormat="1" applyFont="1" applyFill="1" applyBorder="1" applyAlignment="1" applyProtection="1">
      <alignment horizontal="right" vertical="center"/>
    </xf>
    <xf numFmtId="165" fontId="28" fillId="10" borderId="56" xfId="2" applyNumberFormat="1" applyFont="1" applyFill="1" applyBorder="1" applyAlignment="1" applyProtection="1">
      <alignment horizontal="right" vertical="center"/>
    </xf>
    <xf numFmtId="165" fontId="28" fillId="10" borderId="37" xfId="2" applyNumberFormat="1" applyFont="1" applyFill="1" applyBorder="1" applyAlignment="1" applyProtection="1">
      <alignment horizontal="right" vertical="center"/>
    </xf>
    <xf numFmtId="0" fontId="0" fillId="0" borderId="35" xfId="0" applyBorder="1" applyAlignment="1">
      <alignment horizontal="left" vertical="center" wrapText="1"/>
    </xf>
    <xf numFmtId="0" fontId="0" fillId="0" borderId="38" xfId="0" applyBorder="1" applyAlignment="1">
      <alignment horizontal="left" vertical="center" wrapText="1"/>
    </xf>
    <xf numFmtId="0" fontId="0" fillId="0" borderId="55" xfId="0" applyBorder="1" applyAlignment="1">
      <alignment horizontal="left" vertical="center" wrapText="1"/>
    </xf>
    <xf numFmtId="165" fontId="0" fillId="15" borderId="15" xfId="2" applyNumberFormat="1" applyFont="1" applyFill="1" applyBorder="1" applyAlignment="1" applyProtection="1">
      <alignment horizontal="right" vertical="center"/>
    </xf>
    <xf numFmtId="165" fontId="11" fillId="17" borderId="25" xfId="0" applyNumberFormat="1" applyFont="1" applyFill="1" applyBorder="1" applyAlignment="1">
      <alignment horizontal="center" vertical="center"/>
    </xf>
    <xf numFmtId="165" fontId="11" fillId="17" borderId="49" xfId="0" applyNumberFormat="1" applyFont="1" applyFill="1" applyBorder="1" applyAlignment="1">
      <alignment horizontal="center" vertical="center"/>
    </xf>
    <xf numFmtId="165" fontId="0" fillId="15" borderId="46" xfId="2" applyNumberFormat="1" applyFont="1" applyFill="1" applyBorder="1" applyAlignment="1" applyProtection="1">
      <alignment horizontal="right" vertical="center"/>
    </xf>
    <xf numFmtId="165" fontId="28" fillId="15" borderId="47" xfId="2" applyNumberFormat="1" applyFont="1" applyFill="1" applyBorder="1" applyAlignment="1" applyProtection="1">
      <alignment horizontal="right" vertical="center"/>
    </xf>
    <xf numFmtId="0" fontId="8" fillId="0" borderId="52" xfId="0" applyFont="1" applyBorder="1" applyAlignment="1">
      <alignment horizontal="center" vertical="center" wrapText="1"/>
    </xf>
    <xf numFmtId="0" fontId="8" fillId="0" borderId="59" xfId="0" applyFont="1" applyBorder="1" applyAlignment="1">
      <alignment horizontal="center" vertical="center" wrapText="1"/>
    </xf>
    <xf numFmtId="165" fontId="28" fillId="13" borderId="43" xfId="2" applyNumberFormat="1" applyFont="1" applyFill="1" applyBorder="1" applyAlignment="1" applyProtection="1">
      <alignment horizontal="right" vertical="center"/>
    </xf>
    <xf numFmtId="165" fontId="28" fillId="13" borderId="7" xfId="2" applyNumberFormat="1" applyFont="1" applyFill="1" applyBorder="1" applyAlignment="1" applyProtection="1">
      <alignment horizontal="right" vertical="center"/>
    </xf>
    <xf numFmtId="165" fontId="28" fillId="10" borderId="30" xfId="2" applyNumberFormat="1" applyFont="1" applyFill="1" applyBorder="1" applyAlignment="1" applyProtection="1">
      <alignment horizontal="right" vertical="center"/>
    </xf>
    <xf numFmtId="165" fontId="28" fillId="10" borderId="58" xfId="2" applyNumberFormat="1" applyFont="1" applyFill="1" applyBorder="1" applyAlignment="1" applyProtection="1">
      <alignment horizontal="right" vertical="center"/>
    </xf>
    <xf numFmtId="0" fontId="8" fillId="0" borderId="64" xfId="0" applyFont="1" applyBorder="1" applyAlignment="1">
      <alignment horizontal="center" vertical="center" wrapText="1"/>
    </xf>
    <xf numFmtId="165" fontId="11" fillId="17" borderId="60" xfId="0" applyNumberFormat="1" applyFont="1" applyFill="1" applyBorder="1" applyAlignment="1">
      <alignment horizontal="center" vertical="center"/>
    </xf>
    <xf numFmtId="165" fontId="11" fillId="17" borderId="26" xfId="0" applyNumberFormat="1" applyFont="1" applyFill="1" applyBorder="1" applyAlignment="1">
      <alignment horizontal="center" vertical="center"/>
    </xf>
    <xf numFmtId="165" fontId="28" fillId="15" borderId="3" xfId="2" applyNumberFormat="1" applyFont="1" applyFill="1" applyBorder="1" applyAlignment="1" applyProtection="1">
      <alignment horizontal="right" vertical="center"/>
    </xf>
    <xf numFmtId="165" fontId="28" fillId="15" borderId="14" xfId="2" applyNumberFormat="1" applyFont="1" applyFill="1" applyBorder="1" applyAlignment="1" applyProtection="1">
      <alignment horizontal="right" vertical="center"/>
    </xf>
    <xf numFmtId="0" fontId="0" fillId="0" borderId="32" xfId="0" applyBorder="1" applyAlignment="1">
      <alignment horizontal="left" vertical="center" wrapText="1"/>
    </xf>
    <xf numFmtId="165" fontId="28" fillId="15" borderId="65" xfId="2" applyNumberFormat="1" applyFont="1" applyFill="1" applyBorder="1" applyAlignment="1" applyProtection="1">
      <alignment horizontal="right" vertical="center"/>
    </xf>
    <xf numFmtId="165" fontId="28" fillId="15" borderId="66" xfId="2" applyNumberFormat="1" applyFont="1" applyFill="1" applyBorder="1" applyAlignment="1" applyProtection="1">
      <alignment horizontal="right" vertical="center"/>
    </xf>
    <xf numFmtId="165" fontId="28" fillId="15" borderId="5" xfId="2" applyNumberFormat="1" applyFont="1" applyFill="1" applyBorder="1" applyAlignment="1" applyProtection="1">
      <alignment horizontal="right" vertical="center"/>
    </xf>
    <xf numFmtId="165" fontId="28" fillId="15" borderId="35" xfId="2" applyNumberFormat="1" applyFont="1" applyFill="1" applyBorder="1" applyAlignment="1" applyProtection="1">
      <alignment horizontal="right" vertical="center"/>
    </xf>
    <xf numFmtId="0" fontId="23" fillId="0" borderId="1" xfId="0" applyFont="1" applyBorder="1" applyAlignment="1">
      <alignment horizontal="right" vertical="center"/>
    </xf>
    <xf numFmtId="0" fontId="23" fillId="0" borderId="0" xfId="0" applyFont="1" applyAlignment="1">
      <alignment horizontal="right" vertical="center"/>
    </xf>
    <xf numFmtId="0" fontId="23" fillId="18" borderId="67" xfId="0" applyFont="1" applyFill="1" applyBorder="1" applyAlignment="1" applyProtection="1">
      <alignment horizontal="center" vertical="center"/>
      <protection locked="0"/>
    </xf>
    <xf numFmtId="0" fontId="23" fillId="18" borderId="68" xfId="0" applyFont="1" applyFill="1" applyBorder="1" applyAlignment="1" applyProtection="1">
      <alignment horizontal="center" vertical="center"/>
      <protection locked="0"/>
    </xf>
    <xf numFmtId="0" fontId="3" fillId="19" borderId="0" xfId="4" applyFill="1" applyBorder="1" applyAlignment="1" applyProtection="1">
      <alignment horizontal="center" vertical="center"/>
    </xf>
    <xf numFmtId="0" fontId="23" fillId="3" borderId="69" xfId="0" applyFont="1" applyFill="1" applyBorder="1" applyAlignment="1">
      <alignment horizontal="center" vertical="center" wrapText="1"/>
    </xf>
    <xf numFmtId="0" fontId="23" fillId="3" borderId="74" xfId="0" applyFont="1" applyFill="1" applyBorder="1" applyAlignment="1">
      <alignment horizontal="center" vertical="center" wrapText="1"/>
    </xf>
    <xf numFmtId="0" fontId="23" fillId="7" borderId="70" xfId="0" applyFont="1" applyFill="1" applyBorder="1" applyAlignment="1">
      <alignment horizontal="center" vertical="center" wrapText="1"/>
    </xf>
    <xf numFmtId="0" fontId="23" fillId="7" borderId="75" xfId="0" applyFont="1" applyFill="1" applyBorder="1" applyAlignment="1">
      <alignment horizontal="center" vertical="center" wrapText="1"/>
    </xf>
    <xf numFmtId="165" fontId="23" fillId="7" borderId="211" xfId="0" applyNumberFormat="1" applyFont="1" applyFill="1" applyBorder="1" applyAlignment="1">
      <alignment horizontal="center" vertical="center" wrapText="1"/>
    </xf>
    <xf numFmtId="165" fontId="23" fillId="7" borderId="215" xfId="0" applyNumberFormat="1" applyFont="1" applyFill="1" applyBorder="1" applyAlignment="1">
      <alignment horizontal="center" vertical="center" wrapText="1"/>
    </xf>
    <xf numFmtId="165" fontId="23" fillId="7" borderId="196" xfId="0" applyNumberFormat="1" applyFont="1" applyFill="1" applyBorder="1" applyAlignment="1">
      <alignment horizontal="center" vertical="center" wrapText="1"/>
    </xf>
    <xf numFmtId="165" fontId="29" fillId="58" borderId="4" xfId="0" applyNumberFormat="1" applyFont="1" applyFill="1" applyBorder="1" applyAlignment="1">
      <alignment horizontal="center" vertical="center" wrapText="1"/>
    </xf>
    <xf numFmtId="165" fontId="29" fillId="58" borderId="71" xfId="0" applyNumberFormat="1" applyFont="1" applyFill="1" applyBorder="1" applyAlignment="1">
      <alignment horizontal="center" vertical="center" wrapText="1"/>
    </xf>
    <xf numFmtId="165" fontId="29" fillId="58" borderId="11" xfId="0" applyNumberFormat="1" applyFont="1" applyFill="1" applyBorder="1" applyAlignment="1">
      <alignment horizontal="center" vertical="center" wrapText="1"/>
    </xf>
    <xf numFmtId="0" fontId="23" fillId="3" borderId="40" xfId="0" applyFont="1" applyFill="1" applyBorder="1" applyAlignment="1">
      <alignment horizontal="center" vertical="center" wrapText="1"/>
    </xf>
    <xf numFmtId="0" fontId="23" fillId="3" borderId="134" xfId="0" applyFont="1" applyFill="1" applyBorder="1" applyAlignment="1">
      <alignment horizontal="center" vertical="center" wrapText="1"/>
    </xf>
    <xf numFmtId="0" fontId="23" fillId="7" borderId="42" xfId="0" applyFont="1" applyFill="1" applyBorder="1" applyAlignment="1">
      <alignment horizontal="center" vertical="center" wrapText="1"/>
    </xf>
    <xf numFmtId="0" fontId="23" fillId="7" borderId="135" xfId="0" applyFont="1" applyFill="1" applyBorder="1" applyAlignment="1">
      <alignment horizontal="center" vertical="center" wrapText="1"/>
    </xf>
    <xf numFmtId="165" fontId="29" fillId="11" borderId="65" xfId="0" applyNumberFormat="1" applyFont="1" applyFill="1" applyBorder="1" applyAlignment="1">
      <alignment horizontal="center" vertical="center" wrapText="1"/>
    </xf>
    <xf numFmtId="165" fontId="29" fillId="11" borderId="5" xfId="0" applyNumberFormat="1" applyFont="1" applyFill="1" applyBorder="1" applyAlignment="1">
      <alignment horizontal="center" vertical="center" wrapText="1"/>
    </xf>
    <xf numFmtId="165" fontId="29" fillId="11" borderId="6" xfId="0" applyNumberFormat="1" applyFont="1" applyFill="1" applyBorder="1" applyAlignment="1">
      <alignment horizontal="center" vertical="center" wrapText="1"/>
    </xf>
    <xf numFmtId="165" fontId="29" fillId="57" borderId="4" xfId="0" applyNumberFormat="1" applyFont="1" applyFill="1" applyBorder="1" applyAlignment="1">
      <alignment horizontal="center" vertical="center" wrapText="1"/>
    </xf>
    <xf numFmtId="165" fontId="29" fillId="57" borderId="71" xfId="0" applyNumberFormat="1" applyFont="1" applyFill="1" applyBorder="1" applyAlignment="1">
      <alignment horizontal="center" vertical="center" wrapText="1"/>
    </xf>
    <xf numFmtId="165" fontId="29" fillId="57" borderId="11" xfId="0" applyNumberFormat="1" applyFont="1" applyFill="1" applyBorder="1" applyAlignment="1">
      <alignment horizontal="center" vertical="center" wrapText="1"/>
    </xf>
    <xf numFmtId="0" fontId="23" fillId="7" borderId="73" xfId="0" applyFont="1" applyFill="1" applyBorder="1" applyAlignment="1">
      <alignment horizontal="center" vertical="center" wrapText="1"/>
    </xf>
    <xf numFmtId="0" fontId="23" fillId="7" borderId="79" xfId="0" applyFont="1" applyFill="1" applyBorder="1" applyAlignment="1">
      <alignment horizontal="center" vertical="center" wrapText="1"/>
    </xf>
    <xf numFmtId="0" fontId="23" fillId="21" borderId="69" xfId="0" applyFont="1" applyFill="1" applyBorder="1" applyAlignment="1">
      <alignment horizontal="center" vertical="center" wrapText="1"/>
    </xf>
    <xf numFmtId="0" fontId="23" fillId="21" borderId="80" xfId="0" applyFont="1" applyFill="1" applyBorder="1" applyAlignment="1">
      <alignment horizontal="center" vertical="center" wrapText="1"/>
    </xf>
    <xf numFmtId="0" fontId="23" fillId="21" borderId="84" xfId="0" applyFont="1" applyFill="1" applyBorder="1" applyAlignment="1">
      <alignment horizontal="center" vertical="center" wrapText="1"/>
    </xf>
    <xf numFmtId="0" fontId="23" fillId="0" borderId="40"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8" xfId="0" applyFont="1" applyBorder="1" applyAlignment="1">
      <alignment horizontal="center" vertical="center" wrapText="1"/>
    </xf>
    <xf numFmtId="168" fontId="0" fillId="23" borderId="80" xfId="2" applyNumberFormat="1" applyFont="1" applyFill="1" applyBorder="1" applyAlignment="1" applyProtection="1">
      <alignment horizontal="center" vertical="center"/>
    </xf>
    <xf numFmtId="168" fontId="0" fillId="23" borderId="81" xfId="2" applyNumberFormat="1" applyFont="1" applyFill="1" applyBorder="1" applyAlignment="1" applyProtection="1">
      <alignment horizontal="center" vertical="center"/>
    </xf>
    <xf numFmtId="168" fontId="0" fillId="23" borderId="82" xfId="2" applyNumberFormat="1" applyFont="1" applyFill="1" applyBorder="1" applyAlignment="1" applyProtection="1">
      <alignment horizontal="center" vertical="center"/>
    </xf>
    <xf numFmtId="168" fontId="0" fillId="23" borderId="201" xfId="2" applyNumberFormat="1" applyFont="1" applyFill="1" applyBorder="1" applyAlignment="1" applyProtection="1">
      <alignment horizontal="center" vertical="center"/>
    </xf>
    <xf numFmtId="168" fontId="0" fillId="23" borderId="202" xfId="2" applyNumberFormat="1" applyFont="1" applyFill="1" applyBorder="1" applyAlignment="1" applyProtection="1">
      <alignment horizontal="center" vertical="center"/>
    </xf>
    <xf numFmtId="168" fontId="0" fillId="23" borderId="203" xfId="2" applyNumberFormat="1" applyFont="1" applyFill="1" applyBorder="1" applyAlignment="1" applyProtection="1">
      <alignment horizontal="center" vertical="center"/>
    </xf>
    <xf numFmtId="9" fontId="0" fillId="23" borderId="201" xfId="2" applyNumberFormat="1" applyFont="1" applyFill="1" applyBorder="1" applyAlignment="1" applyProtection="1">
      <alignment horizontal="center" vertical="center"/>
    </xf>
    <xf numFmtId="9" fontId="0" fillId="23" borderId="202" xfId="2" applyNumberFormat="1" applyFont="1" applyFill="1" applyBorder="1" applyAlignment="1" applyProtection="1">
      <alignment horizontal="center" vertical="center"/>
    </xf>
    <xf numFmtId="9" fontId="0" fillId="23" borderId="203" xfId="2" applyNumberFormat="1" applyFont="1" applyFill="1" applyBorder="1" applyAlignment="1" applyProtection="1">
      <alignment horizontal="center" vertical="center"/>
    </xf>
    <xf numFmtId="0" fontId="23" fillId="21" borderId="70" xfId="0" applyFont="1" applyFill="1" applyBorder="1" applyAlignment="1">
      <alignment horizontal="center" vertical="center" wrapText="1"/>
    </xf>
    <xf numFmtId="0" fontId="23" fillId="21" borderId="224" xfId="0" applyFont="1" applyFill="1" applyBorder="1" applyAlignment="1">
      <alignment horizontal="center" vertical="center" wrapText="1"/>
    </xf>
    <xf numFmtId="0" fontId="23" fillId="21" borderId="85" xfId="0" applyFont="1" applyFill="1" applyBorder="1" applyAlignment="1">
      <alignment horizontal="center" vertical="center" wrapText="1"/>
    </xf>
    <xf numFmtId="0" fontId="23" fillId="0" borderId="134" xfId="0" applyFont="1" applyBorder="1" applyAlignment="1">
      <alignment horizontal="center" vertical="center" wrapText="1"/>
    </xf>
    <xf numFmtId="168" fontId="0" fillId="23" borderId="86" xfId="2" applyNumberFormat="1" applyFont="1" applyFill="1" applyBorder="1" applyAlignment="1" applyProtection="1">
      <alignment horizontal="center" vertical="center"/>
    </xf>
    <xf numFmtId="168" fontId="0" fillId="23" borderId="240" xfId="2" applyNumberFormat="1" applyFont="1" applyFill="1" applyBorder="1" applyAlignment="1" applyProtection="1">
      <alignment horizontal="center" vertical="center"/>
    </xf>
    <xf numFmtId="168" fontId="0" fillId="23" borderId="241" xfId="2" applyNumberFormat="1" applyFont="1" applyFill="1" applyBorder="1" applyAlignment="1" applyProtection="1">
      <alignment horizontal="center" vertical="center"/>
    </xf>
    <xf numFmtId="9" fontId="0" fillId="23" borderId="44" xfId="2" applyNumberFormat="1" applyFont="1" applyFill="1" applyBorder="1" applyAlignment="1" applyProtection="1">
      <alignment horizontal="center" vertical="center"/>
    </xf>
    <xf numFmtId="9" fontId="0" fillId="23" borderId="15" xfId="2" applyNumberFormat="1" applyFont="1" applyFill="1" applyBorder="1" applyAlignment="1" applyProtection="1">
      <alignment horizontal="center" vertical="center"/>
    </xf>
    <xf numFmtId="9" fontId="0" fillId="23" borderId="46" xfId="2" applyNumberFormat="1" applyFont="1" applyFill="1" applyBorder="1" applyAlignment="1" applyProtection="1">
      <alignment horizontal="center" vertical="center"/>
    </xf>
    <xf numFmtId="9" fontId="0" fillId="23" borderId="90" xfId="2" applyNumberFormat="1" applyFont="1" applyFill="1" applyBorder="1" applyAlignment="1" applyProtection="1">
      <alignment horizontal="center" vertical="center"/>
    </xf>
    <xf numFmtId="9" fontId="0" fillId="23" borderId="91" xfId="2" applyNumberFormat="1" applyFont="1" applyFill="1" applyBorder="1" applyAlignment="1" applyProtection="1">
      <alignment horizontal="center" vertical="center"/>
    </xf>
    <xf numFmtId="9" fontId="0" fillId="23" borderId="93" xfId="2" applyNumberFormat="1" applyFont="1" applyFill="1" applyBorder="1" applyAlignment="1" applyProtection="1">
      <alignment horizontal="center" vertical="center"/>
    </xf>
    <xf numFmtId="0" fontId="0" fillId="0" borderId="0" xfId="0" applyAlignment="1">
      <alignment horizontal="center"/>
    </xf>
    <xf numFmtId="0" fontId="11" fillId="21" borderId="86" xfId="0" applyFont="1" applyFill="1" applyBorder="1" applyAlignment="1">
      <alignment horizontal="center" vertical="center" wrapText="1"/>
    </xf>
    <xf numFmtId="0" fontId="11" fillId="21" borderId="80" xfId="0" applyFont="1" applyFill="1" applyBorder="1" applyAlignment="1">
      <alignment horizontal="center" vertical="center" wrapText="1"/>
    </xf>
    <xf numFmtId="0" fontId="11" fillId="21" borderId="74" xfId="0" applyFont="1" applyFill="1" applyBorder="1" applyAlignment="1">
      <alignment horizontal="center" vertical="center" wrapText="1"/>
    </xf>
    <xf numFmtId="168" fontId="0" fillId="23" borderId="152" xfId="2" applyNumberFormat="1" applyFont="1" applyFill="1" applyBorder="1" applyAlignment="1" applyProtection="1">
      <alignment horizontal="center" vertical="center"/>
    </xf>
    <xf numFmtId="168" fontId="0" fillId="23" borderId="197" xfId="2" applyNumberFormat="1" applyFont="1" applyFill="1" applyBorder="1" applyAlignment="1" applyProtection="1">
      <alignment horizontal="center" vertical="center"/>
    </xf>
    <xf numFmtId="168" fontId="0" fillId="23" borderId="140" xfId="2" applyNumberFormat="1" applyFont="1" applyFill="1" applyBorder="1" applyAlignment="1" applyProtection="1">
      <alignment horizontal="center" vertical="center"/>
    </xf>
    <xf numFmtId="0" fontId="5" fillId="3" borderId="69"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5" fillId="7" borderId="69" xfId="0" applyFont="1" applyFill="1" applyBorder="1" applyAlignment="1">
      <alignment horizontal="center" vertical="center" wrapText="1"/>
    </xf>
    <xf numFmtId="0" fontId="5" fillId="7" borderId="181" xfId="0" applyFont="1" applyFill="1" applyBorder="1" applyAlignment="1">
      <alignment horizontal="center" vertical="center" wrapText="1"/>
    </xf>
    <xf numFmtId="165" fontId="8" fillId="20" borderId="211" xfId="0" applyNumberFormat="1" applyFont="1" applyFill="1" applyBorder="1" applyAlignment="1">
      <alignment horizontal="center" vertical="center" wrapText="1"/>
    </xf>
    <xf numFmtId="165" fontId="8" fillId="20" borderId="215" xfId="0" applyNumberFormat="1" applyFont="1" applyFill="1" applyBorder="1" applyAlignment="1">
      <alignment horizontal="center" vertical="center" wrapText="1"/>
    </xf>
    <xf numFmtId="165" fontId="8" fillId="20" borderId="196" xfId="0" applyNumberFormat="1" applyFont="1" applyFill="1" applyBorder="1" applyAlignment="1">
      <alignment horizontal="center" vertical="center" wrapText="1"/>
    </xf>
    <xf numFmtId="0" fontId="11" fillId="21" borderId="69" xfId="0" applyFont="1" applyFill="1" applyBorder="1" applyAlignment="1">
      <alignment horizontal="center" vertical="center" wrapText="1"/>
    </xf>
    <xf numFmtId="0" fontId="11" fillId="21" borderId="201" xfId="0" applyFont="1" applyFill="1" applyBorder="1" applyAlignment="1">
      <alignment horizontal="center" vertical="center" wrapText="1"/>
    </xf>
    <xf numFmtId="0" fontId="11" fillId="21" borderId="226" xfId="0" applyFont="1" applyFill="1" applyBorder="1" applyAlignment="1">
      <alignment horizontal="center" vertical="center" wrapText="1"/>
    </xf>
    <xf numFmtId="0" fontId="3" fillId="19" borderId="0" xfId="4" applyFill="1" applyBorder="1" applyAlignment="1" applyProtection="1">
      <alignment horizontal="left" vertical="center" indent="2"/>
    </xf>
    <xf numFmtId="0" fontId="12" fillId="7" borderId="35" xfId="0" applyFont="1" applyFill="1" applyBorder="1" applyAlignment="1">
      <alignment horizontal="center" vertical="center"/>
    </xf>
    <xf numFmtId="0" fontId="12" fillId="7" borderId="38" xfId="0" applyFont="1" applyFill="1" applyBorder="1" applyAlignment="1">
      <alignment horizontal="center" vertical="center"/>
    </xf>
    <xf numFmtId="0" fontId="5" fillId="20" borderId="35" xfId="0" applyFont="1" applyFill="1" applyBorder="1" applyAlignment="1">
      <alignment horizontal="center" vertical="center"/>
    </xf>
    <xf numFmtId="0" fontId="5" fillId="20" borderId="38"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38" xfId="0" applyFont="1" applyFill="1" applyBorder="1" applyAlignment="1">
      <alignment horizontal="center" vertical="center"/>
    </xf>
    <xf numFmtId="0" fontId="12" fillId="7" borderId="35"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20" borderId="2" xfId="0" applyFont="1" applyFill="1" applyBorder="1" applyAlignment="1">
      <alignment horizontal="center" vertical="center"/>
    </xf>
    <xf numFmtId="0" fontId="12" fillId="20" borderId="21" xfId="0" applyFont="1" applyFill="1" applyBorder="1" applyAlignment="1">
      <alignment horizontal="center" vertical="center"/>
    </xf>
    <xf numFmtId="0" fontId="12" fillId="20" borderId="3" xfId="0" applyFont="1" applyFill="1" applyBorder="1" applyAlignment="1">
      <alignment horizontal="center" vertical="center"/>
    </xf>
    <xf numFmtId="44" fontId="5" fillId="25" borderId="36" xfId="2" applyFont="1" applyFill="1" applyBorder="1" applyAlignment="1" applyProtection="1">
      <alignment horizontal="center" vertical="center" wrapText="1"/>
    </xf>
    <xf numFmtId="44" fontId="5" fillId="25" borderId="107" xfId="2" applyFont="1" applyFill="1" applyBorder="1" applyAlignment="1" applyProtection="1">
      <alignment horizontal="center" vertical="center" wrapText="1"/>
    </xf>
    <xf numFmtId="0" fontId="12" fillId="20" borderId="15" xfId="0" applyFont="1" applyFill="1" applyBorder="1" applyAlignment="1" applyProtection="1">
      <alignment horizontal="center" vertical="center"/>
      <protection locked="0"/>
    </xf>
    <xf numFmtId="0" fontId="8" fillId="0" borderId="91"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10" xfId="0" applyFont="1" applyBorder="1" applyAlignment="1">
      <alignment horizontal="center" vertical="center" wrapText="1"/>
    </xf>
    <xf numFmtId="0" fontId="12" fillId="7" borderId="114" xfId="0" applyFont="1" applyFill="1" applyBorder="1" applyAlignment="1">
      <alignment horizontal="center" vertical="center"/>
    </xf>
    <xf numFmtId="0" fontId="5" fillId="20" borderId="114" xfId="0" applyFont="1" applyFill="1" applyBorder="1" applyAlignment="1">
      <alignment horizontal="center" vertical="center"/>
    </xf>
    <xf numFmtId="0" fontId="5" fillId="20" borderId="55" xfId="0" applyFont="1" applyFill="1" applyBorder="1" applyAlignment="1">
      <alignment horizontal="center" vertical="center"/>
    </xf>
    <xf numFmtId="0" fontId="12" fillId="3" borderId="114" xfId="0" applyFont="1" applyFill="1" applyBorder="1" applyAlignment="1">
      <alignment horizontal="center" vertical="center"/>
    </xf>
    <xf numFmtId="0" fontId="12" fillId="3" borderId="55" xfId="0" applyFont="1" applyFill="1" applyBorder="1" applyAlignment="1">
      <alignment horizontal="center" vertical="center"/>
    </xf>
    <xf numFmtId="0" fontId="12" fillId="7" borderId="114" xfId="0" applyFont="1" applyFill="1" applyBorder="1" applyAlignment="1">
      <alignment horizontal="center" vertical="center" wrapText="1"/>
    </xf>
    <xf numFmtId="0" fontId="12" fillId="7" borderId="55" xfId="0" applyFont="1" applyFill="1" applyBorder="1" applyAlignment="1">
      <alignment horizontal="center" vertical="center" wrapText="1"/>
    </xf>
    <xf numFmtId="0" fontId="12" fillId="20" borderId="115" xfId="0" applyFont="1" applyFill="1" applyBorder="1" applyAlignment="1">
      <alignment horizontal="center" vertical="center"/>
    </xf>
    <xf numFmtId="0" fontId="12" fillId="20" borderId="116" xfId="0" applyFont="1" applyFill="1" applyBorder="1" applyAlignment="1">
      <alignment horizontal="center" vertical="center"/>
    </xf>
    <xf numFmtId="0" fontId="12" fillId="20" borderId="117" xfId="0" applyFont="1" applyFill="1" applyBorder="1" applyAlignment="1">
      <alignment horizontal="center" vertical="center"/>
    </xf>
    <xf numFmtId="44" fontId="5" fillId="25" borderId="118" xfId="2" applyFont="1" applyFill="1" applyBorder="1" applyAlignment="1" applyProtection="1">
      <alignment horizontal="center" vertical="center" wrapText="1"/>
    </xf>
    <xf numFmtId="0" fontId="12" fillId="20" borderId="113" xfId="0" applyFont="1" applyFill="1" applyBorder="1" applyAlignment="1" applyProtection="1">
      <alignment horizontal="center" vertical="center"/>
      <protection locked="0"/>
    </xf>
    <xf numFmtId="0" fontId="8" fillId="0" borderId="120" xfId="0" applyFont="1" applyBorder="1" applyAlignment="1">
      <alignment horizontal="center" vertical="center" wrapText="1"/>
    </xf>
    <xf numFmtId="0" fontId="8" fillId="0" borderId="125"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124" xfId="0" applyFont="1" applyBorder="1" applyAlignment="1">
      <alignment horizontal="center" vertical="center" wrapText="1"/>
    </xf>
    <xf numFmtId="0" fontId="5" fillId="38" borderId="113" xfId="0" applyFont="1" applyFill="1" applyBorder="1" applyAlignment="1">
      <alignment horizontal="center" vertical="center"/>
    </xf>
    <xf numFmtId="0" fontId="12" fillId="7" borderId="118" xfId="0" applyFont="1" applyFill="1" applyBorder="1" applyAlignment="1">
      <alignment horizontal="center" vertical="center"/>
    </xf>
    <xf numFmtId="0" fontId="12" fillId="7" borderId="107" xfId="0" applyFont="1" applyFill="1" applyBorder="1" applyAlignment="1">
      <alignment horizontal="center" vertical="center"/>
    </xf>
    <xf numFmtId="0" fontId="5" fillId="20" borderId="113" xfId="0" applyFont="1" applyFill="1" applyBorder="1" applyAlignment="1">
      <alignment horizontal="center" vertical="center"/>
    </xf>
    <xf numFmtId="0" fontId="12" fillId="3" borderId="113" xfId="0" applyFont="1" applyFill="1" applyBorder="1" applyAlignment="1">
      <alignment horizontal="center" vertical="center"/>
    </xf>
    <xf numFmtId="0" fontId="12" fillId="7" borderId="113" xfId="0" applyFont="1" applyFill="1" applyBorder="1" applyAlignment="1">
      <alignment horizontal="center" vertical="center" wrapText="1"/>
    </xf>
    <xf numFmtId="0" fontId="12" fillId="20" borderId="113" xfId="0" applyFont="1" applyFill="1" applyBorder="1" applyAlignment="1">
      <alignment horizontal="center" vertical="center"/>
    </xf>
    <xf numFmtId="44" fontId="5" fillId="25" borderId="113" xfId="2" applyFont="1" applyFill="1" applyBorder="1" applyAlignment="1" applyProtection="1">
      <alignment horizontal="center" vertical="center" wrapText="1"/>
    </xf>
    <xf numFmtId="0" fontId="12" fillId="20" borderId="123" xfId="0" applyFont="1" applyFill="1" applyBorder="1" applyAlignment="1" applyProtection="1">
      <alignment horizontal="center" vertical="center"/>
      <protection locked="0"/>
    </xf>
    <xf numFmtId="0" fontId="8" fillId="2" borderId="227" xfId="0" applyFont="1" applyFill="1" applyBorder="1" applyAlignment="1" applyProtection="1">
      <alignment horizontal="center" vertical="center"/>
      <protection locked="0"/>
    </xf>
    <xf numFmtId="0" fontId="8" fillId="2" borderId="228" xfId="0" applyFont="1" applyFill="1" applyBorder="1" applyAlignment="1" applyProtection="1">
      <alignment horizontal="center" vertical="center"/>
      <protection locked="0"/>
    </xf>
    <xf numFmtId="0" fontId="15" fillId="0" borderId="0" xfId="0" applyFont="1" applyAlignment="1">
      <alignment horizontal="center" vertical="center"/>
    </xf>
    <xf numFmtId="0" fontId="15" fillId="0" borderId="0" xfId="0" applyFont="1" applyAlignment="1">
      <alignment horizontal="center" vertical="center" wrapText="1"/>
    </xf>
    <xf numFmtId="0" fontId="5" fillId="0" borderId="0" xfId="0" applyFont="1" applyAlignment="1">
      <alignment horizontal="center" vertical="center"/>
    </xf>
    <xf numFmtId="0" fontId="5" fillId="7" borderId="211" xfId="0" applyFont="1" applyFill="1" applyBorder="1" applyAlignment="1">
      <alignment horizontal="center" vertical="center" wrapText="1"/>
    </xf>
    <xf numFmtId="0" fontId="5" fillId="7" borderId="128" xfId="0" applyFont="1" applyFill="1" applyBorder="1" applyAlignment="1">
      <alignment horizontal="center" vertical="center" wrapText="1"/>
    </xf>
    <xf numFmtId="0" fontId="5" fillId="7" borderId="101" xfId="0" applyFont="1" applyFill="1" applyBorder="1" applyAlignment="1">
      <alignment horizontal="center" vertical="center" wrapText="1"/>
    </xf>
    <xf numFmtId="0" fontId="5" fillId="7" borderId="105" xfId="0" applyFont="1" applyFill="1" applyBorder="1" applyAlignment="1">
      <alignment horizontal="center" vertical="center" wrapText="1"/>
    </xf>
    <xf numFmtId="0" fontId="5" fillId="7" borderId="216" xfId="0" applyFont="1" applyFill="1" applyBorder="1" applyAlignment="1">
      <alignment horizontal="center" vertical="center"/>
    </xf>
    <xf numFmtId="0" fontId="5" fillId="7" borderId="103" xfId="0" applyFont="1" applyFill="1" applyBorder="1" applyAlignment="1">
      <alignment horizontal="center" vertical="center"/>
    </xf>
    <xf numFmtId="0" fontId="5" fillId="7" borderId="216" xfId="0" applyFont="1" applyFill="1" applyBorder="1" applyAlignment="1">
      <alignment horizontal="center" vertical="center" wrapText="1"/>
    </xf>
    <xf numFmtId="0" fontId="5" fillId="7" borderId="103" xfId="0" applyFont="1" applyFill="1" applyBorder="1" applyAlignment="1">
      <alignment horizontal="center" vertical="center" wrapText="1"/>
    </xf>
    <xf numFmtId="0" fontId="11" fillId="7" borderId="229" xfId="0" applyFont="1" applyFill="1" applyBorder="1" applyAlignment="1">
      <alignment horizontal="center" vertical="center" wrapText="1"/>
    </xf>
    <xf numFmtId="0" fontId="11" fillId="7" borderId="215" xfId="0" applyFont="1" applyFill="1" applyBorder="1" applyAlignment="1">
      <alignment horizontal="center" vertical="center" wrapText="1"/>
    </xf>
    <xf numFmtId="0" fontId="11" fillId="7" borderId="196" xfId="0" applyFont="1" applyFill="1" applyBorder="1" applyAlignment="1">
      <alignment horizontal="center" vertical="center" wrapText="1"/>
    </xf>
    <xf numFmtId="0" fontId="5" fillId="40" borderId="213" xfId="0" applyFont="1" applyFill="1" applyBorder="1" applyAlignment="1">
      <alignment horizontal="center" vertical="center" wrapText="1"/>
    </xf>
    <xf numFmtId="0" fontId="5" fillId="40" borderId="106" xfId="0" applyFont="1" applyFill="1" applyBorder="1" applyAlignment="1">
      <alignment horizontal="center" vertical="center" wrapText="1"/>
    </xf>
    <xf numFmtId="0" fontId="9" fillId="41" borderId="69" xfId="0" applyFont="1" applyFill="1" applyBorder="1" applyAlignment="1">
      <alignment horizontal="center" vertical="center"/>
    </xf>
    <xf numFmtId="0" fontId="9" fillId="41" borderId="130" xfId="0" applyFont="1" applyFill="1" applyBorder="1" applyAlignment="1">
      <alignment horizontal="center" vertical="center"/>
    </xf>
    <xf numFmtId="0" fontId="9" fillId="42" borderId="69" xfId="0" applyFont="1" applyFill="1" applyBorder="1" applyAlignment="1">
      <alignment horizontal="center" vertical="center"/>
    </xf>
    <xf numFmtId="0" fontId="9" fillId="42" borderId="131" xfId="0" applyFont="1" applyFill="1" applyBorder="1" applyAlignment="1">
      <alignment horizontal="center" vertical="center"/>
    </xf>
    <xf numFmtId="0" fontId="9" fillId="43" borderId="130" xfId="0" applyFont="1" applyFill="1" applyBorder="1" applyAlignment="1">
      <alignment horizontal="center" vertical="center"/>
    </xf>
    <xf numFmtId="0" fontId="9" fillId="43" borderId="69" xfId="0" applyFont="1" applyFill="1" applyBorder="1" applyAlignment="1">
      <alignment horizontal="center" vertical="center"/>
    </xf>
    <xf numFmtId="0" fontId="9" fillId="43" borderId="131" xfId="0" applyFont="1" applyFill="1" applyBorder="1" applyAlignment="1">
      <alignment horizontal="center" vertical="center"/>
    </xf>
    <xf numFmtId="0" fontId="16" fillId="42" borderId="226" xfId="0" applyFont="1" applyFill="1" applyBorder="1" applyAlignment="1">
      <alignment horizontal="center" vertical="center"/>
    </xf>
    <xf numFmtId="0" fontId="16" fillId="42" borderId="212" xfId="0" applyFont="1" applyFill="1" applyBorder="1" applyAlignment="1">
      <alignment horizontal="center" vertical="center"/>
    </xf>
    <xf numFmtId="0" fontId="16" fillId="43" borderId="226" xfId="0" applyFont="1" applyFill="1" applyBorder="1" applyAlignment="1">
      <alignment horizontal="center" vertical="center"/>
    </xf>
    <xf numFmtId="0" fontId="16" fillId="43" borderId="212" xfId="0" applyFont="1" applyFill="1" applyBorder="1" applyAlignment="1">
      <alignment horizontal="center" vertical="center"/>
    </xf>
    <xf numFmtId="0" fontId="17" fillId="43" borderId="196" xfId="0" applyFont="1" applyFill="1" applyBorder="1" applyAlignment="1">
      <alignment horizontal="center" vertical="center" textRotation="90" wrapText="1"/>
    </xf>
    <xf numFmtId="0" fontId="17" fillId="43" borderId="178" xfId="0" applyFont="1" applyFill="1" applyBorder="1" applyAlignment="1">
      <alignment horizontal="center" vertical="center" textRotation="90" wrapText="1"/>
    </xf>
    <xf numFmtId="0" fontId="17" fillId="43" borderId="142" xfId="0" applyFont="1" applyFill="1" applyBorder="1" applyAlignment="1">
      <alignment horizontal="center" vertical="center" textRotation="90" wrapText="1"/>
    </xf>
    <xf numFmtId="0" fontId="8" fillId="2" borderId="70" xfId="0" applyFont="1" applyFill="1" applyBorder="1" applyAlignment="1" applyProtection="1">
      <alignment horizontal="left" vertical="center" wrapText="1"/>
      <protection locked="0"/>
    </xf>
    <xf numFmtId="0" fontId="8" fillId="2" borderId="224" xfId="0" applyFont="1" applyFill="1" applyBorder="1" applyAlignment="1" applyProtection="1">
      <alignment horizontal="left" vertical="center" wrapText="1"/>
      <protection locked="0"/>
    </xf>
    <xf numFmtId="0" fontId="8" fillId="2" borderId="28" xfId="0" applyFont="1" applyFill="1" applyBorder="1" applyAlignment="1" applyProtection="1">
      <alignment horizontal="left" vertical="center" wrapText="1"/>
      <protection locked="0"/>
    </xf>
    <xf numFmtId="176" fontId="0" fillId="40" borderId="94" xfId="0" applyNumberFormat="1" applyFill="1" applyBorder="1" applyAlignment="1">
      <alignment horizontal="center" vertical="center"/>
    </xf>
    <xf numFmtId="176" fontId="0" fillId="40" borderId="138" xfId="0" applyNumberFormat="1" applyFill="1" applyBorder="1" applyAlignment="1">
      <alignment horizontal="center" vertical="center"/>
    </xf>
    <xf numFmtId="0" fontId="8" fillId="2" borderId="213" xfId="0" applyFont="1" applyFill="1" applyBorder="1" applyAlignment="1" applyProtection="1">
      <alignment horizontal="left" vertical="center" wrapText="1"/>
      <protection locked="0"/>
    </xf>
    <xf numFmtId="0" fontId="8" fillId="2" borderId="79" xfId="0" applyFont="1" applyFill="1" applyBorder="1" applyAlignment="1" applyProtection="1">
      <alignment horizontal="left" vertical="center" wrapText="1"/>
      <protection locked="0"/>
    </xf>
    <xf numFmtId="0" fontId="8" fillId="2" borderId="106" xfId="0" applyFont="1" applyFill="1" applyBorder="1" applyAlignment="1" applyProtection="1">
      <alignment horizontal="left" vertical="center" wrapText="1"/>
      <protection locked="0"/>
    </xf>
    <xf numFmtId="0" fontId="12" fillId="3" borderId="232"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2" fillId="7" borderId="197" xfId="0" applyFont="1" applyFill="1" applyBorder="1" applyAlignment="1">
      <alignment horizontal="center" vertical="center" wrapText="1"/>
    </xf>
    <xf numFmtId="0" fontId="9" fillId="41" borderId="40" xfId="0" applyFont="1" applyFill="1" applyBorder="1" applyAlignment="1">
      <alignment horizontal="center" vertical="center"/>
    </xf>
    <xf numFmtId="0" fontId="9" fillId="41" borderId="41" xfId="0" applyFont="1" applyFill="1" applyBorder="1" applyAlignment="1">
      <alignment horizontal="center" vertical="center"/>
    </xf>
    <xf numFmtId="0" fontId="9" fillId="42" borderId="40" xfId="0" applyFont="1" applyFill="1" applyBorder="1" applyAlignment="1">
      <alignment horizontal="center" vertical="center"/>
    </xf>
    <xf numFmtId="0" fontId="9" fillId="42" borderId="42" xfId="0" applyFont="1" applyFill="1" applyBorder="1" applyAlignment="1">
      <alignment horizontal="center" vertical="center"/>
    </xf>
    <xf numFmtId="0" fontId="9" fillId="43" borderId="133" xfId="0" applyFont="1" applyFill="1" applyBorder="1" applyAlignment="1">
      <alignment horizontal="center" vertical="center"/>
    </xf>
    <xf numFmtId="0" fontId="9" fillId="43" borderId="42" xfId="0" applyFont="1" applyFill="1" applyBorder="1" applyAlignment="1">
      <alignment horizontal="center" vertical="center"/>
    </xf>
    <xf numFmtId="0" fontId="9" fillId="41" borderId="131" xfId="0" applyFont="1" applyFill="1" applyBorder="1" applyAlignment="1">
      <alignment horizontal="center" vertical="center"/>
    </xf>
    <xf numFmtId="0" fontId="16" fillId="41" borderId="226" xfId="0" applyFont="1" applyFill="1" applyBorder="1" applyAlignment="1">
      <alignment horizontal="center" vertical="center"/>
    </xf>
    <xf numFmtId="0" fontId="16" fillId="41" borderId="212" xfId="0" applyFont="1" applyFill="1" applyBorder="1" applyAlignment="1">
      <alignment horizontal="center" vertical="center"/>
    </xf>
    <xf numFmtId="0" fontId="5" fillId="7" borderId="213" xfId="0" applyFont="1" applyFill="1" applyBorder="1" applyAlignment="1">
      <alignment horizontal="center" vertical="center" wrapText="1"/>
    </xf>
    <xf numFmtId="0" fontId="5" fillId="7" borderId="106" xfId="0" applyFont="1" applyFill="1" applyBorder="1" applyAlignment="1">
      <alignment horizontal="center" vertical="center" wrapText="1"/>
    </xf>
    <xf numFmtId="0" fontId="5" fillId="20" borderId="232" xfId="0" applyFont="1" applyFill="1" applyBorder="1" applyAlignment="1">
      <alignment horizontal="center" vertical="center" wrapText="1"/>
    </xf>
    <xf numFmtId="0" fontId="5" fillId="20" borderId="88" xfId="0" applyFont="1" applyFill="1" applyBorder="1" applyAlignment="1">
      <alignment horizontal="center" vertical="center" wrapText="1"/>
    </xf>
    <xf numFmtId="0" fontId="8" fillId="43" borderId="213" xfId="0" applyFont="1" applyFill="1" applyBorder="1" applyAlignment="1">
      <alignment horizontal="center" vertical="center" textRotation="90" wrapText="1"/>
    </xf>
    <xf numFmtId="0" fontId="8" fillId="43" borderId="79" xfId="0" applyFont="1" applyFill="1" applyBorder="1" applyAlignment="1">
      <alignment horizontal="center" vertical="center" textRotation="90" wrapText="1"/>
    </xf>
    <xf numFmtId="0" fontId="8" fillId="43" borderId="106" xfId="0" applyFont="1" applyFill="1" applyBorder="1" applyAlignment="1">
      <alignment horizontal="center" vertical="center" textRotation="90" wrapText="1"/>
    </xf>
    <xf numFmtId="0" fontId="8" fillId="43" borderId="211" xfId="0" applyFont="1" applyFill="1" applyBorder="1" applyAlignment="1">
      <alignment horizontal="left" vertical="center" wrapText="1"/>
    </xf>
    <xf numFmtId="0" fontId="8" fillId="43" borderId="76" xfId="0" applyFont="1" applyFill="1" applyBorder="1" applyAlignment="1">
      <alignment horizontal="left" vertical="center" wrapText="1"/>
    </xf>
    <xf numFmtId="0" fontId="8" fillId="43" borderId="101" xfId="0" applyFont="1" applyFill="1" applyBorder="1" applyAlignment="1">
      <alignment horizontal="left" vertical="center" wrapText="1"/>
    </xf>
    <xf numFmtId="0" fontId="5" fillId="17" borderId="198" xfId="0" applyFont="1" applyFill="1" applyBorder="1" applyAlignment="1">
      <alignment horizontal="center" vertical="center"/>
    </xf>
    <xf numFmtId="0" fontId="5" fillId="17" borderId="193" xfId="0" applyFont="1" applyFill="1" applyBorder="1" applyAlignment="1">
      <alignment horizontal="center" vertical="center"/>
    </xf>
    <xf numFmtId="0" fontId="5" fillId="34" borderId="94" xfId="0" applyFont="1" applyFill="1" applyBorder="1" applyAlignment="1">
      <alignment horizontal="center" vertical="center"/>
    </xf>
    <xf numFmtId="0" fontId="5" fillId="34" borderId="138" xfId="0" applyFont="1" applyFill="1" applyBorder="1" applyAlignment="1">
      <alignment horizontal="center" vertical="center"/>
    </xf>
    <xf numFmtId="0" fontId="8" fillId="7" borderId="40"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42" xfId="0" applyFont="1" applyFill="1" applyBorder="1" applyAlignment="1">
      <alignment horizontal="center" vertical="center"/>
    </xf>
    <xf numFmtId="0" fontId="8" fillId="7" borderId="133" xfId="0" applyFont="1" applyFill="1" applyBorder="1" applyAlignment="1">
      <alignment horizontal="center" vertical="center"/>
    </xf>
    <xf numFmtId="0" fontId="8" fillId="2" borderId="139" xfId="0" applyFont="1" applyFill="1" applyBorder="1" applyAlignment="1">
      <alignment horizontal="center" vertical="center"/>
    </xf>
    <xf numFmtId="0" fontId="8" fillId="2" borderId="123" xfId="0" applyFont="1" applyFill="1" applyBorder="1" applyAlignment="1">
      <alignment horizontal="center" vertical="center"/>
    </xf>
    <xf numFmtId="0" fontId="15" fillId="0" borderId="0" xfId="0" applyFont="1" applyAlignment="1">
      <alignment horizontal="left" vertical="center" indent="2"/>
    </xf>
    <xf numFmtId="0" fontId="5" fillId="3" borderId="40"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72"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10" fillId="45" borderId="40" xfId="0" applyFont="1" applyFill="1" applyBorder="1" applyAlignment="1">
      <alignment horizontal="center" vertical="center"/>
    </xf>
    <xf numFmtId="0" fontId="10" fillId="45" borderId="7" xfId="0" applyFont="1" applyFill="1" applyBorder="1" applyAlignment="1">
      <alignment horizontal="center" vertical="center"/>
    </xf>
    <xf numFmtId="0" fontId="10" fillId="45" borderId="42" xfId="0" applyFont="1" applyFill="1" applyBorder="1" applyAlignment="1">
      <alignment horizontal="center" vertical="center"/>
    </xf>
    <xf numFmtId="0" fontId="8" fillId="7" borderId="72" xfId="0" applyFont="1" applyFill="1" applyBorder="1" applyAlignment="1">
      <alignment horizontal="center" vertical="center"/>
    </xf>
    <xf numFmtId="0" fontId="15" fillId="19" borderId="0" xfId="0" applyFont="1" applyFill="1" applyAlignment="1">
      <alignment horizontal="left" vertical="center" indent="2"/>
    </xf>
    <xf numFmtId="0" fontId="5" fillId="7" borderId="40" xfId="0" applyFont="1" applyFill="1" applyBorder="1" applyAlignment="1">
      <alignment horizontal="center" vertical="center" wrapText="1"/>
    </xf>
    <xf numFmtId="0" fontId="5" fillId="7" borderId="48"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7" borderId="7" xfId="0" applyFont="1" applyFill="1" applyBorder="1" applyAlignment="1">
      <alignment horizontal="center" vertical="center"/>
    </xf>
    <xf numFmtId="0" fontId="5" fillId="7" borderId="25" xfId="0" applyFont="1" applyFill="1" applyBorder="1" applyAlignment="1">
      <alignment horizontal="center" vertical="center"/>
    </xf>
    <xf numFmtId="0" fontId="8" fillId="19" borderId="73" xfId="0" applyFont="1" applyFill="1" applyBorder="1" applyAlignment="1">
      <alignment horizontal="center" vertical="center" wrapText="1"/>
    </xf>
    <xf numFmtId="0" fontId="8" fillId="19" borderId="79" xfId="0" applyFont="1" applyFill="1" applyBorder="1" applyAlignment="1">
      <alignment horizontal="center" vertical="center" wrapText="1"/>
    </xf>
    <xf numFmtId="0" fontId="8" fillId="19" borderId="106" xfId="0" applyFont="1" applyFill="1" applyBorder="1" applyAlignment="1">
      <alignment horizontal="center" vertical="center" wrapText="1"/>
    </xf>
    <xf numFmtId="0" fontId="8" fillId="19" borderId="40" xfId="0" applyFont="1" applyFill="1" applyBorder="1" applyAlignment="1">
      <alignment horizontal="center" vertical="center" wrapText="1"/>
    </xf>
    <xf numFmtId="0" fontId="8" fillId="19" borderId="152" xfId="0" applyFont="1" applyFill="1" applyBorder="1" applyAlignment="1">
      <alignment horizontal="center" vertical="center" wrapText="1"/>
    </xf>
    <xf numFmtId="0" fontId="8" fillId="19" borderId="48" xfId="0" applyFont="1" applyFill="1" applyBorder="1" applyAlignment="1">
      <alignment horizontal="center" vertical="center" wrapText="1"/>
    </xf>
    <xf numFmtId="176" fontId="8" fillId="34" borderId="178" xfId="0" applyNumberFormat="1"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44" borderId="7" xfId="0" applyFont="1" applyFill="1" applyBorder="1" applyAlignment="1">
      <alignment horizontal="center" vertical="center" wrapText="1"/>
    </xf>
    <xf numFmtId="0" fontId="5" fillId="44" borderId="206" xfId="0" applyFont="1" applyFill="1" applyBorder="1" applyAlignment="1">
      <alignment horizontal="center" vertical="center" wrapText="1"/>
    </xf>
    <xf numFmtId="0" fontId="5" fillId="44" borderId="42" xfId="0" applyFont="1" applyFill="1" applyBorder="1" applyAlignment="1">
      <alignment horizontal="center" vertical="center" wrapText="1"/>
    </xf>
    <xf numFmtId="0" fontId="5" fillId="44" borderId="50" xfId="0" applyFont="1" applyFill="1" applyBorder="1" applyAlignment="1">
      <alignment horizontal="center" vertical="center" wrapText="1"/>
    </xf>
    <xf numFmtId="0" fontId="8" fillId="19" borderId="86" xfId="0" applyFont="1" applyFill="1" applyBorder="1" applyAlignment="1">
      <alignment horizontal="center" vertical="center" wrapText="1"/>
    </xf>
    <xf numFmtId="0" fontId="8" fillId="19" borderId="151" xfId="0" applyFont="1" applyFill="1" applyBorder="1" applyAlignment="1">
      <alignment horizontal="center" vertical="center" wrapText="1"/>
    </xf>
    <xf numFmtId="0" fontId="8" fillId="19" borderId="84" xfId="0" applyFont="1" applyFill="1" applyBorder="1" applyAlignment="1">
      <alignment horizontal="center" vertical="center" wrapText="1"/>
    </xf>
    <xf numFmtId="176" fontId="8" fillId="34" borderId="200" xfId="0" applyNumberFormat="1" applyFont="1" applyFill="1" applyBorder="1" applyAlignment="1">
      <alignment horizontal="center" vertical="center"/>
    </xf>
    <xf numFmtId="176" fontId="8" fillId="34" borderId="203" xfId="0" applyNumberFormat="1" applyFont="1" applyFill="1" applyBorder="1" applyAlignment="1">
      <alignment horizontal="center" vertical="center"/>
    </xf>
    <xf numFmtId="176" fontId="8" fillId="34" borderId="212" xfId="0" applyNumberFormat="1" applyFont="1" applyFill="1" applyBorder="1" applyAlignment="1">
      <alignment horizontal="center" vertical="center"/>
    </xf>
    <xf numFmtId="0" fontId="8" fillId="19" borderId="126" xfId="0" applyFont="1" applyFill="1" applyBorder="1" applyAlignment="1">
      <alignment horizontal="center" vertical="center" wrapText="1"/>
    </xf>
    <xf numFmtId="0" fontId="8" fillId="19" borderId="76" xfId="0" applyFont="1" applyFill="1" applyBorder="1" applyAlignment="1">
      <alignment horizontal="center" vertical="center" wrapText="1"/>
    </xf>
    <xf numFmtId="176" fontId="8" fillId="34" borderId="196" xfId="0" applyNumberFormat="1" applyFont="1" applyFill="1" applyBorder="1" applyAlignment="1">
      <alignment horizontal="center" vertical="center"/>
    </xf>
    <xf numFmtId="176" fontId="8" fillId="34" borderId="142" xfId="0" applyNumberFormat="1" applyFont="1" applyFill="1" applyBorder="1" applyAlignment="1">
      <alignment horizontal="center" vertical="center"/>
    </xf>
    <xf numFmtId="0" fontId="5" fillId="7" borderId="165" xfId="0" applyFont="1" applyFill="1" applyBorder="1" applyAlignment="1">
      <alignment horizontal="center" vertical="center" wrapText="1"/>
    </xf>
    <xf numFmtId="0" fontId="5" fillId="7" borderId="169" xfId="0" applyFont="1" applyFill="1" applyBorder="1" applyAlignment="1">
      <alignment horizontal="center" vertical="center" wrapText="1"/>
    </xf>
    <xf numFmtId="0" fontId="11" fillId="0" borderId="70"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144" xfId="0" applyFont="1" applyBorder="1" applyAlignment="1">
      <alignment horizontal="center" vertical="center" wrapText="1"/>
    </xf>
    <xf numFmtId="0" fontId="11" fillId="0" borderId="85" xfId="0" applyFont="1" applyBorder="1" applyAlignment="1">
      <alignment horizontal="center" vertical="center" wrapText="1"/>
    </xf>
    <xf numFmtId="0" fontId="8" fillId="2" borderId="115" xfId="0" applyFont="1" applyFill="1" applyBorder="1" applyAlignment="1">
      <alignment horizontal="center" vertical="center"/>
    </xf>
    <xf numFmtId="0" fontId="8" fillId="2" borderId="117" xfId="0" applyFont="1" applyFill="1" applyBorder="1" applyAlignment="1">
      <alignment horizontal="center" vertical="center"/>
    </xf>
    <xf numFmtId="0" fontId="0" fillId="48" borderId="78" xfId="0" applyFill="1" applyBorder="1" applyAlignment="1">
      <alignment horizontal="left" vertical="center" wrapText="1"/>
    </xf>
    <xf numFmtId="0" fontId="0" fillId="48" borderId="155" xfId="0" applyFill="1" applyBorder="1" applyAlignment="1">
      <alignment horizontal="left" vertical="center" wrapText="1"/>
    </xf>
    <xf numFmtId="0" fontId="0" fillId="48" borderId="143" xfId="0" applyFill="1" applyBorder="1" applyAlignment="1">
      <alignment horizontal="left" vertical="center" wrapText="1"/>
    </xf>
    <xf numFmtId="0" fontId="0" fillId="48" borderId="156" xfId="0" applyFill="1" applyBorder="1" applyAlignment="1">
      <alignment horizontal="left" vertical="center" wrapText="1"/>
    </xf>
    <xf numFmtId="0" fontId="0" fillId="48" borderId="0" xfId="0" applyFill="1" applyAlignment="1">
      <alignment horizontal="left" vertical="center" wrapText="1"/>
    </xf>
    <xf numFmtId="0" fontId="0" fillId="48" borderId="157" xfId="0" applyFill="1" applyBorder="1" applyAlignment="1">
      <alignment horizontal="left" vertical="center" wrapText="1"/>
    </xf>
    <xf numFmtId="0" fontId="0" fillId="48" borderId="158" xfId="0" applyFill="1" applyBorder="1" applyAlignment="1">
      <alignment horizontal="left" vertical="center" wrapText="1"/>
    </xf>
    <xf numFmtId="0" fontId="0" fillId="48" borderId="159" xfId="0" applyFill="1" applyBorder="1" applyAlignment="1">
      <alignment horizontal="left" vertical="center" wrapText="1"/>
    </xf>
    <xf numFmtId="0" fontId="0" fillId="48" borderId="160" xfId="0" applyFill="1" applyBorder="1" applyAlignment="1">
      <alignment horizontal="left" vertical="center" wrapText="1"/>
    </xf>
    <xf numFmtId="0" fontId="5" fillId="3" borderId="161" xfId="0" applyFont="1" applyFill="1" applyBorder="1" applyAlignment="1">
      <alignment horizontal="center" vertical="center" wrapText="1"/>
    </xf>
    <xf numFmtId="0" fontId="5" fillId="3" borderId="166" xfId="0" applyFont="1" applyFill="1" applyBorder="1" applyAlignment="1">
      <alignment horizontal="center" vertical="center" wrapText="1"/>
    </xf>
    <xf numFmtId="0" fontId="5" fillId="3" borderId="162" xfId="0" applyFont="1" applyFill="1" applyBorder="1" applyAlignment="1">
      <alignment horizontal="center" vertical="center" wrapText="1"/>
    </xf>
    <xf numFmtId="0" fontId="5" fillId="3" borderId="121" xfId="0" applyFont="1" applyFill="1" applyBorder="1" applyAlignment="1">
      <alignment horizontal="center" vertical="center" wrapText="1"/>
    </xf>
    <xf numFmtId="165" fontId="10" fillId="11" borderId="163" xfId="0" applyNumberFormat="1" applyFont="1" applyFill="1" applyBorder="1" applyAlignment="1">
      <alignment horizontal="center" vertical="center" wrapText="1"/>
    </xf>
    <xf numFmtId="165" fontId="10" fillId="11" borderId="164" xfId="0" applyNumberFormat="1" applyFont="1" applyFill="1" applyBorder="1" applyAlignment="1">
      <alignment horizontal="center" vertical="center" wrapText="1"/>
    </xf>
    <xf numFmtId="44" fontId="5" fillId="7" borderId="4" xfId="2" applyFont="1" applyFill="1" applyBorder="1" applyAlignment="1" applyProtection="1">
      <alignment horizontal="center" vertical="center"/>
    </xf>
    <xf numFmtId="44" fontId="5" fillId="7" borderId="71" xfId="2" applyFont="1" applyFill="1" applyBorder="1" applyAlignment="1" applyProtection="1">
      <alignment horizontal="center" vertical="center"/>
    </xf>
    <xf numFmtId="44" fontId="5" fillId="7" borderId="11" xfId="2" applyFont="1" applyFill="1" applyBorder="1" applyAlignment="1" applyProtection="1">
      <alignment horizontal="center" vertical="center"/>
    </xf>
    <xf numFmtId="0" fontId="5" fillId="7" borderId="164"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11" xfId="0" applyFont="1" applyFill="1" applyBorder="1" applyAlignment="1">
      <alignment horizontal="center" vertical="center"/>
    </xf>
    <xf numFmtId="0" fontId="0" fillId="56" borderId="242" xfId="0" applyFill="1" applyBorder="1" applyAlignment="1" applyProtection="1">
      <alignment horizontal="center" vertical="center"/>
      <protection locked="0"/>
    </xf>
    <xf numFmtId="0" fontId="0" fillId="56" borderId="243" xfId="0" applyFill="1" applyBorder="1" applyAlignment="1" applyProtection="1">
      <alignment horizontal="center" vertical="center"/>
      <protection locked="0"/>
    </xf>
    <xf numFmtId="0" fontId="11" fillId="0" borderId="0" xfId="0" applyFont="1" applyAlignment="1">
      <alignment horizontal="center" vertical="center" wrapText="1"/>
    </xf>
    <xf numFmtId="0" fontId="0" fillId="0" borderId="0" xfId="0" applyAlignment="1">
      <alignment horizontal="left" vertical="center"/>
    </xf>
    <xf numFmtId="0" fontId="5" fillId="0" borderId="0" xfId="0" applyFont="1" applyAlignment="1">
      <alignment horizontal="center" vertical="center" wrapText="1"/>
    </xf>
    <xf numFmtId="165" fontId="8" fillId="0" borderId="0" xfId="0" applyNumberFormat="1" applyFont="1" applyAlignment="1">
      <alignment horizontal="center" vertical="center" wrapText="1"/>
    </xf>
    <xf numFmtId="1" fontId="0" fillId="21" borderId="0" xfId="0" applyNumberFormat="1" applyFill="1" applyAlignment="1">
      <alignment horizontal="center" vertical="center"/>
    </xf>
    <xf numFmtId="0" fontId="5" fillId="2" borderId="0" xfId="0" applyFont="1" applyFill="1" applyAlignment="1">
      <alignment horizontal="center" vertical="center"/>
    </xf>
    <xf numFmtId="0" fontId="5" fillId="2" borderId="182" xfId="0" applyFont="1" applyFill="1" applyBorder="1" applyAlignment="1">
      <alignment horizontal="center" vertical="center"/>
    </xf>
    <xf numFmtId="0" fontId="8" fillId="0" borderId="0" xfId="0" applyFont="1" applyAlignment="1">
      <alignment horizontal="center" vertical="center"/>
    </xf>
    <xf numFmtId="181" fontId="0" fillId="21" borderId="132" xfId="0" applyNumberFormat="1" applyFill="1" applyBorder="1" applyAlignment="1">
      <alignment horizontal="center"/>
    </xf>
    <xf numFmtId="181" fontId="0" fillId="21" borderId="108" xfId="0" applyNumberFormat="1" applyFill="1" applyBorder="1" applyAlignment="1">
      <alignment horizontal="center"/>
    </xf>
    <xf numFmtId="181" fontId="0" fillId="21" borderId="175" xfId="0" applyNumberFormat="1" applyFill="1" applyBorder="1" applyAlignment="1">
      <alignment horizontal="center"/>
    </xf>
    <xf numFmtId="181" fontId="0" fillId="21" borderId="132" xfId="0" applyNumberFormat="1" applyFill="1" applyBorder="1" applyAlignment="1">
      <alignment horizontal="center" vertical="center"/>
    </xf>
    <xf numFmtId="181" fontId="0" fillId="21" borderId="108" xfId="0" applyNumberFormat="1" applyFill="1" applyBorder="1" applyAlignment="1">
      <alignment horizontal="center" vertical="center"/>
    </xf>
    <xf numFmtId="181" fontId="0" fillId="21" borderId="175" xfId="0" applyNumberFormat="1" applyFill="1" applyBorder="1" applyAlignment="1">
      <alignment horizontal="center" vertical="center"/>
    </xf>
    <xf numFmtId="181" fontId="0" fillId="21" borderId="180" xfId="0" applyNumberFormat="1" applyFill="1" applyBorder="1" applyAlignment="1">
      <alignment horizontal="center" vertical="center" wrapText="1"/>
    </xf>
    <xf numFmtId="181" fontId="0" fillId="21" borderId="108" xfId="0" applyNumberFormat="1" applyFill="1" applyBorder="1" applyAlignment="1">
      <alignment horizontal="center" vertical="center" wrapText="1"/>
    </xf>
    <xf numFmtId="181" fontId="0" fillId="21" borderId="175" xfId="0" applyNumberFormat="1" applyFill="1" applyBorder="1" applyAlignment="1">
      <alignment horizontal="center" vertical="center" wrapText="1"/>
    </xf>
    <xf numFmtId="181" fontId="0" fillId="21" borderId="180" xfId="0" applyNumberFormat="1" applyFill="1" applyBorder="1" applyAlignment="1">
      <alignment horizontal="center" vertical="center"/>
    </xf>
    <xf numFmtId="181" fontId="0" fillId="21" borderId="183" xfId="0" applyNumberFormat="1" applyFill="1" applyBorder="1" applyAlignment="1">
      <alignment horizontal="center" vertical="center"/>
    </xf>
    <xf numFmtId="181" fontId="0" fillId="21" borderId="183" xfId="0" applyNumberFormat="1" applyFill="1" applyBorder="1" applyAlignment="1">
      <alignment horizontal="center"/>
    </xf>
    <xf numFmtId="181" fontId="0" fillId="21" borderId="135" xfId="0" applyNumberFormat="1" applyFill="1" applyBorder="1" applyAlignment="1">
      <alignment horizontal="center"/>
    </xf>
    <xf numFmtId="181" fontId="0" fillId="21" borderId="184" xfId="0" applyNumberFormat="1" applyFill="1" applyBorder="1" applyAlignment="1">
      <alignment horizontal="center"/>
    </xf>
    <xf numFmtId="181" fontId="0" fillId="21" borderId="185" xfId="0" applyNumberFormat="1" applyFill="1" applyBorder="1" applyAlignment="1">
      <alignment horizontal="center"/>
    </xf>
    <xf numFmtId="181" fontId="0" fillId="21" borderId="186" xfId="0" applyNumberFormat="1" applyFill="1" applyBorder="1" applyAlignment="1">
      <alignment horizontal="center"/>
    </xf>
    <xf numFmtId="181" fontId="0" fillId="21" borderId="178" xfId="0" applyNumberFormat="1" applyFill="1" applyBorder="1" applyAlignment="1">
      <alignment horizontal="center"/>
    </xf>
    <xf numFmtId="181" fontId="0" fillId="21" borderId="150" xfId="0" applyNumberFormat="1" applyFill="1" applyBorder="1" applyAlignment="1">
      <alignment horizontal="center"/>
    </xf>
    <xf numFmtId="0" fontId="0" fillId="51" borderId="139" xfId="0" applyFill="1" applyBorder="1" applyAlignment="1">
      <alignment horizontal="center"/>
    </xf>
    <xf numFmtId="0" fontId="0" fillId="51" borderId="174" xfId="0" applyFill="1" applyBorder="1" applyAlignment="1">
      <alignment horizontal="center"/>
    </xf>
    <xf numFmtId="0" fontId="0" fillId="51" borderId="176" xfId="0" applyFill="1" applyBorder="1" applyAlignment="1">
      <alignment horizontal="center"/>
    </xf>
  </cellXfs>
  <cellStyles count="7">
    <cellStyle name="Hipervínculo" xfId="4" builtinId="8"/>
    <cellStyle name="Millares" xfId="1" builtinId="3"/>
    <cellStyle name="Moneda" xfId="2" builtinId="4"/>
    <cellStyle name="Moneda [0]" xfId="6" builtinId="7"/>
    <cellStyle name="Normal" xfId="0" builtinId="0"/>
    <cellStyle name="Porcentaje" xfId="3" builtinId="5"/>
    <cellStyle name="Porcentaje 3" xfId="5" xr:uid="{00000000-0005-0000-0000-000005000000}"/>
  </cellStyles>
  <dxfs count="17">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9" tint="0.59996337778862885"/>
        </patternFill>
      </fill>
    </dxf>
    <dxf>
      <font>
        <color rgb="FF006100"/>
      </font>
      <fill>
        <patternFill>
          <bgColor rgb="FFC6EFCE"/>
        </patternFill>
      </fill>
    </dxf>
    <dxf>
      <font>
        <color rgb="FF9C0006"/>
      </font>
      <fill>
        <patternFill>
          <bgColor rgb="FFFFC7CE"/>
        </patternFill>
      </fill>
    </dxf>
    <dxf>
      <fill>
        <patternFill>
          <bgColor theme="9" tint="0.59996337778862885"/>
        </patternFill>
      </fill>
    </dxf>
    <dxf>
      <font>
        <color rgb="FF006100"/>
      </font>
      <fill>
        <patternFill>
          <bgColor rgb="FFC6EFCE"/>
        </patternFill>
      </fill>
    </dxf>
    <dxf>
      <fill>
        <patternFill>
          <bgColor theme="9" tint="0.59996337778862885"/>
        </patternFill>
      </fill>
    </dxf>
    <dxf>
      <font>
        <color rgb="FF006100"/>
      </font>
      <fill>
        <patternFill>
          <bgColor rgb="FFC6EF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INGRESOS</a:t>
            </a:r>
          </a:p>
        </c:rich>
      </c:tx>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('K) '!$C$30,'K) '!$E$30,'K) '!$G$30,'K) '!$I$30,'K) '!$K$30,'K) '!$M$30,'K) '!$O$30,'K) '!$Q$30,'K) '!$S$30,'K) '!$U$30,'K) '!$W$30,'K) '!$Y$30)</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DE8-47BF-9128-CC99F83DF4C4}"/>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('K) '!$D$30,'K) '!$F$30,'K) '!$H$30,'K) '!$J$30,'K) '!$L$30,'K) '!$N$30,'K) '!$P$30,'K) '!$R$30,'K) '!$T$30,'K) '!$V$30,'K) '!$X$30,'K) '!$Z$30)</c:f>
              <c:numCache>
                <c:formatCode>_("$"* #,##0_);_("$"* \(#,##0\);_("$"* "-"_);_(@_)</c:formatCode>
                <c:ptCount val="12"/>
                <c:pt idx="0">
                  <c:v>0</c:v>
                </c:pt>
                <c:pt idx="1">
                  <c:v>0</c:v>
                </c:pt>
                <c:pt idx="2">
                  <c:v>0</c:v>
                </c:pt>
                <c:pt idx="3">
                  <c:v>0</c:v>
                </c:pt>
                <c:pt idx="4">
                  <c:v>0</c:v>
                </c:pt>
              </c:numCache>
            </c:numRef>
          </c:val>
          <c:smooth val="0"/>
          <c:extLst>
            <c:ext xmlns:c16="http://schemas.microsoft.com/office/drawing/2014/chart" uri="{C3380CC4-5D6E-409C-BE32-E72D297353CC}">
              <c16:uniqueId val="{00000001-EDE8-47BF-9128-CC99F83DF4C4}"/>
            </c:ext>
          </c:extLst>
        </c:ser>
        <c:dLbls>
          <c:showLegendKey val="0"/>
          <c:showVal val="1"/>
          <c:showCatName val="0"/>
          <c:showSerName val="0"/>
          <c:showPercent val="0"/>
          <c:showBubbleSize val="0"/>
        </c:dLbls>
        <c:marker val="1"/>
        <c:smooth val="0"/>
        <c:axId val="170416384"/>
        <c:axId val="170446848"/>
      </c:lineChart>
      <c:catAx>
        <c:axId val="17041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0446848"/>
        <c:crosses val="autoZero"/>
        <c:auto val="1"/>
        <c:lblAlgn val="ctr"/>
        <c:lblOffset val="100"/>
        <c:noMultiLvlLbl val="0"/>
      </c:catAx>
      <c:valAx>
        <c:axId val="17044684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04163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REMUNERACION</a:t>
            </a:r>
          </a:p>
        </c:rich>
      </c:tx>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('K) '!$C$31,'K) '!$E$31,'K) '!$G$31,'K) '!$I$31,'K) '!$K$31,'K) '!$M$31,'K) '!$O$31,'K) '!$Q$31,'K) '!$S$31,'K) '!$U$31,'K) '!$W$31,'K) '!$Y$31)</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441-4BD4-B4E7-621B46A844BB}"/>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('K) '!$D$31,'K) '!$F$31,'K) '!$H$31,'K) '!$J$31,'K) '!$L$31,'K) '!$N$31,'K) '!$P$31,'K) '!$R$31,'K) '!$T$31,'K) '!$V$31,'K) '!$X$31,'K) '!$Z$31)</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441-4BD4-B4E7-621B46A844BB}"/>
            </c:ext>
          </c:extLst>
        </c:ser>
        <c:dLbls>
          <c:showLegendKey val="0"/>
          <c:showVal val="1"/>
          <c:showCatName val="0"/>
          <c:showSerName val="0"/>
          <c:showPercent val="0"/>
          <c:showBubbleSize val="0"/>
        </c:dLbls>
        <c:marker val="1"/>
        <c:smooth val="0"/>
        <c:axId val="171930752"/>
        <c:axId val="171932288"/>
      </c:lineChart>
      <c:catAx>
        <c:axId val="17193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1932288"/>
        <c:crosses val="autoZero"/>
        <c:auto val="1"/>
        <c:lblAlgn val="ctr"/>
        <c:lblOffset val="100"/>
        <c:noMultiLvlLbl val="0"/>
      </c:catAx>
      <c:valAx>
        <c:axId val="1719322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19307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178" l="0.70000000000000062" r="0.70000000000000062" t="0.750000000000001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COSTOS</a:t>
            </a:r>
            <a:r>
              <a:rPr lang="es-CL" baseline="0"/>
              <a:t> DE OPERACION</a:t>
            </a:r>
          </a:p>
        </c:rich>
      </c:tx>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('K) '!$C$32,'K) '!$E$32,'K) '!$G$32,'K) '!$I$32,'K) '!$K$32,'K) '!$M$32,'K) '!$O$32,'K) '!$Q$32,'K) '!$S$32,'K) '!$U$32,'K) '!$W$32,'K) '!$Y$32)</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054-4294-826B-3625C50F6593}"/>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('K) '!$D$32,'K) '!$F$32,'K) '!$H$32,'K) '!$J$32,'K) '!$L$32,'K) '!$N$32,'K) '!$P$32,'K) '!$R$32,'K) '!$T$32,'K) '!$V$32,'K) '!$X$32,'K) '!$Z$32)</c:f>
              <c:numCache>
                <c:formatCode>_("$"* #,##0_);_("$"* \(#,##0\);_("$"* "-"_);_(@_)</c:formatCode>
                <c:ptCount val="12"/>
                <c:pt idx="0">
                  <c:v>0</c:v>
                </c:pt>
                <c:pt idx="1">
                  <c:v>0</c:v>
                </c:pt>
                <c:pt idx="2">
                  <c:v>0</c:v>
                </c:pt>
                <c:pt idx="3">
                  <c:v>0</c:v>
                </c:pt>
                <c:pt idx="4">
                  <c:v>0</c:v>
                </c:pt>
              </c:numCache>
            </c:numRef>
          </c:val>
          <c:smooth val="0"/>
          <c:extLst>
            <c:ext xmlns:c16="http://schemas.microsoft.com/office/drawing/2014/chart" uri="{C3380CC4-5D6E-409C-BE32-E72D297353CC}">
              <c16:uniqueId val="{00000001-2054-4294-826B-3625C50F6593}"/>
            </c:ext>
          </c:extLst>
        </c:ser>
        <c:dLbls>
          <c:showLegendKey val="0"/>
          <c:showVal val="1"/>
          <c:showCatName val="0"/>
          <c:showSerName val="0"/>
          <c:showPercent val="0"/>
          <c:showBubbleSize val="0"/>
        </c:dLbls>
        <c:marker val="1"/>
        <c:smooth val="0"/>
        <c:axId val="171836160"/>
        <c:axId val="171836928"/>
      </c:lineChart>
      <c:catAx>
        <c:axId val="17183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1836928"/>
        <c:crosses val="autoZero"/>
        <c:auto val="1"/>
        <c:lblAlgn val="ctr"/>
        <c:lblOffset val="100"/>
        <c:noMultiLvlLbl val="0"/>
      </c:catAx>
      <c:valAx>
        <c:axId val="17183692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18361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178" l="0.70000000000000062" r="0.70000000000000062" t="0.750000000000001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RESULTADO OPERACIONAL</a:t>
            </a:r>
          </a:p>
        </c:rich>
      </c:tx>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('K) '!$C$33,'K) '!$E$33,'K) '!$G$33,'K) '!$I$33,'K) '!$K$33,'K) '!$M$33,'K) '!$O$33,'K) '!$Q$33,'K) '!$S$33,'K) '!$U$33,'K) '!$W$33,'K) '!$Y$33)</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18C-4126-A266-A8408A0CC182}"/>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('K) '!$D$33,'K) '!$F$33,'K) '!$H$33,'K) '!$J$33,'K) '!$L$33,'K) '!$N$33,'K) '!$P$33,'K) '!$R$33,'K) '!$T$33,'K) '!$V$33,'K) '!$X$33,'K) '!$Z$33)</c:f>
              <c:numCache>
                <c:formatCode>_("$"* #,##0_);_("$"* \(#,##0\);_("$"* "-"_);_(@_)</c:formatCode>
                <c:ptCount val="12"/>
                <c:pt idx="0">
                  <c:v>0</c:v>
                </c:pt>
                <c:pt idx="1">
                  <c:v>0</c:v>
                </c:pt>
                <c:pt idx="2">
                  <c:v>0</c:v>
                </c:pt>
                <c:pt idx="3">
                  <c:v>0</c:v>
                </c:pt>
                <c:pt idx="4">
                  <c:v>0</c:v>
                </c:pt>
              </c:numCache>
            </c:numRef>
          </c:val>
          <c:smooth val="0"/>
          <c:extLst>
            <c:ext xmlns:c16="http://schemas.microsoft.com/office/drawing/2014/chart" uri="{C3380CC4-5D6E-409C-BE32-E72D297353CC}">
              <c16:uniqueId val="{00000001-E18C-4126-A266-A8408A0CC182}"/>
            </c:ext>
          </c:extLst>
        </c:ser>
        <c:dLbls>
          <c:showLegendKey val="0"/>
          <c:showVal val="1"/>
          <c:showCatName val="0"/>
          <c:showSerName val="0"/>
          <c:showPercent val="0"/>
          <c:showBubbleSize val="0"/>
        </c:dLbls>
        <c:marker val="1"/>
        <c:smooth val="0"/>
        <c:axId val="171899520"/>
        <c:axId val="171983232"/>
      </c:lineChart>
      <c:catAx>
        <c:axId val="171899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1983232"/>
        <c:crosses val="autoZero"/>
        <c:auto val="1"/>
        <c:lblAlgn val="ctr"/>
        <c:lblOffset val="100"/>
        <c:noMultiLvlLbl val="0"/>
      </c:catAx>
      <c:valAx>
        <c:axId val="17198323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18995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1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hyperlink" Target="RESUMEN.xlsx" TargetMode="External"/><Relationship Id="rId1" Type="http://schemas.openxmlformats.org/officeDocument/2006/relationships/hyperlink" Target="#'Tabla Indice'!A1"/></Relationships>
</file>

<file path=xl/drawings/_rels/drawing3.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4.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5.xml.rels><?xml version="1.0" encoding="UTF-8" standalone="yes"?>
<Relationships xmlns="http://schemas.openxmlformats.org/package/2006/relationships"><Relationship Id="rId2" Type="http://schemas.openxmlformats.org/officeDocument/2006/relationships/hyperlink" Target="#'Tabla Indice'!A1"/><Relationship Id="rId1" Type="http://schemas.openxmlformats.org/officeDocument/2006/relationships/hyperlink" Target="#'D) Costos Indirectos '!A1"/></Relationships>
</file>

<file path=xl/drawings/_rels/drawing6.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7.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8.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9.xml.rels><?xml version="1.0" encoding="UTF-8" standalone="yes"?>
<Relationships xmlns="http://schemas.openxmlformats.org/package/2006/relationships"><Relationship Id="rId1" Type="http://schemas.openxmlformats.org/officeDocument/2006/relationships/hyperlink" Target="#'Tabla Indic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190499</xdr:rowOff>
    </xdr:from>
    <xdr:to>
      <xdr:col>9</xdr:col>
      <xdr:colOff>457200</xdr:colOff>
      <xdr:row>46</xdr:row>
      <xdr:rowOff>59530</xdr:rowOff>
    </xdr:to>
    <xdr:pic>
      <xdr:nvPicPr>
        <xdr:cNvPr id="2" name="Imagen 1">
          <a:extLst>
            <a:ext uri="{FF2B5EF4-FFF2-40B4-BE49-F238E27FC236}">
              <a16:creationId xmlns:a16="http://schemas.microsoft.com/office/drawing/2014/main" id="{185FD062-70D5-43BC-93BC-BE4C7C887108}"/>
            </a:ext>
          </a:extLst>
        </xdr:cNvPr>
        <xdr:cNvPicPr>
          <a:picLocks noChangeAspect="1"/>
        </xdr:cNvPicPr>
      </xdr:nvPicPr>
      <xdr:blipFill>
        <a:blip xmlns:r="http://schemas.openxmlformats.org/officeDocument/2006/relationships" r:embed="rId1"/>
        <a:stretch>
          <a:fillRect/>
        </a:stretch>
      </xdr:blipFill>
      <xdr:spPr>
        <a:xfrm>
          <a:off x="762000" y="952499"/>
          <a:ext cx="6553200" cy="7870031"/>
        </a:xfrm>
        <a:prstGeom prst="rect">
          <a:avLst/>
        </a:prstGeom>
      </xdr:spPr>
    </xdr:pic>
    <xdr:clientData/>
  </xdr:twoCellAnchor>
  <xdr:twoCellAnchor editAs="oneCell">
    <xdr:from>
      <xdr:col>13</xdr:col>
      <xdr:colOff>714374</xdr:colOff>
      <xdr:row>6</xdr:row>
      <xdr:rowOff>76200</xdr:rowOff>
    </xdr:from>
    <xdr:to>
      <xdr:col>24</xdr:col>
      <xdr:colOff>226219</xdr:colOff>
      <xdr:row>45</xdr:row>
      <xdr:rowOff>166687</xdr:rowOff>
    </xdr:to>
    <xdr:pic>
      <xdr:nvPicPr>
        <xdr:cNvPr id="3" name="Imagen 2">
          <a:extLst>
            <a:ext uri="{FF2B5EF4-FFF2-40B4-BE49-F238E27FC236}">
              <a16:creationId xmlns:a16="http://schemas.microsoft.com/office/drawing/2014/main" id="{8C24D29B-BAFE-44CE-ACD3-533A2D9F66AC}"/>
            </a:ext>
          </a:extLst>
        </xdr:cNvPr>
        <xdr:cNvPicPr>
          <a:picLocks noChangeAspect="1"/>
        </xdr:cNvPicPr>
      </xdr:nvPicPr>
      <xdr:blipFill>
        <a:blip xmlns:r="http://schemas.openxmlformats.org/officeDocument/2006/relationships" r:embed="rId2"/>
        <a:stretch>
          <a:fillRect/>
        </a:stretch>
      </xdr:blipFill>
      <xdr:spPr>
        <a:xfrm>
          <a:off x="10620374" y="1219200"/>
          <a:ext cx="7893845" cy="7519987"/>
        </a:xfrm>
        <a:prstGeom prst="rect">
          <a:avLst/>
        </a:prstGeom>
      </xdr:spPr>
    </xdr:pic>
    <xdr:clientData/>
  </xdr:twoCellAnchor>
  <xdr:twoCellAnchor editAs="oneCell">
    <xdr:from>
      <xdr:col>1</xdr:col>
      <xdr:colOff>514351</xdr:colOff>
      <xdr:row>49</xdr:row>
      <xdr:rowOff>190499</xdr:rowOff>
    </xdr:from>
    <xdr:to>
      <xdr:col>9</xdr:col>
      <xdr:colOff>266701</xdr:colOff>
      <xdr:row>86</xdr:row>
      <xdr:rowOff>123824</xdr:rowOff>
    </xdr:to>
    <xdr:pic>
      <xdr:nvPicPr>
        <xdr:cNvPr id="4" name="Imagen 3">
          <a:extLst>
            <a:ext uri="{FF2B5EF4-FFF2-40B4-BE49-F238E27FC236}">
              <a16:creationId xmlns:a16="http://schemas.microsoft.com/office/drawing/2014/main" id="{6BEB77EB-B55C-4079-BA3C-C3537D39AD68}"/>
            </a:ext>
          </a:extLst>
        </xdr:cNvPr>
        <xdr:cNvPicPr>
          <a:picLocks noChangeAspect="1"/>
        </xdr:cNvPicPr>
      </xdr:nvPicPr>
      <xdr:blipFill>
        <a:blip xmlns:r="http://schemas.openxmlformats.org/officeDocument/2006/relationships" r:embed="rId3"/>
        <a:stretch>
          <a:fillRect/>
        </a:stretch>
      </xdr:blipFill>
      <xdr:spPr>
        <a:xfrm>
          <a:off x="1276351" y="9524999"/>
          <a:ext cx="5848350" cy="6981825"/>
        </a:xfrm>
        <a:prstGeom prst="rect">
          <a:avLst/>
        </a:prstGeom>
      </xdr:spPr>
    </xdr:pic>
    <xdr:clientData/>
  </xdr:twoCellAnchor>
  <xdr:twoCellAnchor editAs="oneCell">
    <xdr:from>
      <xdr:col>14</xdr:col>
      <xdr:colOff>238124</xdr:colOff>
      <xdr:row>49</xdr:row>
      <xdr:rowOff>180975</xdr:rowOff>
    </xdr:from>
    <xdr:to>
      <xdr:col>22</xdr:col>
      <xdr:colOff>678655</xdr:colOff>
      <xdr:row>86</xdr:row>
      <xdr:rowOff>71437</xdr:rowOff>
    </xdr:to>
    <xdr:pic>
      <xdr:nvPicPr>
        <xdr:cNvPr id="5" name="Imagen 4">
          <a:extLst>
            <a:ext uri="{FF2B5EF4-FFF2-40B4-BE49-F238E27FC236}">
              <a16:creationId xmlns:a16="http://schemas.microsoft.com/office/drawing/2014/main" id="{8C816CAF-36F7-4AB2-A5B4-7DB9DC390E0D}"/>
            </a:ext>
          </a:extLst>
        </xdr:cNvPr>
        <xdr:cNvPicPr>
          <a:picLocks noChangeAspect="1"/>
        </xdr:cNvPicPr>
      </xdr:nvPicPr>
      <xdr:blipFill>
        <a:blip xmlns:r="http://schemas.openxmlformats.org/officeDocument/2006/relationships" r:embed="rId4"/>
        <a:stretch>
          <a:fillRect/>
        </a:stretch>
      </xdr:blipFill>
      <xdr:spPr>
        <a:xfrm>
          <a:off x="10906124" y="9515475"/>
          <a:ext cx="6536531" cy="6938962"/>
        </a:xfrm>
        <a:prstGeom prst="rect">
          <a:avLst/>
        </a:prstGeom>
      </xdr:spPr>
    </xdr:pic>
    <xdr:clientData/>
  </xdr:twoCellAnchor>
  <xdr:twoCellAnchor editAs="oneCell">
    <xdr:from>
      <xdr:col>2</xdr:col>
      <xdr:colOff>0</xdr:colOff>
      <xdr:row>97</xdr:row>
      <xdr:rowOff>0</xdr:rowOff>
    </xdr:from>
    <xdr:to>
      <xdr:col>10</xdr:col>
      <xdr:colOff>257175</xdr:colOff>
      <xdr:row>119</xdr:row>
      <xdr:rowOff>143480</xdr:rowOff>
    </xdr:to>
    <xdr:pic>
      <xdr:nvPicPr>
        <xdr:cNvPr id="6" name="Imagen 5">
          <a:extLst>
            <a:ext uri="{FF2B5EF4-FFF2-40B4-BE49-F238E27FC236}">
              <a16:creationId xmlns:a16="http://schemas.microsoft.com/office/drawing/2014/main" id="{8A83FF45-0BBA-4790-A29B-19EBA1CC1BD1}"/>
            </a:ext>
          </a:extLst>
        </xdr:cNvPr>
        <xdr:cNvPicPr>
          <a:picLocks noChangeAspect="1"/>
        </xdr:cNvPicPr>
      </xdr:nvPicPr>
      <xdr:blipFill>
        <a:blip xmlns:r="http://schemas.openxmlformats.org/officeDocument/2006/relationships" r:embed="rId5"/>
        <a:stretch>
          <a:fillRect/>
        </a:stretch>
      </xdr:blipFill>
      <xdr:spPr>
        <a:xfrm>
          <a:off x="1524000" y="18478500"/>
          <a:ext cx="6353175" cy="43344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1309688</xdr:colOff>
      <xdr:row>4</xdr:row>
      <xdr:rowOff>166686</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20ADF84B-C3FA-44B5-8E91-CC9EB462C1C9}"/>
            </a:ext>
          </a:extLst>
        </xdr:cNvPr>
        <xdr:cNvSpPr/>
      </xdr:nvSpPr>
      <xdr:spPr bwMode="auto">
        <a:xfrm flipH="1">
          <a:off x="762000" y="190500"/>
          <a:ext cx="1309688" cy="750092"/>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559595</xdr:colOff>
      <xdr:row>34</xdr:row>
      <xdr:rowOff>130968</xdr:rowOff>
    </xdr:from>
    <xdr:to>
      <xdr:col>18</xdr:col>
      <xdr:colOff>190500</xdr:colOff>
      <xdr:row>49</xdr:row>
      <xdr:rowOff>107155</xdr:rowOff>
    </xdr:to>
    <xdr:graphicFrame macro="">
      <xdr:nvGraphicFramePr>
        <xdr:cNvPr id="3" name="Gráfico 2">
          <a:extLst>
            <a:ext uri="{FF2B5EF4-FFF2-40B4-BE49-F238E27FC236}">
              <a16:creationId xmlns:a16="http://schemas.microsoft.com/office/drawing/2014/main" id="{8DD745ED-69D7-4FFB-88B0-CD30DE9CB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500062</xdr:colOff>
      <xdr:row>50</xdr:row>
      <xdr:rowOff>178593</xdr:rowOff>
    </xdr:from>
    <xdr:to>
      <xdr:col>18</xdr:col>
      <xdr:colOff>369093</xdr:colOff>
      <xdr:row>68</xdr:row>
      <xdr:rowOff>83345</xdr:rowOff>
    </xdr:to>
    <xdr:graphicFrame macro="">
      <xdr:nvGraphicFramePr>
        <xdr:cNvPr id="4" name="Gráfico 3">
          <a:extLst>
            <a:ext uri="{FF2B5EF4-FFF2-40B4-BE49-F238E27FC236}">
              <a16:creationId xmlns:a16="http://schemas.microsoft.com/office/drawing/2014/main" id="{1C48E9CE-0823-42E5-9EE1-8A8783DFD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714375</xdr:colOff>
      <xdr:row>34</xdr:row>
      <xdr:rowOff>166687</xdr:rowOff>
    </xdr:from>
    <xdr:to>
      <xdr:col>30</xdr:col>
      <xdr:colOff>583406</xdr:colOff>
      <xdr:row>49</xdr:row>
      <xdr:rowOff>142874</xdr:rowOff>
    </xdr:to>
    <xdr:graphicFrame macro="">
      <xdr:nvGraphicFramePr>
        <xdr:cNvPr id="5" name="Gráfico 4">
          <a:extLst>
            <a:ext uri="{FF2B5EF4-FFF2-40B4-BE49-F238E27FC236}">
              <a16:creationId xmlns:a16="http://schemas.microsoft.com/office/drawing/2014/main" id="{D7D69434-3E43-40DA-BC54-40912BDC9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714374</xdr:colOff>
      <xdr:row>51</xdr:row>
      <xdr:rowOff>47626</xdr:rowOff>
    </xdr:from>
    <xdr:to>
      <xdr:col>30</xdr:col>
      <xdr:colOff>559593</xdr:colOff>
      <xdr:row>66</xdr:row>
      <xdr:rowOff>23813</xdr:rowOff>
    </xdr:to>
    <xdr:graphicFrame macro="">
      <xdr:nvGraphicFramePr>
        <xdr:cNvPr id="6" name="Gráfico 5">
          <a:extLst>
            <a:ext uri="{FF2B5EF4-FFF2-40B4-BE49-F238E27FC236}">
              <a16:creationId xmlns:a16="http://schemas.microsoft.com/office/drawing/2014/main" id="{2DF18851-339A-459F-A233-E9A02BFB8F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95254</xdr:colOff>
      <xdr:row>0</xdr:row>
      <xdr:rowOff>71439</xdr:rowOff>
    </xdr:from>
    <xdr:to>
      <xdr:col>0</xdr:col>
      <xdr:colOff>1404942</xdr:colOff>
      <xdr:row>4</xdr:row>
      <xdr:rowOff>47625</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1D88BE75-51FB-4CAA-A23D-EEF52EBDD384}"/>
            </a:ext>
          </a:extLst>
        </xdr:cNvPr>
        <xdr:cNvSpPr/>
      </xdr:nvSpPr>
      <xdr:spPr bwMode="auto">
        <a:xfrm flipH="1">
          <a:off x="95254" y="71439"/>
          <a:ext cx="1309688" cy="700086"/>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1</xdr:col>
      <xdr:colOff>0</xdr:colOff>
      <xdr:row>1</xdr:row>
      <xdr:rowOff>0</xdr:rowOff>
    </xdr:from>
    <xdr:to>
      <xdr:col>1</xdr:col>
      <xdr:colOff>333375</xdr:colOff>
      <xdr:row>2</xdr:row>
      <xdr:rowOff>119063</xdr:rowOff>
    </xdr:to>
    <xdr:sp macro="" textlink="">
      <xdr:nvSpPr>
        <xdr:cNvPr id="3" name="Estrella: 5 puntas 2">
          <a:hlinkClick xmlns:r="http://schemas.openxmlformats.org/officeDocument/2006/relationships" r:id="rId2"/>
          <a:extLst>
            <a:ext uri="{FF2B5EF4-FFF2-40B4-BE49-F238E27FC236}">
              <a16:creationId xmlns:a16="http://schemas.microsoft.com/office/drawing/2014/main" id="{1B005E49-FF18-4CF0-843F-C8E50A79A94B}"/>
            </a:ext>
          </a:extLst>
        </xdr:cNvPr>
        <xdr:cNvSpPr/>
      </xdr:nvSpPr>
      <xdr:spPr bwMode="auto">
        <a:xfrm>
          <a:off x="2800350" y="161925"/>
          <a:ext cx="333375" cy="280988"/>
        </a:xfrm>
        <a:prstGeom prst="star5">
          <a:avLst/>
        </a:prstGeom>
        <a:solidFill>
          <a:srgbClr val="00206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s-C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595312</xdr:colOff>
      <xdr:row>3</xdr:row>
      <xdr:rowOff>130967</xdr:rowOff>
    </xdr:from>
    <xdr:to>
      <xdr:col>1</xdr:col>
      <xdr:colOff>35719</xdr:colOff>
      <xdr:row>6</xdr:row>
      <xdr:rowOff>226216</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BED461FA-B071-49BE-9244-C7255093F232}"/>
            </a:ext>
          </a:extLst>
        </xdr:cNvPr>
        <xdr:cNvSpPr/>
      </xdr:nvSpPr>
      <xdr:spPr bwMode="auto">
        <a:xfrm flipH="1">
          <a:off x="595312" y="616742"/>
          <a:ext cx="1307307" cy="72389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1309688</xdr:colOff>
      <xdr:row>4</xdr:row>
      <xdr:rowOff>90487</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08DCCEE0-0228-4946-8170-AD8C1E2D25AE}"/>
            </a:ext>
          </a:extLst>
        </xdr:cNvPr>
        <xdr:cNvSpPr/>
      </xdr:nvSpPr>
      <xdr:spPr bwMode="auto">
        <a:xfrm flipH="1">
          <a:off x="0" y="190500"/>
          <a:ext cx="1309688" cy="673893"/>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333375</xdr:colOff>
      <xdr:row>2</xdr:row>
      <xdr:rowOff>47625</xdr:rowOff>
    </xdr:from>
    <xdr:to>
      <xdr:col>32</xdr:col>
      <xdr:colOff>750093</xdr:colOff>
      <xdr:row>3</xdr:row>
      <xdr:rowOff>178593</xdr:rowOff>
    </xdr:to>
    <xdr:sp macro="" textlink="">
      <xdr:nvSpPr>
        <xdr:cNvPr id="2" name="Flecha derecha 5">
          <a:hlinkClick xmlns:r="http://schemas.openxmlformats.org/officeDocument/2006/relationships" r:id="rId1"/>
          <a:extLst>
            <a:ext uri="{FF2B5EF4-FFF2-40B4-BE49-F238E27FC236}">
              <a16:creationId xmlns:a16="http://schemas.microsoft.com/office/drawing/2014/main" id="{265C7223-B12B-4B45-A230-84E95CF5F493}"/>
            </a:ext>
          </a:extLst>
        </xdr:cNvPr>
        <xdr:cNvSpPr/>
      </xdr:nvSpPr>
      <xdr:spPr bwMode="auto">
        <a:xfrm rot="10800000">
          <a:off x="38109525" y="371475"/>
          <a:ext cx="416718" cy="292893"/>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3" name="Flecha derecha 6">
          <a:hlinkClick xmlns:r="http://schemas.openxmlformats.org/officeDocument/2006/relationships" r:id="rId1"/>
          <a:extLst>
            <a:ext uri="{FF2B5EF4-FFF2-40B4-BE49-F238E27FC236}">
              <a16:creationId xmlns:a16="http://schemas.microsoft.com/office/drawing/2014/main" id="{E361CD04-AC36-48D7-9194-B091BE46540E}"/>
            </a:ext>
          </a:extLst>
        </xdr:cNvPr>
        <xdr:cNvSpPr/>
      </xdr:nvSpPr>
      <xdr:spPr bwMode="auto">
        <a:xfrm rot="10800000">
          <a:off x="3054667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4" name="Flecha derecha 7">
          <a:hlinkClick xmlns:r="http://schemas.openxmlformats.org/officeDocument/2006/relationships" r:id="rId1"/>
          <a:extLst>
            <a:ext uri="{FF2B5EF4-FFF2-40B4-BE49-F238E27FC236}">
              <a16:creationId xmlns:a16="http://schemas.microsoft.com/office/drawing/2014/main" id="{A0FD6934-FB2E-4521-AC8E-3103660A5355}"/>
            </a:ext>
          </a:extLst>
        </xdr:cNvPr>
        <xdr:cNvSpPr/>
      </xdr:nvSpPr>
      <xdr:spPr bwMode="auto">
        <a:xfrm rot="10800000">
          <a:off x="2414587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5" name="Flecha derecha 8">
          <a:hlinkClick xmlns:r="http://schemas.openxmlformats.org/officeDocument/2006/relationships" r:id="rId1"/>
          <a:extLst>
            <a:ext uri="{FF2B5EF4-FFF2-40B4-BE49-F238E27FC236}">
              <a16:creationId xmlns:a16="http://schemas.microsoft.com/office/drawing/2014/main" id="{B1B35011-443E-422E-9C78-8447D70DAD22}"/>
            </a:ext>
          </a:extLst>
        </xdr:cNvPr>
        <xdr:cNvSpPr/>
      </xdr:nvSpPr>
      <xdr:spPr bwMode="auto">
        <a:xfrm rot="10800000">
          <a:off x="16209169" y="509588"/>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6" name="Flecha derecha 10">
          <a:hlinkClick xmlns:r="http://schemas.openxmlformats.org/officeDocument/2006/relationships" r:id="rId1"/>
          <a:extLst>
            <a:ext uri="{FF2B5EF4-FFF2-40B4-BE49-F238E27FC236}">
              <a16:creationId xmlns:a16="http://schemas.microsoft.com/office/drawing/2014/main" id="{6BCD8184-A47A-47B4-B2AD-34C08BC951CB}"/>
            </a:ext>
          </a:extLst>
        </xdr:cNvPr>
        <xdr:cNvSpPr/>
      </xdr:nvSpPr>
      <xdr:spPr bwMode="auto">
        <a:xfrm rot="10800000">
          <a:off x="44253150"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xdr:col>
      <xdr:colOff>0</xdr:colOff>
      <xdr:row>2</xdr:row>
      <xdr:rowOff>0</xdr:rowOff>
    </xdr:from>
    <xdr:to>
      <xdr:col>1</xdr:col>
      <xdr:colOff>1309688</xdr:colOff>
      <xdr:row>5</xdr:row>
      <xdr:rowOff>142874</xdr:rowOff>
    </xdr:to>
    <xdr:sp macro="" textlink="">
      <xdr:nvSpPr>
        <xdr:cNvPr id="7" name="Flecha: a la derecha 1">
          <a:hlinkClick xmlns:r="http://schemas.openxmlformats.org/officeDocument/2006/relationships" r:id="rId2"/>
          <a:extLst>
            <a:ext uri="{FF2B5EF4-FFF2-40B4-BE49-F238E27FC236}">
              <a16:creationId xmlns:a16="http://schemas.microsoft.com/office/drawing/2014/main" id="{1DC56070-3C57-4181-8255-1F3A6C1495B3}"/>
            </a:ext>
          </a:extLst>
        </xdr:cNvPr>
        <xdr:cNvSpPr/>
      </xdr:nvSpPr>
      <xdr:spPr bwMode="auto">
        <a:xfrm flipH="1">
          <a:off x="1876425" y="323850"/>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32</xdr:col>
      <xdr:colOff>333375</xdr:colOff>
      <xdr:row>2</xdr:row>
      <xdr:rowOff>47625</xdr:rowOff>
    </xdr:from>
    <xdr:to>
      <xdr:col>32</xdr:col>
      <xdr:colOff>750093</xdr:colOff>
      <xdr:row>3</xdr:row>
      <xdr:rowOff>178593</xdr:rowOff>
    </xdr:to>
    <xdr:sp macro="" textlink="">
      <xdr:nvSpPr>
        <xdr:cNvPr id="8" name="Flecha derecha 5">
          <a:hlinkClick xmlns:r="http://schemas.openxmlformats.org/officeDocument/2006/relationships" r:id="rId1"/>
          <a:extLst>
            <a:ext uri="{FF2B5EF4-FFF2-40B4-BE49-F238E27FC236}">
              <a16:creationId xmlns:a16="http://schemas.microsoft.com/office/drawing/2014/main" id="{3B905350-4BD4-46C7-A625-06F638B815D9}"/>
            </a:ext>
          </a:extLst>
        </xdr:cNvPr>
        <xdr:cNvSpPr/>
      </xdr:nvSpPr>
      <xdr:spPr bwMode="auto">
        <a:xfrm rot="10800000">
          <a:off x="37385625" y="428625"/>
          <a:ext cx="416718" cy="321468"/>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9" name="Flecha derecha 6">
          <a:hlinkClick xmlns:r="http://schemas.openxmlformats.org/officeDocument/2006/relationships" r:id="rId1"/>
          <a:extLst>
            <a:ext uri="{FF2B5EF4-FFF2-40B4-BE49-F238E27FC236}">
              <a16:creationId xmlns:a16="http://schemas.microsoft.com/office/drawing/2014/main" id="{B18E6C96-F884-470C-9341-6EDD0EBBD356}"/>
            </a:ext>
          </a:extLst>
        </xdr:cNvPr>
        <xdr:cNvSpPr/>
      </xdr:nvSpPr>
      <xdr:spPr bwMode="auto">
        <a:xfrm rot="10800000">
          <a:off x="29822775"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10" name="Flecha derecha 7">
          <a:hlinkClick xmlns:r="http://schemas.openxmlformats.org/officeDocument/2006/relationships" r:id="rId1"/>
          <a:extLst>
            <a:ext uri="{FF2B5EF4-FFF2-40B4-BE49-F238E27FC236}">
              <a16:creationId xmlns:a16="http://schemas.microsoft.com/office/drawing/2014/main" id="{8B91F39E-00CA-420E-910A-830CD2BCE624}"/>
            </a:ext>
          </a:extLst>
        </xdr:cNvPr>
        <xdr:cNvSpPr/>
      </xdr:nvSpPr>
      <xdr:spPr bwMode="auto">
        <a:xfrm rot="10800000">
          <a:off x="23421975"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11" name="Flecha derecha 8">
          <a:hlinkClick xmlns:r="http://schemas.openxmlformats.org/officeDocument/2006/relationships" r:id="rId1"/>
          <a:extLst>
            <a:ext uri="{FF2B5EF4-FFF2-40B4-BE49-F238E27FC236}">
              <a16:creationId xmlns:a16="http://schemas.microsoft.com/office/drawing/2014/main" id="{DEF30BA9-D5EB-4940-ACEA-7C60E23B89DC}"/>
            </a:ext>
          </a:extLst>
        </xdr:cNvPr>
        <xdr:cNvSpPr/>
      </xdr:nvSpPr>
      <xdr:spPr bwMode="auto">
        <a:xfrm rot="10800000">
          <a:off x="15285244" y="595313"/>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12" name="Flecha derecha 10">
          <a:hlinkClick xmlns:r="http://schemas.openxmlformats.org/officeDocument/2006/relationships" r:id="rId1"/>
          <a:extLst>
            <a:ext uri="{FF2B5EF4-FFF2-40B4-BE49-F238E27FC236}">
              <a16:creationId xmlns:a16="http://schemas.microsoft.com/office/drawing/2014/main" id="{B787A9B8-6F48-4465-BA40-B1598D1AB0DB}"/>
            </a:ext>
          </a:extLst>
        </xdr:cNvPr>
        <xdr:cNvSpPr/>
      </xdr:nvSpPr>
      <xdr:spPr bwMode="auto">
        <a:xfrm rot="10800000">
          <a:off x="43529250"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xdr:col>
      <xdr:colOff>0</xdr:colOff>
      <xdr:row>2</xdr:row>
      <xdr:rowOff>0</xdr:rowOff>
    </xdr:from>
    <xdr:to>
      <xdr:col>1</xdr:col>
      <xdr:colOff>1309688</xdr:colOff>
      <xdr:row>5</xdr:row>
      <xdr:rowOff>142874</xdr:rowOff>
    </xdr:to>
    <xdr:sp macro="" textlink="">
      <xdr:nvSpPr>
        <xdr:cNvPr id="13" name="Flecha: a la derecha 1">
          <a:hlinkClick xmlns:r="http://schemas.openxmlformats.org/officeDocument/2006/relationships" r:id="rId2"/>
          <a:extLst>
            <a:ext uri="{FF2B5EF4-FFF2-40B4-BE49-F238E27FC236}">
              <a16:creationId xmlns:a16="http://schemas.microsoft.com/office/drawing/2014/main" id="{BF0EFDC7-DEC8-40BA-BF9B-A8CA1D353A42}"/>
            </a:ext>
          </a:extLst>
        </xdr:cNvPr>
        <xdr:cNvSpPr/>
      </xdr:nvSpPr>
      <xdr:spPr bwMode="auto">
        <a:xfrm flipH="1">
          <a:off x="1876425" y="381000"/>
          <a:ext cx="1309688" cy="72389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32</xdr:col>
      <xdr:colOff>333375</xdr:colOff>
      <xdr:row>2</xdr:row>
      <xdr:rowOff>47625</xdr:rowOff>
    </xdr:from>
    <xdr:to>
      <xdr:col>32</xdr:col>
      <xdr:colOff>750093</xdr:colOff>
      <xdr:row>3</xdr:row>
      <xdr:rowOff>178593</xdr:rowOff>
    </xdr:to>
    <xdr:sp macro="" textlink="">
      <xdr:nvSpPr>
        <xdr:cNvPr id="14" name="Flecha derecha 5">
          <a:hlinkClick xmlns:r="http://schemas.openxmlformats.org/officeDocument/2006/relationships" r:id="rId1"/>
          <a:extLst>
            <a:ext uri="{FF2B5EF4-FFF2-40B4-BE49-F238E27FC236}">
              <a16:creationId xmlns:a16="http://schemas.microsoft.com/office/drawing/2014/main" id="{A3D4F1DB-ABAB-4D3A-8C39-60A54E981AD8}"/>
            </a:ext>
          </a:extLst>
        </xdr:cNvPr>
        <xdr:cNvSpPr/>
      </xdr:nvSpPr>
      <xdr:spPr bwMode="auto">
        <a:xfrm rot="10800000">
          <a:off x="37385625" y="428625"/>
          <a:ext cx="416718" cy="321468"/>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15" name="Flecha derecha 6">
          <a:hlinkClick xmlns:r="http://schemas.openxmlformats.org/officeDocument/2006/relationships" r:id="rId1"/>
          <a:extLst>
            <a:ext uri="{FF2B5EF4-FFF2-40B4-BE49-F238E27FC236}">
              <a16:creationId xmlns:a16="http://schemas.microsoft.com/office/drawing/2014/main" id="{7D4C9C26-0508-451D-BFBB-6CEA3632F3AC}"/>
            </a:ext>
          </a:extLst>
        </xdr:cNvPr>
        <xdr:cNvSpPr/>
      </xdr:nvSpPr>
      <xdr:spPr bwMode="auto">
        <a:xfrm rot="10800000">
          <a:off x="29822775"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16" name="Flecha derecha 7">
          <a:hlinkClick xmlns:r="http://schemas.openxmlformats.org/officeDocument/2006/relationships" r:id="rId1"/>
          <a:extLst>
            <a:ext uri="{FF2B5EF4-FFF2-40B4-BE49-F238E27FC236}">
              <a16:creationId xmlns:a16="http://schemas.microsoft.com/office/drawing/2014/main" id="{76CE24EF-D3E9-4600-BCD6-8EB921DB8429}"/>
            </a:ext>
          </a:extLst>
        </xdr:cNvPr>
        <xdr:cNvSpPr/>
      </xdr:nvSpPr>
      <xdr:spPr bwMode="auto">
        <a:xfrm rot="10800000">
          <a:off x="23421975"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17" name="Flecha derecha 8">
          <a:hlinkClick xmlns:r="http://schemas.openxmlformats.org/officeDocument/2006/relationships" r:id="rId1"/>
          <a:extLst>
            <a:ext uri="{FF2B5EF4-FFF2-40B4-BE49-F238E27FC236}">
              <a16:creationId xmlns:a16="http://schemas.microsoft.com/office/drawing/2014/main" id="{35CC9899-8139-464E-8507-CA9248CA305C}"/>
            </a:ext>
          </a:extLst>
        </xdr:cNvPr>
        <xdr:cNvSpPr/>
      </xdr:nvSpPr>
      <xdr:spPr bwMode="auto">
        <a:xfrm rot="10800000">
          <a:off x="15285244" y="595313"/>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18" name="Flecha derecha 10">
          <a:hlinkClick xmlns:r="http://schemas.openxmlformats.org/officeDocument/2006/relationships" r:id="rId1"/>
          <a:extLst>
            <a:ext uri="{FF2B5EF4-FFF2-40B4-BE49-F238E27FC236}">
              <a16:creationId xmlns:a16="http://schemas.microsoft.com/office/drawing/2014/main" id="{808DC123-88C7-4C47-90D3-88BC995CB752}"/>
            </a:ext>
          </a:extLst>
        </xdr:cNvPr>
        <xdr:cNvSpPr/>
      </xdr:nvSpPr>
      <xdr:spPr bwMode="auto">
        <a:xfrm rot="10800000">
          <a:off x="43529250"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xdr:col>
      <xdr:colOff>0</xdr:colOff>
      <xdr:row>2</xdr:row>
      <xdr:rowOff>0</xdr:rowOff>
    </xdr:from>
    <xdr:to>
      <xdr:col>1</xdr:col>
      <xdr:colOff>1309688</xdr:colOff>
      <xdr:row>5</xdr:row>
      <xdr:rowOff>142874</xdr:rowOff>
    </xdr:to>
    <xdr:sp macro="" textlink="">
      <xdr:nvSpPr>
        <xdr:cNvPr id="19" name="Flecha: a la derecha 1">
          <a:hlinkClick xmlns:r="http://schemas.openxmlformats.org/officeDocument/2006/relationships" r:id="rId2"/>
          <a:extLst>
            <a:ext uri="{FF2B5EF4-FFF2-40B4-BE49-F238E27FC236}">
              <a16:creationId xmlns:a16="http://schemas.microsoft.com/office/drawing/2014/main" id="{1E104529-EF9B-446A-A28B-F5B645AB1E43}"/>
            </a:ext>
          </a:extLst>
        </xdr:cNvPr>
        <xdr:cNvSpPr/>
      </xdr:nvSpPr>
      <xdr:spPr bwMode="auto">
        <a:xfrm flipH="1">
          <a:off x="1876425" y="381000"/>
          <a:ext cx="1309688" cy="72389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95248</xdr:colOff>
      <xdr:row>0</xdr:row>
      <xdr:rowOff>130970</xdr:rowOff>
    </xdr:from>
    <xdr:to>
      <xdr:col>0</xdr:col>
      <xdr:colOff>1404936</xdr:colOff>
      <xdr:row>4</xdr:row>
      <xdr:rowOff>130969</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4F4ADBD-F2B8-4F57-98EF-EE03AB2075FE}"/>
            </a:ext>
          </a:extLst>
        </xdr:cNvPr>
        <xdr:cNvSpPr/>
      </xdr:nvSpPr>
      <xdr:spPr bwMode="auto">
        <a:xfrm flipH="1">
          <a:off x="95248" y="130970"/>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1309688</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98903C2-517F-40CF-803C-31B905E47A70}"/>
            </a:ext>
          </a:extLst>
        </xdr:cNvPr>
        <xdr:cNvSpPr/>
      </xdr:nvSpPr>
      <xdr:spPr bwMode="auto">
        <a:xfrm flipH="1">
          <a:off x="476250" y="161925"/>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59530</xdr:colOff>
      <xdr:row>1</xdr:row>
      <xdr:rowOff>0</xdr:rowOff>
    </xdr:from>
    <xdr:to>
      <xdr:col>0</xdr:col>
      <xdr:colOff>1369218</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915097FA-E5C4-4FB9-894F-44CAFA519371}"/>
            </a:ext>
          </a:extLst>
        </xdr:cNvPr>
        <xdr:cNvSpPr/>
      </xdr:nvSpPr>
      <xdr:spPr bwMode="auto">
        <a:xfrm flipH="1">
          <a:off x="59530" y="161925"/>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547688</xdr:colOff>
      <xdr:row>5</xdr:row>
      <xdr:rowOff>-1</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BF06DC30-E72B-4C64-86B9-1C89BB3F761A}"/>
            </a:ext>
          </a:extLst>
        </xdr:cNvPr>
        <xdr:cNvSpPr/>
      </xdr:nvSpPr>
      <xdr:spPr bwMode="auto">
        <a:xfrm flipH="1">
          <a:off x="371475" y="161925"/>
          <a:ext cx="1309688" cy="69532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96187308\Desktop\Tablas%20Antiguas\6000%20BIENMONTT%20TARIFA%202022%20A.%20RECRE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Índice Tablas"/>
      <sheetName val="A) Resumen Ingresos y Egresos"/>
      <sheetName val="B) Reajuste Tarifas y Ocupación"/>
      <sheetName val="C) Estimación Costos Directos"/>
      <sheetName val="D) Costos Indirectos "/>
      <sheetName val="E) Resumen Tarifado "/>
      <sheetName val="F) Remuneraciones"/>
      <sheetName val="G) Comparación Mercado"/>
      <sheetName val="H) Detalle Datos"/>
      <sheetName val="I)Estructua Económica Mensual"/>
    </sheetNames>
    <sheetDataSet>
      <sheetData sheetId="0" refreshError="1"/>
      <sheetData sheetId="1" refreshError="1"/>
      <sheetData sheetId="2" refreshError="1"/>
      <sheetData sheetId="3" refreshError="1">
        <row r="5">
          <cell r="F5" t="str">
            <v>BIENMONTT</v>
          </cell>
        </row>
        <row r="12">
          <cell r="B12" t="str">
            <v>Cabaña</v>
          </cell>
        </row>
        <row r="13">
          <cell r="B13" t="str">
            <v>Early check-in/Late check-out</v>
          </cell>
        </row>
        <row r="14">
          <cell r="B14" t="str">
            <v>Cabaña</v>
          </cell>
        </row>
        <row r="15">
          <cell r="B15" t="str">
            <v>Cabaña</v>
          </cell>
        </row>
        <row r="16">
          <cell r="B16" t="str">
            <v>Early check-in/Late check-out</v>
          </cell>
        </row>
        <row r="17">
          <cell r="B17" t="str">
            <v xml:space="preserve">Cabaña </v>
          </cell>
        </row>
        <row r="18">
          <cell r="B18" t="str">
            <v xml:space="preserve">Arriendo </v>
          </cell>
        </row>
        <row r="19">
          <cell r="B19" t="str">
            <v>Arriendo (hora)</v>
          </cell>
        </row>
      </sheetData>
      <sheetData sheetId="4" refreshError="1"/>
      <sheetData sheetId="5" refreshError="1"/>
      <sheetData sheetId="6" refreshError="1"/>
      <sheetData sheetId="7" refreshError="1">
        <row r="11">
          <cell r="M11">
            <v>12236833.763</v>
          </cell>
        </row>
        <row r="36">
          <cell r="I36">
            <v>0</v>
          </cell>
        </row>
        <row r="37">
          <cell r="I37">
            <v>0</v>
          </cell>
        </row>
        <row r="38">
          <cell r="I38">
            <v>0</v>
          </cell>
        </row>
        <row r="39">
          <cell r="I39">
            <v>0</v>
          </cell>
        </row>
        <row r="40">
          <cell r="I40">
            <v>0</v>
          </cell>
        </row>
        <row r="41">
          <cell r="I41">
            <v>0</v>
          </cell>
        </row>
        <row r="42">
          <cell r="I42">
            <v>0</v>
          </cell>
        </row>
        <row r="43">
          <cell r="I43">
            <v>0</v>
          </cell>
        </row>
        <row r="44">
          <cell r="I44">
            <v>0</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M2:N135"/>
  <sheetViews>
    <sheetView showGridLines="0" topLeftCell="A8" zoomScale="115" zoomScaleNormal="115" workbookViewId="0">
      <selection activeCell="Y30" sqref="Y30"/>
    </sheetView>
  </sheetViews>
  <sheetFormatPr baseColWidth="10" defaultRowHeight="15" x14ac:dyDescent="0.25"/>
  <cols>
    <col min="1" max="16384" width="11.42578125" style="385"/>
  </cols>
  <sheetData>
    <row r="2" spans="13:14" x14ac:dyDescent="0.25">
      <c r="N2" s="385" t="s">
        <v>313</v>
      </c>
    </row>
    <row r="8" spans="13:14" x14ac:dyDescent="0.25">
      <c r="M8" s="767"/>
    </row>
    <row r="9" spans="13:14" x14ac:dyDescent="0.25">
      <c r="M9" s="767"/>
    </row>
    <row r="10" spans="13:14" x14ac:dyDescent="0.25">
      <c r="M10" s="767"/>
    </row>
    <row r="11" spans="13:14" x14ac:dyDescent="0.25">
      <c r="M11" s="767"/>
    </row>
    <row r="12" spans="13:14" x14ac:dyDescent="0.25">
      <c r="M12" s="767"/>
    </row>
    <row r="13" spans="13:14" x14ac:dyDescent="0.25">
      <c r="M13" s="767"/>
    </row>
    <row r="14" spans="13:14" x14ac:dyDescent="0.25">
      <c r="M14" s="767"/>
    </row>
    <row r="15" spans="13:14" x14ac:dyDescent="0.25">
      <c r="M15" s="767"/>
    </row>
    <row r="16" spans="13:14" x14ac:dyDescent="0.25">
      <c r="M16" s="767"/>
    </row>
    <row r="17" spans="13:13" x14ac:dyDescent="0.25">
      <c r="M17" s="767"/>
    </row>
    <row r="18" spans="13:13" x14ac:dyDescent="0.25">
      <c r="M18" s="767"/>
    </row>
    <row r="19" spans="13:13" x14ac:dyDescent="0.25">
      <c r="M19" s="767"/>
    </row>
    <row r="20" spans="13:13" x14ac:dyDescent="0.25">
      <c r="M20" s="767"/>
    </row>
    <row r="21" spans="13:13" x14ac:dyDescent="0.25">
      <c r="M21" s="767"/>
    </row>
    <row r="22" spans="13:13" x14ac:dyDescent="0.25">
      <c r="M22" s="767"/>
    </row>
    <row r="23" spans="13:13" x14ac:dyDescent="0.25">
      <c r="M23" s="767"/>
    </row>
    <row r="24" spans="13:13" x14ac:dyDescent="0.25">
      <c r="M24" s="767"/>
    </row>
    <row r="25" spans="13:13" x14ac:dyDescent="0.25">
      <c r="M25" s="767"/>
    </row>
    <row r="26" spans="13:13" x14ac:dyDescent="0.25">
      <c r="M26" s="767"/>
    </row>
    <row r="27" spans="13:13" x14ac:dyDescent="0.25">
      <c r="M27" s="767"/>
    </row>
    <row r="28" spans="13:13" x14ac:dyDescent="0.25">
      <c r="M28" s="767"/>
    </row>
    <row r="29" spans="13:13" x14ac:dyDescent="0.25">
      <c r="M29" s="767"/>
    </row>
    <row r="30" spans="13:13" x14ac:dyDescent="0.25">
      <c r="M30" s="767"/>
    </row>
    <row r="31" spans="13:13" x14ac:dyDescent="0.25">
      <c r="M31" s="767"/>
    </row>
    <row r="32" spans="13:13" x14ac:dyDescent="0.25">
      <c r="M32" s="767"/>
    </row>
    <row r="33" spans="13:13" x14ac:dyDescent="0.25">
      <c r="M33" s="767"/>
    </row>
    <row r="34" spans="13:13" x14ac:dyDescent="0.25">
      <c r="M34" s="767"/>
    </row>
    <row r="35" spans="13:13" x14ac:dyDescent="0.25">
      <c r="M35" s="767"/>
    </row>
    <row r="36" spans="13:13" x14ac:dyDescent="0.25">
      <c r="M36" s="767"/>
    </row>
    <row r="37" spans="13:13" x14ac:dyDescent="0.25">
      <c r="M37" s="767"/>
    </row>
    <row r="38" spans="13:13" x14ac:dyDescent="0.25">
      <c r="M38" s="767"/>
    </row>
    <row r="39" spans="13:13" x14ac:dyDescent="0.25">
      <c r="M39" s="767"/>
    </row>
    <row r="40" spans="13:13" x14ac:dyDescent="0.25">
      <c r="M40" s="767"/>
    </row>
    <row r="41" spans="13:13" x14ac:dyDescent="0.25">
      <c r="M41" s="767"/>
    </row>
    <row r="42" spans="13:13" x14ac:dyDescent="0.25">
      <c r="M42" s="767"/>
    </row>
    <row r="43" spans="13:13" x14ac:dyDescent="0.25">
      <c r="M43" s="767"/>
    </row>
    <row r="44" spans="13:13" x14ac:dyDescent="0.25">
      <c r="M44" s="767"/>
    </row>
    <row r="45" spans="13:13" x14ac:dyDescent="0.25">
      <c r="M45" s="767"/>
    </row>
    <row r="46" spans="13:13" x14ac:dyDescent="0.25">
      <c r="M46" s="767"/>
    </row>
    <row r="47" spans="13:13" x14ac:dyDescent="0.25">
      <c r="M47" s="767"/>
    </row>
    <row r="48" spans="13:13" s="769" customFormat="1" x14ac:dyDescent="0.25">
      <c r="M48" s="768"/>
    </row>
    <row r="49" spans="13:13" x14ac:dyDescent="0.25">
      <c r="M49" s="767"/>
    </row>
    <row r="50" spans="13:13" x14ac:dyDescent="0.25">
      <c r="M50" s="767"/>
    </row>
    <row r="51" spans="13:13" x14ac:dyDescent="0.25">
      <c r="M51" s="767"/>
    </row>
    <row r="52" spans="13:13" x14ac:dyDescent="0.25">
      <c r="M52" s="767"/>
    </row>
    <row r="53" spans="13:13" x14ac:dyDescent="0.25">
      <c r="M53" s="767"/>
    </row>
    <row r="54" spans="13:13" x14ac:dyDescent="0.25">
      <c r="M54" s="767"/>
    </row>
    <row r="55" spans="13:13" x14ac:dyDescent="0.25">
      <c r="M55" s="767"/>
    </row>
    <row r="56" spans="13:13" x14ac:dyDescent="0.25">
      <c r="M56" s="767"/>
    </row>
    <row r="57" spans="13:13" x14ac:dyDescent="0.25">
      <c r="M57" s="767"/>
    </row>
    <row r="58" spans="13:13" x14ac:dyDescent="0.25">
      <c r="M58" s="767"/>
    </row>
    <row r="59" spans="13:13" x14ac:dyDescent="0.25">
      <c r="M59" s="767"/>
    </row>
    <row r="60" spans="13:13" x14ac:dyDescent="0.25">
      <c r="M60" s="767"/>
    </row>
    <row r="61" spans="13:13" x14ac:dyDescent="0.25">
      <c r="M61" s="767"/>
    </row>
    <row r="62" spans="13:13" x14ac:dyDescent="0.25">
      <c r="M62" s="767"/>
    </row>
    <row r="63" spans="13:13" x14ac:dyDescent="0.25">
      <c r="M63" s="767"/>
    </row>
    <row r="64" spans="13:13" x14ac:dyDescent="0.25">
      <c r="M64" s="767"/>
    </row>
    <row r="65" spans="13:13" x14ac:dyDescent="0.25">
      <c r="M65" s="767"/>
    </row>
    <row r="66" spans="13:13" x14ac:dyDescent="0.25">
      <c r="M66" s="767"/>
    </row>
    <row r="67" spans="13:13" x14ac:dyDescent="0.25">
      <c r="M67" s="767"/>
    </row>
    <row r="68" spans="13:13" x14ac:dyDescent="0.25">
      <c r="M68" s="767"/>
    </row>
    <row r="69" spans="13:13" x14ac:dyDescent="0.25">
      <c r="M69" s="767"/>
    </row>
    <row r="70" spans="13:13" x14ac:dyDescent="0.25">
      <c r="M70" s="767"/>
    </row>
    <row r="71" spans="13:13" x14ac:dyDescent="0.25">
      <c r="M71" s="767"/>
    </row>
    <row r="72" spans="13:13" x14ac:dyDescent="0.25">
      <c r="M72" s="767"/>
    </row>
    <row r="73" spans="13:13" x14ac:dyDescent="0.25">
      <c r="M73" s="767"/>
    </row>
    <row r="74" spans="13:13" x14ac:dyDescent="0.25">
      <c r="M74" s="767"/>
    </row>
    <row r="75" spans="13:13" x14ac:dyDescent="0.25">
      <c r="M75" s="767"/>
    </row>
    <row r="76" spans="13:13" x14ac:dyDescent="0.25">
      <c r="M76" s="767"/>
    </row>
    <row r="77" spans="13:13" x14ac:dyDescent="0.25">
      <c r="M77" s="767"/>
    </row>
    <row r="78" spans="13:13" x14ac:dyDescent="0.25">
      <c r="M78" s="767"/>
    </row>
    <row r="79" spans="13:13" x14ac:dyDescent="0.25">
      <c r="M79" s="767"/>
    </row>
    <row r="80" spans="13:13" x14ac:dyDescent="0.25">
      <c r="M80" s="767"/>
    </row>
    <row r="81" spans="13:13" x14ac:dyDescent="0.25">
      <c r="M81" s="767"/>
    </row>
    <row r="82" spans="13:13" x14ac:dyDescent="0.25">
      <c r="M82" s="767"/>
    </row>
    <row r="83" spans="13:13" x14ac:dyDescent="0.25">
      <c r="M83" s="767"/>
    </row>
    <row r="84" spans="13:13" x14ac:dyDescent="0.25">
      <c r="M84" s="767"/>
    </row>
    <row r="85" spans="13:13" x14ac:dyDescent="0.25">
      <c r="M85" s="767"/>
    </row>
    <row r="86" spans="13:13" x14ac:dyDescent="0.25">
      <c r="M86" s="767"/>
    </row>
    <row r="87" spans="13:13" x14ac:dyDescent="0.25">
      <c r="M87" s="767"/>
    </row>
    <row r="88" spans="13:13" x14ac:dyDescent="0.25">
      <c r="M88" s="767"/>
    </row>
    <row r="89" spans="13:13" x14ac:dyDescent="0.25">
      <c r="M89" s="767"/>
    </row>
    <row r="90" spans="13:13" x14ac:dyDescent="0.25">
      <c r="M90" s="767"/>
    </row>
    <row r="91" spans="13:13" x14ac:dyDescent="0.25">
      <c r="M91" s="767"/>
    </row>
    <row r="92" spans="13:13" x14ac:dyDescent="0.25">
      <c r="M92" s="767"/>
    </row>
    <row r="93" spans="13:13" x14ac:dyDescent="0.25">
      <c r="M93" s="767"/>
    </row>
    <row r="94" spans="13:13" s="769" customFormat="1" x14ac:dyDescent="0.25">
      <c r="M94" s="768"/>
    </row>
    <row r="95" spans="13:13" x14ac:dyDescent="0.25">
      <c r="M95" s="767"/>
    </row>
    <row r="96" spans="13:13" x14ac:dyDescent="0.25">
      <c r="M96" s="767"/>
    </row>
    <row r="97" spans="13:13" x14ac:dyDescent="0.25">
      <c r="M97" s="767"/>
    </row>
    <row r="98" spans="13:13" x14ac:dyDescent="0.25">
      <c r="M98" s="767"/>
    </row>
    <row r="99" spans="13:13" x14ac:dyDescent="0.25">
      <c r="M99" s="767"/>
    </row>
    <row r="100" spans="13:13" x14ac:dyDescent="0.25">
      <c r="M100" s="767"/>
    </row>
    <row r="101" spans="13:13" x14ac:dyDescent="0.25">
      <c r="M101" s="767"/>
    </row>
    <row r="102" spans="13:13" x14ac:dyDescent="0.25">
      <c r="M102" s="767"/>
    </row>
    <row r="103" spans="13:13" x14ac:dyDescent="0.25">
      <c r="M103" s="767"/>
    </row>
    <row r="104" spans="13:13" x14ac:dyDescent="0.25">
      <c r="M104" s="767"/>
    </row>
    <row r="105" spans="13:13" x14ac:dyDescent="0.25">
      <c r="M105" s="767"/>
    </row>
    <row r="106" spans="13:13" x14ac:dyDescent="0.25">
      <c r="M106" s="767"/>
    </row>
    <row r="107" spans="13:13" x14ac:dyDescent="0.25">
      <c r="M107" s="767"/>
    </row>
    <row r="108" spans="13:13" x14ac:dyDescent="0.25">
      <c r="M108" s="767"/>
    </row>
    <row r="109" spans="13:13" x14ac:dyDescent="0.25">
      <c r="M109" s="767"/>
    </row>
    <row r="110" spans="13:13" x14ac:dyDescent="0.25">
      <c r="M110" s="767"/>
    </row>
    <row r="111" spans="13:13" x14ac:dyDescent="0.25">
      <c r="M111" s="767"/>
    </row>
    <row r="112" spans="13:13" x14ac:dyDescent="0.25">
      <c r="M112" s="767"/>
    </row>
    <row r="113" spans="13:13" x14ac:dyDescent="0.25">
      <c r="M113" s="767"/>
    </row>
    <row r="114" spans="13:13" x14ac:dyDescent="0.25">
      <c r="M114" s="767"/>
    </row>
    <row r="115" spans="13:13" x14ac:dyDescent="0.25">
      <c r="M115" s="767"/>
    </row>
    <row r="116" spans="13:13" x14ac:dyDescent="0.25">
      <c r="M116" s="767"/>
    </row>
    <row r="117" spans="13:13" x14ac:dyDescent="0.25">
      <c r="M117" s="767"/>
    </row>
    <row r="118" spans="13:13" x14ac:dyDescent="0.25">
      <c r="M118" s="767"/>
    </row>
    <row r="119" spans="13:13" x14ac:dyDescent="0.25">
      <c r="M119" s="767"/>
    </row>
    <row r="120" spans="13:13" x14ac:dyDescent="0.25">
      <c r="M120" s="767"/>
    </row>
    <row r="121" spans="13:13" x14ac:dyDescent="0.25">
      <c r="M121" s="767"/>
    </row>
    <row r="122" spans="13:13" x14ac:dyDescent="0.25">
      <c r="M122" s="767"/>
    </row>
    <row r="123" spans="13:13" x14ac:dyDescent="0.25">
      <c r="M123" s="767"/>
    </row>
    <row r="124" spans="13:13" x14ac:dyDescent="0.25">
      <c r="M124" s="767"/>
    </row>
    <row r="125" spans="13:13" x14ac:dyDescent="0.25">
      <c r="M125" s="767"/>
    </row>
    <row r="126" spans="13:13" x14ac:dyDescent="0.25">
      <c r="M126" s="767"/>
    </row>
    <row r="127" spans="13:13" x14ac:dyDescent="0.25">
      <c r="M127" s="767"/>
    </row>
    <row r="128" spans="13:13" x14ac:dyDescent="0.25">
      <c r="M128" s="767"/>
    </row>
    <row r="129" spans="13:13" x14ac:dyDescent="0.25">
      <c r="M129" s="767"/>
    </row>
    <row r="130" spans="13:13" x14ac:dyDescent="0.25">
      <c r="M130" s="767"/>
    </row>
    <row r="131" spans="13:13" x14ac:dyDescent="0.25">
      <c r="M131" s="767"/>
    </row>
    <row r="132" spans="13:13" x14ac:dyDescent="0.25">
      <c r="M132" s="767"/>
    </row>
    <row r="133" spans="13:13" x14ac:dyDescent="0.25">
      <c r="M133" s="767"/>
    </row>
    <row r="134" spans="13:13" x14ac:dyDescent="0.25">
      <c r="M134" s="767"/>
    </row>
    <row r="135" spans="13:13" x14ac:dyDescent="0.25">
      <c r="M135" s="767"/>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8" tint="-0.499984740745262"/>
  </sheetPr>
  <dimension ref="A1:R17"/>
  <sheetViews>
    <sheetView showGridLines="0" zoomScale="86" zoomScaleNormal="86" workbookViewId="0">
      <selection activeCell="M15" sqref="M15"/>
    </sheetView>
  </sheetViews>
  <sheetFormatPr baseColWidth="10" defaultRowHeight="15" x14ac:dyDescent="0.25"/>
  <cols>
    <col min="1" max="1" width="28" style="5" customWidth="1"/>
    <col min="2" max="2" width="29.7109375" style="5" customWidth="1"/>
    <col min="3" max="3" width="14.140625" style="5" customWidth="1"/>
    <col min="4" max="4" width="14.140625" style="5" bestFit="1" customWidth="1"/>
    <col min="5" max="18" width="14.140625" style="5" customWidth="1"/>
  </cols>
  <sheetData>
    <row r="1" spans="1:18" x14ac:dyDescent="0.25">
      <c r="A1" s="2"/>
      <c r="B1" s="1"/>
      <c r="C1" s="2"/>
      <c r="D1" s="2"/>
      <c r="E1" s="2"/>
      <c r="F1" s="3"/>
      <c r="G1" s="2"/>
      <c r="H1" s="2"/>
      <c r="I1" s="2"/>
      <c r="J1" s="2"/>
      <c r="K1" s="2"/>
      <c r="L1" s="2"/>
      <c r="M1" s="2"/>
      <c r="N1" s="2"/>
      <c r="O1" s="2"/>
      <c r="P1" s="2"/>
      <c r="Q1" s="2"/>
      <c r="R1" s="2"/>
    </row>
    <row r="2" spans="1:18" x14ac:dyDescent="0.25">
      <c r="A2" s="2"/>
      <c r="B2" s="4"/>
      <c r="C2" s="2"/>
      <c r="D2" s="2"/>
      <c r="E2" s="2"/>
      <c r="F2" s="3" t="s">
        <v>163</v>
      </c>
      <c r="G2" s="2"/>
      <c r="H2" s="2"/>
      <c r="I2" s="2"/>
      <c r="J2" s="2"/>
      <c r="K2" s="2"/>
      <c r="L2" s="262"/>
      <c r="M2" s="2"/>
      <c r="N2" s="2"/>
      <c r="O2" s="2"/>
      <c r="P2" s="2"/>
      <c r="Q2" s="2"/>
      <c r="R2" s="2"/>
    </row>
    <row r="3" spans="1:18" x14ac:dyDescent="0.25">
      <c r="A3" s="2"/>
      <c r="C3" s="2"/>
      <c r="D3" s="2"/>
      <c r="E3" s="2"/>
      <c r="F3" s="2"/>
      <c r="G3" s="2"/>
      <c r="H3" s="2"/>
      <c r="I3" s="2"/>
      <c r="J3" s="2"/>
      <c r="K3" s="2"/>
      <c r="L3" s="2"/>
      <c r="M3" s="263"/>
      <c r="N3" s="2"/>
      <c r="O3" s="2"/>
      <c r="P3" s="2"/>
      <c r="Q3" s="2"/>
      <c r="R3" s="2"/>
    </row>
    <row r="4" spans="1:18" ht="15.75" x14ac:dyDescent="0.25">
      <c r="A4" s="2"/>
      <c r="C4" s="8"/>
      <c r="D4" s="2"/>
      <c r="E4" s="8" t="s">
        <v>1</v>
      </c>
      <c r="F4" s="1050" t="s">
        <v>33</v>
      </c>
      <c r="G4" s="1051"/>
      <c r="H4" s="8"/>
      <c r="I4" s="8"/>
      <c r="J4" s="8"/>
      <c r="K4" s="8"/>
      <c r="L4" s="8"/>
      <c r="M4" s="8"/>
      <c r="N4" s="8"/>
      <c r="O4" s="8"/>
      <c r="P4" s="8"/>
      <c r="Q4" s="8"/>
      <c r="R4" s="8"/>
    </row>
    <row r="5" spans="1:18" x14ac:dyDescent="0.25">
      <c r="A5" s="2"/>
      <c r="C5" s="8"/>
      <c r="D5" s="2"/>
      <c r="E5" s="8"/>
      <c r="F5" s="3"/>
      <c r="G5" s="3"/>
      <c r="H5" s="8"/>
      <c r="I5" s="8"/>
      <c r="J5" s="8"/>
      <c r="K5" s="8"/>
      <c r="L5" s="8"/>
      <c r="M5" s="8"/>
      <c r="N5" s="8"/>
      <c r="O5" s="8"/>
      <c r="P5" s="8"/>
      <c r="Q5" s="8"/>
      <c r="R5" s="8"/>
    </row>
    <row r="6" spans="1:18" ht="15.75" x14ac:dyDescent="0.25">
      <c r="A6" s="1052" t="s">
        <v>164</v>
      </c>
      <c r="B6" s="1052"/>
      <c r="C6" s="8"/>
      <c r="D6" s="2"/>
      <c r="E6" s="8"/>
      <c r="F6" s="3"/>
      <c r="G6" s="3"/>
      <c r="H6" s="8"/>
      <c r="I6" s="8"/>
      <c r="J6" s="8"/>
      <c r="K6" s="8"/>
      <c r="L6" s="8"/>
      <c r="M6" s="8"/>
      <c r="N6" s="8"/>
      <c r="O6" s="8"/>
      <c r="P6" s="8"/>
      <c r="Q6" s="8"/>
      <c r="R6" s="8"/>
    </row>
    <row r="7" spans="1:18" ht="15.75" thickBot="1" x14ac:dyDescent="0.3">
      <c r="A7" s="2"/>
      <c r="B7" s="3"/>
      <c r="C7" s="3"/>
      <c r="D7" s="3"/>
      <c r="E7" s="3"/>
      <c r="F7" s="3"/>
      <c r="G7" s="3"/>
      <c r="H7" s="3"/>
      <c r="I7" s="3"/>
      <c r="J7" s="3"/>
      <c r="K7" s="3"/>
      <c r="L7" s="3"/>
      <c r="M7" s="3"/>
      <c r="N7" s="3"/>
      <c r="O7" s="3"/>
      <c r="P7" s="3"/>
      <c r="Q7" s="8"/>
      <c r="R7" s="3"/>
    </row>
    <row r="8" spans="1:18" ht="15.75" x14ac:dyDescent="0.25">
      <c r="A8" s="1053" t="s">
        <v>3</v>
      </c>
      <c r="B8" s="1055" t="s">
        <v>21</v>
      </c>
      <c r="C8" s="1057" t="s">
        <v>345</v>
      </c>
      <c r="D8" s="1058"/>
      <c r="E8" s="1058"/>
      <c r="F8" s="1059"/>
      <c r="G8" s="1049" t="s">
        <v>310</v>
      </c>
      <c r="H8" s="1047"/>
      <c r="I8" s="1047"/>
      <c r="J8" s="1060"/>
      <c r="K8" s="1046" t="s">
        <v>165</v>
      </c>
      <c r="L8" s="1047"/>
      <c r="M8" s="1047"/>
      <c r="N8" s="1048"/>
      <c r="O8" s="1049" t="s">
        <v>166</v>
      </c>
      <c r="P8" s="1047"/>
      <c r="Q8" s="1047"/>
      <c r="R8" s="1048"/>
    </row>
    <row r="9" spans="1:18" ht="15.75" thickBot="1" x14ac:dyDescent="0.3">
      <c r="A9" s="1054" t="e">
        <f>NA()</f>
        <v>#N/A</v>
      </c>
      <c r="B9" s="1056" t="e">
        <f>NA()</f>
        <v>#N/A</v>
      </c>
      <c r="C9" s="264" t="s">
        <v>25</v>
      </c>
      <c r="D9" s="265" t="s">
        <v>167</v>
      </c>
      <c r="E9" s="265" t="s">
        <v>168</v>
      </c>
      <c r="F9" s="266" t="s">
        <v>169</v>
      </c>
      <c r="G9" s="267" t="s">
        <v>25</v>
      </c>
      <c r="H9" s="268" t="s">
        <v>167</v>
      </c>
      <c r="I9" s="268" t="s">
        <v>168</v>
      </c>
      <c r="J9" s="269" t="s">
        <v>169</v>
      </c>
      <c r="K9" s="270" t="s">
        <v>25</v>
      </c>
      <c r="L9" s="268" t="s">
        <v>167</v>
      </c>
      <c r="M9" s="268" t="s">
        <v>168</v>
      </c>
      <c r="N9" s="271" t="s">
        <v>169</v>
      </c>
      <c r="O9" s="272" t="s">
        <v>25</v>
      </c>
      <c r="P9" s="273" t="s">
        <v>167</v>
      </c>
      <c r="Q9" s="273" t="s">
        <v>168</v>
      </c>
      <c r="R9" s="274" t="s">
        <v>169</v>
      </c>
    </row>
    <row r="10" spans="1:18" ht="15.75" thickBot="1" x14ac:dyDescent="0.3">
      <c r="A10" s="821" t="str">
        <f>+'B) Reajuste Tarifas y Ocupación'!A12</f>
        <v>Cabaña Chinquihue</v>
      </c>
      <c r="B10" s="275" t="str">
        <f>+'B) Reajuste Tarifas y Ocupación'!B12</f>
        <v>Cabaña</v>
      </c>
      <c r="C10" s="276">
        <f>+'B) Reajuste Tarifas y Ocupación'!J12</f>
        <v>54700</v>
      </c>
      <c r="D10" s="277">
        <f>+'B) Reajuste Tarifas y Ocupación'!K12</f>
        <v>84100</v>
      </c>
      <c r="E10" s="277">
        <f>+'B) Reajuste Tarifas y Ocupación'!L12</f>
        <v>100000</v>
      </c>
      <c r="F10" s="278">
        <f>+'B) Reajuste Tarifas y Ocupación'!M12</f>
        <v>104800</v>
      </c>
      <c r="G10" s="279">
        <f>+'B) Reajuste Tarifas y Ocupación'!C12</f>
        <v>52300</v>
      </c>
      <c r="H10" s="280">
        <f>+'B) Reajuste Tarifas y Ocupación'!D12</f>
        <v>80400</v>
      </c>
      <c r="I10" s="280">
        <f>+'B) Reajuste Tarifas y Ocupación'!E12</f>
        <v>95600</v>
      </c>
      <c r="J10" s="281">
        <f>+'B) Reajuste Tarifas y Ocupación'!F12</f>
        <v>100200</v>
      </c>
      <c r="K10" s="282">
        <f t="shared" ref="K10:N10" si="0">C10-G10</f>
        <v>2400</v>
      </c>
      <c r="L10" s="283">
        <f t="shared" si="0"/>
        <v>3700</v>
      </c>
      <c r="M10" s="283">
        <f t="shared" si="0"/>
        <v>4400</v>
      </c>
      <c r="N10" s="284">
        <f t="shared" si="0"/>
        <v>4600</v>
      </c>
      <c r="O10" s="285">
        <f>+P10</f>
        <v>4.4999999999999998E-2</v>
      </c>
      <c r="P10" s="286">
        <f>+'B) Reajuste Tarifas y Ocupación'!G12</f>
        <v>4.4999999999999998E-2</v>
      </c>
      <c r="Q10" s="286">
        <f>+'B) Reajuste Tarifas y Ocupación'!H12</f>
        <v>4.4999999999999998E-2</v>
      </c>
      <c r="R10" s="287">
        <f>+'B) Reajuste Tarifas y Ocupación'!I12</f>
        <v>4.4999999999999998E-2</v>
      </c>
    </row>
    <row r="11" spans="1:18" x14ac:dyDescent="0.25">
      <c r="A11" s="822"/>
      <c r="B11" s="275" t="str">
        <f>+'B) Reajuste Tarifas y Ocupación'!B13</f>
        <v>Early check-in/Late check-out</v>
      </c>
      <c r="C11" s="289"/>
      <c r="D11" s="290"/>
      <c r="E11" s="290"/>
      <c r="F11" s="291"/>
      <c r="G11" s="292"/>
      <c r="H11" s="293"/>
      <c r="I11" s="293"/>
      <c r="J11" s="294"/>
      <c r="K11" s="295"/>
      <c r="L11" s="296"/>
      <c r="M11" s="296"/>
      <c r="N11" s="297"/>
      <c r="O11" s="295"/>
      <c r="P11" s="296"/>
      <c r="Q11" s="296"/>
      <c r="R11" s="298"/>
    </row>
    <row r="12" spans="1:18" ht="15.75" thickBot="1" x14ac:dyDescent="0.3">
      <c r="A12" s="823"/>
      <c r="B12" s="299" t="str">
        <f>+'B) Reajuste Tarifas y Ocupación'!B14</f>
        <v>Cabaña</v>
      </c>
      <c r="C12" s="300"/>
      <c r="D12" s="301">
        <f>+'B) Reajuste Tarifas y Ocupación'!K14</f>
        <v>25300</v>
      </c>
      <c r="E12" s="301">
        <f>+'B) Reajuste Tarifas y Ocupación'!L14</f>
        <v>30000</v>
      </c>
      <c r="F12" s="302">
        <f>+'B) Reajuste Tarifas y Ocupación'!M14</f>
        <v>31500</v>
      </c>
      <c r="G12" s="303"/>
      <c r="H12" s="304">
        <f>+'B) Reajuste Tarifas y Ocupación'!D14</f>
        <v>24200</v>
      </c>
      <c r="I12" s="304">
        <f>+'B) Reajuste Tarifas y Ocupación'!E14</f>
        <v>28700</v>
      </c>
      <c r="J12" s="305">
        <f>+'B) Reajuste Tarifas y Ocupación'!F14</f>
        <v>30100</v>
      </c>
      <c r="K12" s="306"/>
      <c r="L12" s="307">
        <f>D12-H12</f>
        <v>1100</v>
      </c>
      <c r="M12" s="307">
        <f>E12-I12</f>
        <v>1300</v>
      </c>
      <c r="N12" s="308">
        <f>F12-J12</f>
        <v>1400</v>
      </c>
      <c r="O12" s="309"/>
      <c r="P12" s="310">
        <v>4.4999999999999998E-2</v>
      </c>
      <c r="Q12" s="310">
        <v>4.4999999999999998E-2</v>
      </c>
      <c r="R12" s="311">
        <v>4.4999999999999998E-2</v>
      </c>
    </row>
    <row r="13" spans="1:18" x14ac:dyDescent="0.25">
      <c r="A13" s="821" t="str">
        <f>+'B) Reajuste Tarifas y Ocupación'!A15</f>
        <v>Cabañas Moraleda</v>
      </c>
      <c r="B13" s="275" t="str">
        <f>+'B) Reajuste Tarifas y Ocupación'!B15</f>
        <v>Cabaña</v>
      </c>
      <c r="C13" s="276">
        <f>+'B) Reajuste Tarifas y Ocupación'!J15</f>
        <v>41800</v>
      </c>
      <c r="D13" s="277">
        <f>+'B) Reajuste Tarifas y Ocupación'!K15</f>
        <v>64200</v>
      </c>
      <c r="E13" s="277">
        <f>+'B) Reajuste Tarifas y Ocupación'!L15</f>
        <v>76300</v>
      </c>
      <c r="F13" s="278">
        <f>+'B) Reajuste Tarifas y Ocupación'!M15</f>
        <v>80000</v>
      </c>
      <c r="G13" s="279">
        <f>+'B) Reajuste Tarifas y Ocupación'!C15</f>
        <v>40000</v>
      </c>
      <c r="H13" s="280">
        <f>+'B) Reajuste Tarifas y Ocupación'!D15</f>
        <v>61400</v>
      </c>
      <c r="I13" s="280">
        <f>+'B) Reajuste Tarifas y Ocupación'!E15</f>
        <v>73000</v>
      </c>
      <c r="J13" s="281">
        <f>+'B) Reajuste Tarifas y Ocupación'!F15</f>
        <v>76500</v>
      </c>
      <c r="K13" s="282">
        <f t="shared" ref="K13:N17" si="1">C13-G13</f>
        <v>1800</v>
      </c>
      <c r="L13" s="283">
        <f t="shared" si="1"/>
        <v>2800</v>
      </c>
      <c r="M13" s="283">
        <f t="shared" si="1"/>
        <v>3300</v>
      </c>
      <c r="N13" s="312">
        <f t="shared" si="1"/>
        <v>3500</v>
      </c>
      <c r="O13" s="285">
        <f t="shared" ref="O13:O17" si="2">+P13</f>
        <v>4.4999999999999998E-2</v>
      </c>
      <c r="P13" s="286">
        <f>+'B) Reajuste Tarifas y Ocupación'!G15</f>
        <v>4.4999999999999998E-2</v>
      </c>
      <c r="Q13" s="286">
        <f>+'B) Reajuste Tarifas y Ocupación'!H15</f>
        <v>4.4999999999999998E-2</v>
      </c>
      <c r="R13" s="287">
        <f>+'B) Reajuste Tarifas y Ocupación'!I15</f>
        <v>4.4999999999999998E-2</v>
      </c>
    </row>
    <row r="14" spans="1:18" x14ac:dyDescent="0.25">
      <c r="A14" s="822"/>
      <c r="B14" s="288" t="str">
        <f>+'B) Reajuste Tarifas y Ocupación'!B16</f>
        <v>Early check-in/Late check-out</v>
      </c>
      <c r="C14" s="289"/>
      <c r="D14" s="290"/>
      <c r="E14" s="290"/>
      <c r="F14" s="291"/>
      <c r="G14" s="292"/>
      <c r="H14" s="293"/>
      <c r="I14" s="293"/>
      <c r="J14" s="294"/>
      <c r="K14" s="295"/>
      <c r="L14" s="296"/>
      <c r="M14" s="296"/>
      <c r="N14" s="298"/>
      <c r="O14" s="295"/>
      <c r="P14" s="296"/>
      <c r="Q14" s="296"/>
      <c r="R14" s="298"/>
    </row>
    <row r="15" spans="1:18" ht="15.75" thickBot="1" x14ac:dyDescent="0.3">
      <c r="A15" s="823"/>
      <c r="B15" s="299" t="str">
        <f>+'B) Reajuste Tarifas y Ocupación'!B17</f>
        <v xml:space="preserve">Cabaña </v>
      </c>
      <c r="C15" s="300"/>
      <c r="D15" s="301">
        <f>+'B) Reajuste Tarifas y Ocupación'!K17</f>
        <v>19300</v>
      </c>
      <c r="E15" s="301">
        <f>+'B) Reajuste Tarifas y Ocupación'!L17</f>
        <v>22900</v>
      </c>
      <c r="F15" s="302">
        <f>+'B) Reajuste Tarifas y Ocupación'!M17</f>
        <v>24000</v>
      </c>
      <c r="G15" s="303"/>
      <c r="H15" s="304">
        <f>+'B) Reajuste Tarifas y Ocupación'!D17</f>
        <v>18500</v>
      </c>
      <c r="I15" s="304">
        <f>+'B) Reajuste Tarifas y Ocupación'!E17</f>
        <v>21900</v>
      </c>
      <c r="J15" s="305">
        <f>+'B) Reajuste Tarifas y Ocupación'!F17</f>
        <v>23000</v>
      </c>
      <c r="K15" s="306"/>
      <c r="L15" s="307">
        <f t="shared" ref="L15:N15" si="3">D15-H15</f>
        <v>800</v>
      </c>
      <c r="M15" s="307">
        <f t="shared" si="3"/>
        <v>1000</v>
      </c>
      <c r="N15" s="313">
        <f t="shared" si="3"/>
        <v>1000</v>
      </c>
      <c r="O15" s="309"/>
      <c r="P15" s="310">
        <v>4.4999999999999998E-2</v>
      </c>
      <c r="Q15" s="310">
        <v>4.4999999999999998E-2</v>
      </c>
      <c r="R15" s="311">
        <v>4.4999999999999998E-2</v>
      </c>
    </row>
    <row r="16" spans="1:18" ht="16.5" thickBot="1" x14ac:dyDescent="0.3">
      <c r="A16" s="314" t="str">
        <f>+'B) Reajuste Tarifas y Ocupación'!A18</f>
        <v>Quincho</v>
      </c>
      <c r="B16" s="315" t="str">
        <f>+'B) Reajuste Tarifas y Ocupación'!B18</f>
        <v xml:space="preserve">Arriendo </v>
      </c>
      <c r="C16" s="316">
        <f>+'B) Reajuste Tarifas y Ocupación'!J18</f>
        <v>61700</v>
      </c>
      <c r="D16" s="317">
        <f>+'B) Reajuste Tarifas y Ocupación'!K18</f>
        <v>94900</v>
      </c>
      <c r="E16" s="317">
        <f>+'B) Reajuste Tarifas y Ocupación'!L18</f>
        <v>112900</v>
      </c>
      <c r="F16" s="318">
        <f>+'B) Reajuste Tarifas y Ocupación'!M18</f>
        <v>118200</v>
      </c>
      <c r="G16" s="319">
        <f>+'B) Reajuste Tarifas y Ocupación'!C18</f>
        <v>59100</v>
      </c>
      <c r="H16" s="320">
        <f>+'B) Reajuste Tarifas y Ocupación'!D18</f>
        <v>90800</v>
      </c>
      <c r="I16" s="320">
        <f>+'B) Reajuste Tarifas y Ocupación'!E18</f>
        <v>108000</v>
      </c>
      <c r="J16" s="321">
        <f>+'B) Reajuste Tarifas y Ocupación'!F18</f>
        <v>113100</v>
      </c>
      <c r="K16" s="322">
        <f t="shared" si="1"/>
        <v>2600</v>
      </c>
      <c r="L16" s="323">
        <f t="shared" si="1"/>
        <v>4100</v>
      </c>
      <c r="M16" s="323">
        <f t="shared" si="1"/>
        <v>4900</v>
      </c>
      <c r="N16" s="324">
        <f t="shared" si="1"/>
        <v>5100</v>
      </c>
      <c r="O16" s="325">
        <f t="shared" si="2"/>
        <v>4.4999999999999998E-2</v>
      </c>
      <c r="P16" s="286">
        <f>+'B) Reajuste Tarifas y Ocupación'!G18</f>
        <v>4.4999999999999998E-2</v>
      </c>
      <c r="Q16" s="286">
        <f>+'B) Reajuste Tarifas y Ocupación'!H18</f>
        <v>4.4999999999999998E-2</v>
      </c>
      <c r="R16" s="287">
        <f>+'B) Reajuste Tarifas y Ocupación'!I18</f>
        <v>4.4999999999999998E-2</v>
      </c>
    </row>
    <row r="17" spans="1:18" ht="16.5" thickBot="1" x14ac:dyDescent="0.3">
      <c r="A17" s="326" t="str">
        <f>+'B) Reajuste Tarifas y Ocupación'!A19</f>
        <v>Cancha</v>
      </c>
      <c r="B17" s="327" t="str">
        <f>+'B) Reajuste Tarifas y Ocupación'!B19</f>
        <v>Arriendo (hora)</v>
      </c>
      <c r="C17" s="328">
        <f>+'B) Reajuste Tarifas y Ocupación'!J19</f>
        <v>10800</v>
      </c>
      <c r="D17" s="329">
        <f>+'B) Reajuste Tarifas y Ocupación'!K19</f>
        <v>16600</v>
      </c>
      <c r="E17" s="329">
        <f>+'B) Reajuste Tarifas y Ocupación'!L19</f>
        <v>19700</v>
      </c>
      <c r="F17" s="330">
        <f>+'B) Reajuste Tarifas y Ocupación'!M19</f>
        <v>20600</v>
      </c>
      <c r="G17" s="331">
        <f>+'B) Reajuste Tarifas y Ocupación'!C19</f>
        <v>10300</v>
      </c>
      <c r="H17" s="332">
        <f>+'B) Reajuste Tarifas y Ocupación'!D19</f>
        <v>15800</v>
      </c>
      <c r="I17" s="332">
        <f>+'B) Reajuste Tarifas y Ocupación'!E19</f>
        <v>18800</v>
      </c>
      <c r="J17" s="333">
        <f>+'B) Reajuste Tarifas y Ocupación'!F19</f>
        <v>19700</v>
      </c>
      <c r="K17" s="334">
        <f>C17-G17</f>
        <v>500</v>
      </c>
      <c r="L17" s="335">
        <f t="shared" si="1"/>
        <v>800</v>
      </c>
      <c r="M17" s="335">
        <f t="shared" si="1"/>
        <v>900</v>
      </c>
      <c r="N17" s="336">
        <f t="shared" si="1"/>
        <v>900</v>
      </c>
      <c r="O17" s="337">
        <f t="shared" si="2"/>
        <v>4.4999999999999998E-2</v>
      </c>
      <c r="P17" s="338">
        <f>+'B) Reajuste Tarifas y Ocupación'!G19</f>
        <v>4.4999999999999998E-2</v>
      </c>
      <c r="Q17" s="338">
        <f>+'B) Reajuste Tarifas y Ocupación'!H19</f>
        <v>4.4999999999999998E-2</v>
      </c>
      <c r="R17" s="339">
        <f>+'B) Reajuste Tarifas y Ocupación'!I19</f>
        <v>4.4999999999999998E-2</v>
      </c>
    </row>
  </sheetData>
  <sheetProtection algorithmName="SHA-512" hashValue="BUW3XJl8bhIpQwK0tYwLD1E2NZ/kzADZdBiUi2jUYZvHr8b571dzwgVpcENgWKV+5wPvsKu0oFa3OlAh1iJRyg==" saltValue="ZF2kNcvNVJ23Cm7zky+zYQ==" spinCount="100000" sheet="1" objects="1" scenarios="1"/>
  <mergeCells count="10">
    <mergeCell ref="K8:N8"/>
    <mergeCell ref="O8:R8"/>
    <mergeCell ref="A10:A12"/>
    <mergeCell ref="A13:A15"/>
    <mergeCell ref="F4:G4"/>
    <mergeCell ref="A6:B6"/>
    <mergeCell ref="A8:A9"/>
    <mergeCell ref="B8:B9"/>
    <mergeCell ref="C8:F8"/>
    <mergeCell ref="G8:J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7"/>
  </sheetPr>
  <dimension ref="A1:M78"/>
  <sheetViews>
    <sheetView showGridLines="0" topLeftCell="A46" zoomScale="70" zoomScaleNormal="70" workbookViewId="0">
      <selection activeCell="N22" sqref="N22"/>
    </sheetView>
  </sheetViews>
  <sheetFormatPr baseColWidth="10" defaultRowHeight="15" x14ac:dyDescent="0.25"/>
  <cols>
    <col min="1" max="1" width="7.140625" style="215" customWidth="1"/>
    <col min="2" max="3" width="31.7109375" style="215" customWidth="1"/>
    <col min="4" max="4" width="28" style="215" customWidth="1"/>
    <col min="5" max="5" width="24.140625" style="215" customWidth="1"/>
    <col min="6" max="6" width="25.140625" style="215" customWidth="1"/>
    <col min="7" max="7" width="22.140625" style="215" customWidth="1"/>
    <col min="8" max="9" width="24.85546875" style="215" bestFit="1" customWidth="1"/>
    <col min="10" max="10" width="15" style="215" customWidth="1"/>
    <col min="11" max="11" width="23.7109375" style="215" bestFit="1" customWidth="1"/>
    <col min="12" max="12" width="42.42578125" style="215" bestFit="1" customWidth="1"/>
    <col min="13" max="13" width="61.5703125" style="563" bestFit="1" customWidth="1"/>
  </cols>
  <sheetData>
    <row r="1" spans="1:13" x14ac:dyDescent="0.25">
      <c r="A1" s="2"/>
      <c r="B1" s="2"/>
      <c r="C1" s="2"/>
      <c r="D1" s="2"/>
      <c r="E1" s="2"/>
      <c r="F1" s="3"/>
      <c r="G1" s="3"/>
      <c r="H1" s="3"/>
      <c r="I1" s="3"/>
      <c r="J1" s="3"/>
      <c r="K1" s="3"/>
      <c r="L1" s="2"/>
      <c r="M1" s="3"/>
    </row>
    <row r="2" spans="1:13" x14ac:dyDescent="0.25">
      <c r="A2" s="2"/>
      <c r="B2" s="2"/>
      <c r="C2" s="2"/>
      <c r="D2" s="2"/>
      <c r="E2" s="2"/>
      <c r="F2" s="3" t="s">
        <v>170</v>
      </c>
      <c r="G2" s="3"/>
      <c r="H2" s="3"/>
      <c r="I2" s="3"/>
      <c r="J2" s="3"/>
      <c r="K2" s="3"/>
      <c r="L2" s="2"/>
      <c r="M2" s="3"/>
    </row>
    <row r="3" spans="1:13" x14ac:dyDescent="0.25">
      <c r="A3" s="2"/>
      <c r="B3" s="6"/>
      <c r="C3" s="6"/>
      <c r="D3" s="2"/>
      <c r="E3" s="2"/>
      <c r="F3" s="2"/>
      <c r="G3" s="2"/>
      <c r="H3" s="2"/>
      <c r="I3" s="2"/>
      <c r="J3" s="2"/>
      <c r="K3" s="2"/>
      <c r="L3" s="2"/>
      <c r="M3" s="3"/>
    </row>
    <row r="4" spans="1:13" ht="15.75" x14ac:dyDescent="0.25">
      <c r="A4" s="2"/>
      <c r="B4" s="6"/>
      <c r="C4" s="6"/>
      <c r="D4" s="2"/>
      <c r="E4" s="213" t="s">
        <v>1</v>
      </c>
      <c r="F4" s="340" t="str">
        <f>+'[1]B) Reajuste Tarifas y Ocupación'!F5</f>
        <v>BIENMONTT</v>
      </c>
      <c r="G4" s="341"/>
      <c r="H4" s="214"/>
      <c r="I4" s="214"/>
      <c r="J4" s="214"/>
      <c r="K4" s="214"/>
      <c r="L4" s="2"/>
      <c r="M4" s="3"/>
    </row>
    <row r="5" spans="1:13" x14ac:dyDescent="0.25">
      <c r="A5" s="2"/>
      <c r="B5" s="6"/>
      <c r="C5" s="6"/>
      <c r="D5" s="2"/>
      <c r="E5" s="8"/>
      <c r="F5" s="3"/>
      <c r="G5" s="3"/>
      <c r="H5" s="3"/>
      <c r="I5" s="3"/>
      <c r="J5" s="3"/>
      <c r="K5" s="3"/>
      <c r="L5" s="2"/>
      <c r="M5" s="3"/>
    </row>
    <row r="6" spans="1:13" x14ac:dyDescent="0.25">
      <c r="A6" s="2"/>
      <c r="B6" s="6"/>
      <c r="C6" s="6"/>
      <c r="D6" s="2"/>
      <c r="E6" s="8"/>
      <c r="F6" s="3"/>
      <c r="G6" s="3"/>
      <c r="H6" s="3"/>
      <c r="I6" s="3"/>
      <c r="J6" s="3"/>
      <c r="K6" s="3"/>
      <c r="L6" s="2"/>
      <c r="M6" s="3"/>
    </row>
    <row r="7" spans="1:13" ht="15.75" x14ac:dyDescent="0.25">
      <c r="A7" s="2"/>
      <c r="B7" s="1061" t="s">
        <v>171</v>
      </c>
      <c r="C7" s="1061"/>
      <c r="D7" s="1061"/>
      <c r="E7" s="1061"/>
      <c r="F7" s="1061"/>
      <c r="G7" s="342"/>
      <c r="H7" s="342"/>
      <c r="I7" s="342"/>
      <c r="J7" s="342"/>
      <c r="K7" s="342"/>
      <c r="L7" s="343" t="s">
        <v>37</v>
      </c>
      <c r="M7" s="344">
        <v>4.4999999999999998E-2</v>
      </c>
    </row>
    <row r="8" spans="1:13" ht="15.75" thickBot="1" x14ac:dyDescent="0.3">
      <c r="L8" s="343" t="s">
        <v>306</v>
      </c>
      <c r="M8" s="344">
        <v>0</v>
      </c>
    </row>
    <row r="9" spans="1:13" x14ac:dyDescent="0.25">
      <c r="B9" s="1062" t="s">
        <v>3</v>
      </c>
      <c r="C9" s="1064" t="s">
        <v>172</v>
      </c>
      <c r="D9" s="1066" t="s">
        <v>140</v>
      </c>
      <c r="E9" s="1066" t="s">
        <v>141</v>
      </c>
      <c r="F9" s="1064" t="s">
        <v>142</v>
      </c>
      <c r="G9" s="1064" t="s">
        <v>20</v>
      </c>
      <c r="H9" s="1064" t="s">
        <v>311</v>
      </c>
      <c r="I9" s="1064" t="s">
        <v>311</v>
      </c>
      <c r="J9" s="1075" t="s">
        <v>148</v>
      </c>
      <c r="K9" s="1075" t="s">
        <v>149</v>
      </c>
      <c r="L9" s="1077" t="s">
        <v>343</v>
      </c>
      <c r="M9" s="1079" t="s">
        <v>173</v>
      </c>
    </row>
    <row r="10" spans="1:13" ht="21.75" customHeight="1" thickBot="1" x14ac:dyDescent="0.3">
      <c r="B10" s="1063"/>
      <c r="C10" s="1065"/>
      <c r="D10" s="1067"/>
      <c r="E10" s="1067"/>
      <c r="F10" s="1065"/>
      <c r="G10" s="1065"/>
      <c r="H10" s="1065"/>
      <c r="I10" s="1065"/>
      <c r="J10" s="1076"/>
      <c r="K10" s="1076"/>
      <c r="L10" s="1078"/>
      <c r="M10" s="1080"/>
    </row>
    <row r="11" spans="1:13" x14ac:dyDescent="0.25">
      <c r="A11"/>
      <c r="B11" s="1081" t="str">
        <f>+'B) Reajuste Tarifas y Ocupación'!A12</f>
        <v>Cabaña Chinquihue</v>
      </c>
      <c r="C11" s="1071" t="s">
        <v>174</v>
      </c>
      <c r="D11" s="456"/>
      <c r="E11" s="457"/>
      <c r="F11" s="457"/>
      <c r="G11" s="458"/>
      <c r="H11" s="225"/>
      <c r="I11" s="345">
        <f>+H11*(1+$M$7)</f>
        <v>0</v>
      </c>
      <c r="J11" s="225"/>
      <c r="K11" s="558"/>
      <c r="L11" s="560">
        <f>+I11*(1+$M$8)+J11+K11</f>
        <v>0</v>
      </c>
      <c r="M11" s="1084">
        <f>SUM(L11:L27)</f>
        <v>0</v>
      </c>
    </row>
    <row r="12" spans="1:13" x14ac:dyDescent="0.25">
      <c r="A12"/>
      <c r="B12" s="1082"/>
      <c r="C12" s="1072"/>
      <c r="D12" s="241"/>
      <c r="E12" s="241"/>
      <c r="F12" s="241"/>
      <c r="G12" s="241"/>
      <c r="H12" s="242"/>
      <c r="I12" s="346">
        <f t="shared" ref="I12:I75" si="0">+H12*(1+$M$7)</f>
        <v>0</v>
      </c>
      <c r="J12" s="242"/>
      <c r="K12" s="559"/>
      <c r="L12" s="561">
        <f t="shared" ref="L12:L75" si="1">+I12*(1+$M$8)+J12+K12</f>
        <v>0</v>
      </c>
      <c r="M12" s="1085"/>
    </row>
    <row r="13" spans="1:13" x14ac:dyDescent="0.25">
      <c r="A13"/>
      <c r="B13" s="1082"/>
      <c r="C13" s="1072"/>
      <c r="D13" s="241"/>
      <c r="E13" s="241"/>
      <c r="F13" s="241"/>
      <c r="G13" s="241"/>
      <c r="H13" s="242"/>
      <c r="I13" s="346">
        <f>+H13*(1+$M$7)</f>
        <v>0</v>
      </c>
      <c r="J13" s="242"/>
      <c r="K13" s="559"/>
      <c r="L13" s="561">
        <f t="shared" si="1"/>
        <v>0</v>
      </c>
      <c r="M13" s="1085"/>
    </row>
    <row r="14" spans="1:13" x14ac:dyDescent="0.25">
      <c r="A14"/>
      <c r="B14" s="1082"/>
      <c r="C14" s="1072"/>
      <c r="D14" s="241"/>
      <c r="E14" s="241"/>
      <c r="F14" s="241"/>
      <c r="G14" s="241"/>
      <c r="H14" s="242"/>
      <c r="I14" s="346">
        <f t="shared" si="0"/>
        <v>0</v>
      </c>
      <c r="J14" s="242"/>
      <c r="K14" s="559"/>
      <c r="L14" s="561">
        <f t="shared" si="1"/>
        <v>0</v>
      </c>
      <c r="M14" s="1085"/>
    </row>
    <row r="15" spans="1:13" x14ac:dyDescent="0.25">
      <c r="A15"/>
      <c r="B15" s="1082"/>
      <c r="C15" s="1072"/>
      <c r="D15" s="241"/>
      <c r="E15" s="241"/>
      <c r="F15" s="241"/>
      <c r="G15" s="241"/>
      <c r="H15" s="242"/>
      <c r="I15" s="346">
        <f t="shared" si="0"/>
        <v>0</v>
      </c>
      <c r="J15" s="242"/>
      <c r="K15" s="559"/>
      <c r="L15" s="561">
        <f t="shared" si="1"/>
        <v>0</v>
      </c>
      <c r="M15" s="1085"/>
    </row>
    <row r="16" spans="1:13" x14ac:dyDescent="0.25">
      <c r="A16"/>
      <c r="B16" s="1082"/>
      <c r="C16" s="1072"/>
      <c r="D16" s="241"/>
      <c r="E16" s="241"/>
      <c r="F16" s="241"/>
      <c r="G16" s="241"/>
      <c r="H16" s="242"/>
      <c r="I16" s="346">
        <f t="shared" si="0"/>
        <v>0</v>
      </c>
      <c r="J16" s="242"/>
      <c r="K16" s="559"/>
      <c r="L16" s="561">
        <f t="shared" si="1"/>
        <v>0</v>
      </c>
      <c r="M16" s="1085"/>
    </row>
    <row r="17" spans="1:13" x14ac:dyDescent="0.25">
      <c r="A17"/>
      <c r="B17" s="1082"/>
      <c r="C17" s="1072"/>
      <c r="D17" s="241"/>
      <c r="E17" s="241"/>
      <c r="F17" s="241"/>
      <c r="G17" s="241"/>
      <c r="H17" s="242"/>
      <c r="I17" s="346">
        <f t="shared" si="0"/>
        <v>0</v>
      </c>
      <c r="J17" s="242"/>
      <c r="K17" s="559"/>
      <c r="L17" s="561">
        <f t="shared" si="1"/>
        <v>0</v>
      </c>
      <c r="M17" s="1085"/>
    </row>
    <row r="18" spans="1:13" ht="15.75" thickBot="1" x14ac:dyDescent="0.3">
      <c r="A18"/>
      <c r="B18" s="1082"/>
      <c r="C18" s="1073"/>
      <c r="D18" s="247"/>
      <c r="E18" s="247"/>
      <c r="F18" s="247"/>
      <c r="G18" s="247"/>
      <c r="H18" s="248"/>
      <c r="I18" s="347">
        <f t="shared" si="0"/>
        <v>0</v>
      </c>
      <c r="J18" s="248"/>
      <c r="K18" s="249"/>
      <c r="L18" s="562">
        <f t="shared" si="1"/>
        <v>0</v>
      </c>
      <c r="M18" s="1085"/>
    </row>
    <row r="19" spans="1:13" x14ac:dyDescent="0.25">
      <c r="A19"/>
      <c r="B19" s="1082"/>
      <c r="C19" s="1071" t="s">
        <v>175</v>
      </c>
      <c r="D19" s="223"/>
      <c r="E19" s="223"/>
      <c r="F19" s="223"/>
      <c r="G19" s="223"/>
      <c r="H19" s="225"/>
      <c r="I19" s="345">
        <f t="shared" si="0"/>
        <v>0</v>
      </c>
      <c r="J19" s="225"/>
      <c r="K19" s="558"/>
      <c r="L19" s="560">
        <f t="shared" si="1"/>
        <v>0</v>
      </c>
      <c r="M19" s="1085"/>
    </row>
    <row r="20" spans="1:13" x14ac:dyDescent="0.25">
      <c r="A20"/>
      <c r="B20" s="1082"/>
      <c r="C20" s="1072"/>
      <c r="D20" s="241"/>
      <c r="E20" s="241"/>
      <c r="F20" s="241"/>
      <c r="G20" s="241"/>
      <c r="H20" s="242"/>
      <c r="I20" s="346">
        <f t="shared" si="0"/>
        <v>0</v>
      </c>
      <c r="J20" s="242"/>
      <c r="K20" s="559"/>
      <c r="L20" s="561">
        <f t="shared" si="1"/>
        <v>0</v>
      </c>
      <c r="M20" s="1085"/>
    </row>
    <row r="21" spans="1:13" x14ac:dyDescent="0.25">
      <c r="A21"/>
      <c r="B21" s="1082"/>
      <c r="C21" s="1072"/>
      <c r="D21" s="241"/>
      <c r="E21" s="241"/>
      <c r="F21" s="241"/>
      <c r="G21" s="241"/>
      <c r="H21" s="242"/>
      <c r="I21" s="346">
        <f t="shared" si="0"/>
        <v>0</v>
      </c>
      <c r="J21" s="242"/>
      <c r="K21" s="559"/>
      <c r="L21" s="561">
        <f t="shared" si="1"/>
        <v>0</v>
      </c>
      <c r="M21" s="1085"/>
    </row>
    <row r="22" spans="1:13" x14ac:dyDescent="0.25">
      <c r="A22"/>
      <c r="B22" s="1082"/>
      <c r="C22" s="1072"/>
      <c r="D22" s="241"/>
      <c r="E22" s="241"/>
      <c r="F22" s="241"/>
      <c r="G22" s="241"/>
      <c r="H22" s="242"/>
      <c r="I22" s="346">
        <f t="shared" si="0"/>
        <v>0</v>
      </c>
      <c r="J22" s="242"/>
      <c r="K22" s="559"/>
      <c r="L22" s="561">
        <f t="shared" si="1"/>
        <v>0</v>
      </c>
      <c r="M22" s="1085"/>
    </row>
    <row r="23" spans="1:13" x14ac:dyDescent="0.25">
      <c r="A23"/>
      <c r="B23" s="1082"/>
      <c r="C23" s="1072"/>
      <c r="D23" s="241"/>
      <c r="E23" s="241"/>
      <c r="F23" s="241"/>
      <c r="G23" s="241"/>
      <c r="H23" s="242"/>
      <c r="I23" s="346">
        <f t="shared" si="0"/>
        <v>0</v>
      </c>
      <c r="J23" s="242"/>
      <c r="K23" s="559"/>
      <c r="L23" s="561">
        <f t="shared" si="1"/>
        <v>0</v>
      </c>
      <c r="M23" s="1085"/>
    </row>
    <row r="24" spans="1:13" x14ac:dyDescent="0.25">
      <c r="A24"/>
      <c r="B24" s="1082"/>
      <c r="C24" s="1072"/>
      <c r="D24" s="241"/>
      <c r="E24" s="241"/>
      <c r="F24" s="241"/>
      <c r="G24" s="241"/>
      <c r="H24" s="242"/>
      <c r="I24" s="346">
        <f t="shared" si="0"/>
        <v>0</v>
      </c>
      <c r="J24" s="242"/>
      <c r="K24" s="559"/>
      <c r="L24" s="561">
        <f t="shared" si="1"/>
        <v>0</v>
      </c>
      <c r="M24" s="1085"/>
    </row>
    <row r="25" spans="1:13" x14ac:dyDescent="0.25">
      <c r="A25"/>
      <c r="B25" s="1082"/>
      <c r="C25" s="1072"/>
      <c r="D25" s="241"/>
      <c r="E25" s="241"/>
      <c r="F25" s="241"/>
      <c r="G25" s="241"/>
      <c r="H25" s="242"/>
      <c r="I25" s="346">
        <f t="shared" si="0"/>
        <v>0</v>
      </c>
      <c r="J25" s="242"/>
      <c r="K25" s="559"/>
      <c r="L25" s="561">
        <f t="shared" si="1"/>
        <v>0</v>
      </c>
      <c r="M25" s="1085"/>
    </row>
    <row r="26" spans="1:13" x14ac:dyDescent="0.25">
      <c r="A26"/>
      <c r="B26" s="1082"/>
      <c r="C26" s="1072"/>
      <c r="D26" s="241"/>
      <c r="E26" s="241"/>
      <c r="F26" s="241"/>
      <c r="G26" s="241"/>
      <c r="H26" s="242"/>
      <c r="I26" s="346">
        <f t="shared" si="0"/>
        <v>0</v>
      </c>
      <c r="J26" s="242"/>
      <c r="K26" s="559"/>
      <c r="L26" s="561">
        <f t="shared" si="1"/>
        <v>0</v>
      </c>
      <c r="M26" s="1085"/>
    </row>
    <row r="27" spans="1:13" ht="15.75" thickBot="1" x14ac:dyDescent="0.3">
      <c r="B27" s="1083"/>
      <c r="C27" s="1073"/>
      <c r="D27" s="247"/>
      <c r="E27" s="247"/>
      <c r="F27" s="247"/>
      <c r="G27" s="247"/>
      <c r="H27" s="248"/>
      <c r="I27" s="347">
        <f t="shared" si="0"/>
        <v>0</v>
      </c>
      <c r="J27" s="248"/>
      <c r="K27" s="249"/>
      <c r="L27" s="562">
        <f t="shared" si="1"/>
        <v>0</v>
      </c>
      <c r="M27" s="1086"/>
    </row>
    <row r="28" spans="1:13" x14ac:dyDescent="0.25">
      <c r="B28" s="1068" t="str">
        <f>+'B) Reajuste Tarifas y Ocupación'!A15</f>
        <v>Cabañas Moraleda</v>
      </c>
      <c r="C28" s="1071" t="s">
        <v>174</v>
      </c>
      <c r="D28" s="456"/>
      <c r="E28" s="457"/>
      <c r="F28" s="457"/>
      <c r="G28" s="458"/>
      <c r="H28" s="225"/>
      <c r="I28" s="345">
        <f>+H28*(1+$M$7)</f>
        <v>0</v>
      </c>
      <c r="J28" s="225"/>
      <c r="K28" s="558"/>
      <c r="L28" s="560">
        <f t="shared" si="1"/>
        <v>0</v>
      </c>
      <c r="M28" s="1074">
        <f>SUM(L28:L44)</f>
        <v>0</v>
      </c>
    </row>
    <row r="29" spans="1:13" x14ac:dyDescent="0.25">
      <c r="B29" s="1069"/>
      <c r="C29" s="1072"/>
      <c r="D29" s="241"/>
      <c r="E29" s="241"/>
      <c r="F29" s="241"/>
      <c r="G29" s="241"/>
      <c r="H29" s="242"/>
      <c r="I29" s="346">
        <f t="shared" si="0"/>
        <v>0</v>
      </c>
      <c r="J29" s="242"/>
      <c r="K29" s="559"/>
      <c r="L29" s="561">
        <f t="shared" si="1"/>
        <v>0</v>
      </c>
      <c r="M29" s="1074"/>
    </row>
    <row r="30" spans="1:13" x14ac:dyDescent="0.25">
      <c r="B30" s="1069"/>
      <c r="C30" s="1072"/>
      <c r="D30" s="241"/>
      <c r="E30" s="241"/>
      <c r="F30" s="241"/>
      <c r="G30" s="241"/>
      <c r="H30" s="242"/>
      <c r="I30" s="346">
        <f t="shared" si="0"/>
        <v>0</v>
      </c>
      <c r="J30" s="242"/>
      <c r="K30" s="559"/>
      <c r="L30" s="561">
        <f t="shared" si="1"/>
        <v>0</v>
      </c>
      <c r="M30" s="1074"/>
    </row>
    <row r="31" spans="1:13" x14ac:dyDescent="0.25">
      <c r="B31" s="1069"/>
      <c r="C31" s="1072"/>
      <c r="D31" s="241"/>
      <c r="E31" s="241"/>
      <c r="F31" s="241"/>
      <c r="G31" s="241"/>
      <c r="H31" s="242"/>
      <c r="I31" s="346">
        <f t="shared" si="0"/>
        <v>0</v>
      </c>
      <c r="J31" s="242"/>
      <c r="K31" s="559"/>
      <c r="L31" s="561">
        <f t="shared" si="1"/>
        <v>0</v>
      </c>
      <c r="M31" s="1074"/>
    </row>
    <row r="32" spans="1:13" x14ac:dyDescent="0.25">
      <c r="B32" s="1069"/>
      <c r="C32" s="1072"/>
      <c r="D32" s="241"/>
      <c r="E32" s="241"/>
      <c r="F32" s="241"/>
      <c r="G32" s="241"/>
      <c r="H32" s="242"/>
      <c r="I32" s="346">
        <f t="shared" si="0"/>
        <v>0</v>
      </c>
      <c r="J32" s="242"/>
      <c r="K32" s="559"/>
      <c r="L32" s="561">
        <f t="shared" si="1"/>
        <v>0</v>
      </c>
      <c r="M32" s="1074"/>
    </row>
    <row r="33" spans="2:13" x14ac:dyDescent="0.25">
      <c r="B33" s="1069"/>
      <c r="C33" s="1072"/>
      <c r="D33" s="241"/>
      <c r="E33" s="241"/>
      <c r="F33" s="241"/>
      <c r="G33" s="241"/>
      <c r="H33" s="242"/>
      <c r="I33" s="346">
        <f t="shared" si="0"/>
        <v>0</v>
      </c>
      <c r="J33" s="242"/>
      <c r="K33" s="559"/>
      <c r="L33" s="561">
        <f t="shared" si="1"/>
        <v>0</v>
      </c>
      <c r="M33" s="1074"/>
    </row>
    <row r="34" spans="2:13" x14ac:dyDescent="0.25">
      <c r="B34" s="1069"/>
      <c r="C34" s="1072"/>
      <c r="D34" s="241"/>
      <c r="E34" s="241"/>
      <c r="F34" s="241"/>
      <c r="G34" s="241"/>
      <c r="H34" s="242"/>
      <c r="I34" s="346">
        <f t="shared" si="0"/>
        <v>0</v>
      </c>
      <c r="J34" s="242"/>
      <c r="K34" s="559"/>
      <c r="L34" s="561">
        <f t="shared" si="1"/>
        <v>0</v>
      </c>
      <c r="M34" s="1074"/>
    </row>
    <row r="35" spans="2:13" ht="15.75" thickBot="1" x14ac:dyDescent="0.3">
      <c r="B35" s="1069"/>
      <c r="C35" s="1073"/>
      <c r="D35" s="247"/>
      <c r="E35" s="247"/>
      <c r="F35" s="247"/>
      <c r="G35" s="247"/>
      <c r="H35" s="248"/>
      <c r="I35" s="347">
        <f t="shared" si="0"/>
        <v>0</v>
      </c>
      <c r="J35" s="248"/>
      <c r="K35" s="249"/>
      <c r="L35" s="562">
        <f t="shared" si="1"/>
        <v>0</v>
      </c>
      <c r="M35" s="1074"/>
    </row>
    <row r="36" spans="2:13" x14ac:dyDescent="0.25">
      <c r="B36" s="1069"/>
      <c r="C36" s="1071" t="s">
        <v>175</v>
      </c>
      <c r="D36" s="223"/>
      <c r="E36" s="223"/>
      <c r="F36" s="223"/>
      <c r="G36" s="223"/>
      <c r="H36" s="225"/>
      <c r="I36" s="345">
        <f t="shared" si="0"/>
        <v>0</v>
      </c>
      <c r="J36" s="225"/>
      <c r="K36" s="558"/>
      <c r="L36" s="560">
        <f t="shared" si="1"/>
        <v>0</v>
      </c>
      <c r="M36" s="1074"/>
    </row>
    <row r="37" spans="2:13" x14ac:dyDescent="0.25">
      <c r="B37" s="1069"/>
      <c r="C37" s="1072"/>
      <c r="D37" s="241"/>
      <c r="E37" s="241"/>
      <c r="F37" s="241"/>
      <c r="G37" s="241"/>
      <c r="H37" s="242"/>
      <c r="I37" s="346">
        <f t="shared" si="0"/>
        <v>0</v>
      </c>
      <c r="J37" s="242"/>
      <c r="K37" s="559"/>
      <c r="L37" s="561">
        <f t="shared" si="1"/>
        <v>0</v>
      </c>
      <c r="M37" s="1074"/>
    </row>
    <row r="38" spans="2:13" x14ac:dyDescent="0.25">
      <c r="B38" s="1069"/>
      <c r="C38" s="1072"/>
      <c r="D38" s="241"/>
      <c r="E38" s="241"/>
      <c r="F38" s="241"/>
      <c r="G38" s="241"/>
      <c r="H38" s="242"/>
      <c r="I38" s="346">
        <f t="shared" si="0"/>
        <v>0</v>
      </c>
      <c r="J38" s="242"/>
      <c r="K38" s="559"/>
      <c r="L38" s="561">
        <f t="shared" si="1"/>
        <v>0</v>
      </c>
      <c r="M38" s="1074"/>
    </row>
    <row r="39" spans="2:13" x14ac:dyDescent="0.25">
      <c r="B39" s="1069"/>
      <c r="C39" s="1072"/>
      <c r="D39" s="241"/>
      <c r="E39" s="241"/>
      <c r="F39" s="241"/>
      <c r="G39" s="241"/>
      <c r="H39" s="242"/>
      <c r="I39" s="346">
        <f t="shared" si="0"/>
        <v>0</v>
      </c>
      <c r="J39" s="242"/>
      <c r="K39" s="559"/>
      <c r="L39" s="561">
        <f t="shared" si="1"/>
        <v>0</v>
      </c>
      <c r="M39" s="1074"/>
    </row>
    <row r="40" spans="2:13" x14ac:dyDescent="0.25">
      <c r="B40" s="1069"/>
      <c r="C40" s="1072"/>
      <c r="D40" s="241"/>
      <c r="E40" s="241"/>
      <c r="F40" s="241"/>
      <c r="G40" s="241"/>
      <c r="H40" s="242"/>
      <c r="I40" s="346">
        <f t="shared" si="0"/>
        <v>0</v>
      </c>
      <c r="J40" s="242"/>
      <c r="K40" s="559"/>
      <c r="L40" s="561">
        <f t="shared" si="1"/>
        <v>0</v>
      </c>
      <c r="M40" s="1074"/>
    </row>
    <row r="41" spans="2:13" x14ac:dyDescent="0.25">
      <c r="B41" s="1069"/>
      <c r="C41" s="1072"/>
      <c r="D41" s="241"/>
      <c r="E41" s="241"/>
      <c r="F41" s="241"/>
      <c r="G41" s="241"/>
      <c r="H41" s="242"/>
      <c r="I41" s="346">
        <f t="shared" si="0"/>
        <v>0</v>
      </c>
      <c r="J41" s="242"/>
      <c r="K41" s="559"/>
      <c r="L41" s="561">
        <f t="shared" si="1"/>
        <v>0</v>
      </c>
      <c r="M41" s="1074"/>
    </row>
    <row r="42" spans="2:13" x14ac:dyDescent="0.25">
      <c r="B42" s="1069"/>
      <c r="C42" s="1072"/>
      <c r="D42" s="241"/>
      <c r="E42" s="241"/>
      <c r="F42" s="241"/>
      <c r="G42" s="241"/>
      <c r="H42" s="242"/>
      <c r="I42" s="346">
        <f t="shared" si="0"/>
        <v>0</v>
      </c>
      <c r="J42" s="242"/>
      <c r="K42" s="559"/>
      <c r="L42" s="561">
        <f t="shared" si="1"/>
        <v>0</v>
      </c>
      <c r="M42" s="1074"/>
    </row>
    <row r="43" spans="2:13" x14ac:dyDescent="0.25">
      <c r="B43" s="1069"/>
      <c r="C43" s="1072"/>
      <c r="D43" s="241"/>
      <c r="E43" s="241"/>
      <c r="F43" s="241"/>
      <c r="G43" s="241"/>
      <c r="H43" s="242"/>
      <c r="I43" s="346">
        <f t="shared" si="0"/>
        <v>0</v>
      </c>
      <c r="J43" s="242"/>
      <c r="K43" s="559"/>
      <c r="L43" s="561">
        <f t="shared" si="1"/>
        <v>0</v>
      </c>
      <c r="M43" s="1074"/>
    </row>
    <row r="44" spans="2:13" ht="15.75" thickBot="1" x14ac:dyDescent="0.3">
      <c r="B44" s="1070"/>
      <c r="C44" s="1073"/>
      <c r="D44" s="247"/>
      <c r="E44" s="247"/>
      <c r="F44" s="247"/>
      <c r="G44" s="247"/>
      <c r="H44" s="248"/>
      <c r="I44" s="347">
        <f t="shared" si="0"/>
        <v>0</v>
      </c>
      <c r="J44" s="248"/>
      <c r="K44" s="249"/>
      <c r="L44" s="562">
        <f t="shared" si="1"/>
        <v>0</v>
      </c>
      <c r="M44" s="1074"/>
    </row>
    <row r="45" spans="2:13" x14ac:dyDescent="0.25">
      <c r="B45" s="1087" t="str">
        <f>+'B) Reajuste Tarifas y Ocupación'!A18</f>
        <v>Quincho</v>
      </c>
      <c r="C45" s="1071" t="s">
        <v>174</v>
      </c>
      <c r="D45" s="456"/>
      <c r="E45" s="457"/>
      <c r="F45" s="457"/>
      <c r="G45" s="458"/>
      <c r="H45" s="225"/>
      <c r="I45" s="345">
        <f>+H45*(1+$M$7)</f>
        <v>0</v>
      </c>
      <c r="J45" s="225"/>
      <c r="K45" s="558"/>
      <c r="L45" s="560">
        <f t="shared" si="1"/>
        <v>0</v>
      </c>
      <c r="M45" s="1089">
        <f>SUM(L45:L61)</f>
        <v>0</v>
      </c>
    </row>
    <row r="46" spans="2:13" x14ac:dyDescent="0.25">
      <c r="B46" s="1088"/>
      <c r="C46" s="1072"/>
      <c r="D46" s="241"/>
      <c r="E46" s="241"/>
      <c r="F46" s="241"/>
      <c r="G46" s="241"/>
      <c r="H46" s="242"/>
      <c r="I46" s="346">
        <f t="shared" si="0"/>
        <v>0</v>
      </c>
      <c r="J46" s="242"/>
      <c r="K46" s="559"/>
      <c r="L46" s="561">
        <f t="shared" si="1"/>
        <v>0</v>
      </c>
      <c r="M46" s="1074"/>
    </row>
    <row r="47" spans="2:13" x14ac:dyDescent="0.25">
      <c r="B47" s="1088"/>
      <c r="C47" s="1072"/>
      <c r="D47" s="241"/>
      <c r="E47" s="241"/>
      <c r="F47" s="241"/>
      <c r="G47" s="241"/>
      <c r="H47" s="242"/>
      <c r="I47" s="346">
        <f t="shared" si="0"/>
        <v>0</v>
      </c>
      <c r="J47" s="242"/>
      <c r="K47" s="559"/>
      <c r="L47" s="561">
        <f t="shared" si="1"/>
        <v>0</v>
      </c>
      <c r="M47" s="1074"/>
    </row>
    <row r="48" spans="2:13" x14ac:dyDescent="0.25">
      <c r="B48" s="1088"/>
      <c r="C48" s="1072"/>
      <c r="D48" s="241"/>
      <c r="E48" s="241"/>
      <c r="F48" s="241"/>
      <c r="G48" s="241"/>
      <c r="H48" s="242"/>
      <c r="I48" s="346">
        <f t="shared" si="0"/>
        <v>0</v>
      </c>
      <c r="J48" s="242"/>
      <c r="K48" s="559"/>
      <c r="L48" s="561">
        <f t="shared" si="1"/>
        <v>0</v>
      </c>
      <c r="M48" s="1074"/>
    </row>
    <row r="49" spans="2:13" x14ac:dyDescent="0.25">
      <c r="B49" s="1088"/>
      <c r="C49" s="1072"/>
      <c r="D49" s="241"/>
      <c r="E49" s="241"/>
      <c r="F49" s="241"/>
      <c r="G49" s="241"/>
      <c r="H49" s="242"/>
      <c r="I49" s="346">
        <f t="shared" si="0"/>
        <v>0</v>
      </c>
      <c r="J49" s="242"/>
      <c r="K49" s="559"/>
      <c r="L49" s="561">
        <f t="shared" si="1"/>
        <v>0</v>
      </c>
      <c r="M49" s="1074"/>
    </row>
    <row r="50" spans="2:13" x14ac:dyDescent="0.25">
      <c r="B50" s="1088"/>
      <c r="C50" s="1072"/>
      <c r="D50" s="241"/>
      <c r="E50" s="241"/>
      <c r="F50" s="241"/>
      <c r="G50" s="241"/>
      <c r="H50" s="242"/>
      <c r="I50" s="346">
        <f t="shared" si="0"/>
        <v>0</v>
      </c>
      <c r="J50" s="242"/>
      <c r="K50" s="559"/>
      <c r="L50" s="561">
        <f t="shared" si="1"/>
        <v>0</v>
      </c>
      <c r="M50" s="1074"/>
    </row>
    <row r="51" spans="2:13" x14ac:dyDescent="0.25">
      <c r="B51" s="1088"/>
      <c r="C51" s="1072"/>
      <c r="D51" s="241"/>
      <c r="E51" s="241"/>
      <c r="F51" s="241"/>
      <c r="G51" s="241"/>
      <c r="H51" s="242"/>
      <c r="I51" s="346">
        <f t="shared" si="0"/>
        <v>0</v>
      </c>
      <c r="J51" s="242"/>
      <c r="K51" s="559"/>
      <c r="L51" s="561">
        <f t="shared" si="1"/>
        <v>0</v>
      </c>
      <c r="M51" s="1074"/>
    </row>
    <row r="52" spans="2:13" ht="15.75" thickBot="1" x14ac:dyDescent="0.3">
      <c r="B52" s="1088"/>
      <c r="C52" s="1073"/>
      <c r="D52" s="247"/>
      <c r="E52" s="247"/>
      <c r="F52" s="247"/>
      <c r="G52" s="247"/>
      <c r="H52" s="248"/>
      <c r="I52" s="347">
        <f t="shared" si="0"/>
        <v>0</v>
      </c>
      <c r="J52" s="248"/>
      <c r="K52" s="249"/>
      <c r="L52" s="562">
        <f t="shared" si="1"/>
        <v>0</v>
      </c>
      <c r="M52" s="1074"/>
    </row>
    <row r="53" spans="2:13" x14ac:dyDescent="0.25">
      <c r="B53" s="1088"/>
      <c r="C53" s="1071" t="s">
        <v>175</v>
      </c>
      <c r="D53" s="223"/>
      <c r="E53" s="223"/>
      <c r="F53" s="223"/>
      <c r="G53" s="223"/>
      <c r="H53" s="225"/>
      <c r="I53" s="345">
        <f t="shared" si="0"/>
        <v>0</v>
      </c>
      <c r="J53" s="225"/>
      <c r="K53" s="558"/>
      <c r="L53" s="560">
        <f t="shared" si="1"/>
        <v>0</v>
      </c>
      <c r="M53" s="1074"/>
    </row>
    <row r="54" spans="2:13" x14ac:dyDescent="0.25">
      <c r="B54" s="1088"/>
      <c r="C54" s="1072"/>
      <c r="D54" s="241"/>
      <c r="E54" s="241"/>
      <c r="F54" s="241"/>
      <c r="G54" s="241"/>
      <c r="H54" s="242"/>
      <c r="I54" s="346">
        <f t="shared" si="0"/>
        <v>0</v>
      </c>
      <c r="J54" s="242"/>
      <c r="K54" s="559"/>
      <c r="L54" s="561">
        <f t="shared" si="1"/>
        <v>0</v>
      </c>
      <c r="M54" s="1074"/>
    </row>
    <row r="55" spans="2:13" x14ac:dyDescent="0.25">
      <c r="B55" s="1088"/>
      <c r="C55" s="1072"/>
      <c r="D55" s="241"/>
      <c r="E55" s="241"/>
      <c r="F55" s="241"/>
      <c r="G55" s="241"/>
      <c r="H55" s="242"/>
      <c r="I55" s="346">
        <f t="shared" si="0"/>
        <v>0</v>
      </c>
      <c r="J55" s="242"/>
      <c r="K55" s="559"/>
      <c r="L55" s="561">
        <f t="shared" si="1"/>
        <v>0</v>
      </c>
      <c r="M55" s="1074"/>
    </row>
    <row r="56" spans="2:13" x14ac:dyDescent="0.25">
      <c r="B56" s="1088"/>
      <c r="C56" s="1072"/>
      <c r="D56" s="241"/>
      <c r="E56" s="241"/>
      <c r="F56" s="241"/>
      <c r="G56" s="241"/>
      <c r="H56" s="242"/>
      <c r="I56" s="346">
        <f t="shared" si="0"/>
        <v>0</v>
      </c>
      <c r="J56" s="242"/>
      <c r="K56" s="559"/>
      <c r="L56" s="561">
        <f t="shared" si="1"/>
        <v>0</v>
      </c>
      <c r="M56" s="1074"/>
    </row>
    <row r="57" spans="2:13" x14ac:dyDescent="0.25">
      <c r="B57" s="1088"/>
      <c r="C57" s="1072"/>
      <c r="D57" s="241"/>
      <c r="E57" s="241"/>
      <c r="F57" s="241"/>
      <c r="G57" s="241"/>
      <c r="H57" s="242"/>
      <c r="I57" s="346">
        <f t="shared" si="0"/>
        <v>0</v>
      </c>
      <c r="J57" s="242"/>
      <c r="K57" s="559"/>
      <c r="L57" s="561">
        <f t="shared" si="1"/>
        <v>0</v>
      </c>
      <c r="M57" s="1074"/>
    </row>
    <row r="58" spans="2:13" x14ac:dyDescent="0.25">
      <c r="B58" s="1088"/>
      <c r="C58" s="1072"/>
      <c r="D58" s="241"/>
      <c r="E58" s="241"/>
      <c r="F58" s="241"/>
      <c r="G58" s="241"/>
      <c r="H58" s="242"/>
      <c r="I58" s="346">
        <f t="shared" si="0"/>
        <v>0</v>
      </c>
      <c r="J58" s="242"/>
      <c r="K58" s="559"/>
      <c r="L58" s="561">
        <f t="shared" si="1"/>
        <v>0</v>
      </c>
      <c r="M58" s="1074"/>
    </row>
    <row r="59" spans="2:13" x14ac:dyDescent="0.25">
      <c r="B59" s="1088"/>
      <c r="C59" s="1072"/>
      <c r="D59" s="241"/>
      <c r="E59" s="241"/>
      <c r="F59" s="241"/>
      <c r="G59" s="241"/>
      <c r="H59" s="242"/>
      <c r="I59" s="346">
        <f t="shared" si="0"/>
        <v>0</v>
      </c>
      <c r="J59" s="242"/>
      <c r="K59" s="559"/>
      <c r="L59" s="561">
        <f t="shared" si="1"/>
        <v>0</v>
      </c>
      <c r="M59" s="1074"/>
    </row>
    <row r="60" spans="2:13" x14ac:dyDescent="0.25">
      <c r="B60" s="1088"/>
      <c r="C60" s="1072"/>
      <c r="D60" s="241"/>
      <c r="E60" s="241"/>
      <c r="F60" s="241"/>
      <c r="G60" s="241"/>
      <c r="H60" s="242"/>
      <c r="I60" s="346">
        <f>+H60*(1+$M$7)</f>
        <v>0</v>
      </c>
      <c r="J60" s="242"/>
      <c r="K60" s="559"/>
      <c r="L60" s="561">
        <f t="shared" si="1"/>
        <v>0</v>
      </c>
      <c r="M60" s="1074"/>
    </row>
    <row r="61" spans="2:13" ht="15.75" thickBot="1" x14ac:dyDescent="0.3">
      <c r="B61" s="1088"/>
      <c r="C61" s="1073"/>
      <c r="D61" s="247"/>
      <c r="E61" s="247"/>
      <c r="F61" s="247"/>
      <c r="G61" s="247"/>
      <c r="H61" s="248"/>
      <c r="I61" s="347">
        <f t="shared" si="0"/>
        <v>0</v>
      </c>
      <c r="J61" s="248"/>
      <c r="K61" s="249"/>
      <c r="L61" s="562">
        <f t="shared" si="1"/>
        <v>0</v>
      </c>
      <c r="M61" s="1074"/>
    </row>
    <row r="62" spans="2:13" x14ac:dyDescent="0.25">
      <c r="B62" s="1068" t="str">
        <f>+'B) Reajuste Tarifas y Ocupación'!A19</f>
        <v>Cancha</v>
      </c>
      <c r="C62" s="1071" t="s">
        <v>174</v>
      </c>
      <c r="D62" s="223"/>
      <c r="E62" s="223"/>
      <c r="F62" s="223"/>
      <c r="G62" s="223"/>
      <c r="H62" s="225"/>
      <c r="I62" s="345">
        <f>+H62*(1+$M$7)</f>
        <v>0</v>
      </c>
      <c r="J62" s="225"/>
      <c r="K62" s="558"/>
      <c r="L62" s="560">
        <f t="shared" si="1"/>
        <v>0</v>
      </c>
      <c r="M62" s="1089">
        <f>SUM(L62:L78)</f>
        <v>0</v>
      </c>
    </row>
    <row r="63" spans="2:13" x14ac:dyDescent="0.25">
      <c r="B63" s="1069"/>
      <c r="C63" s="1072"/>
      <c r="D63" s="241"/>
      <c r="E63" s="241"/>
      <c r="F63" s="241"/>
      <c r="G63" s="241"/>
      <c r="H63" s="242"/>
      <c r="I63" s="346">
        <f t="shared" si="0"/>
        <v>0</v>
      </c>
      <c r="J63" s="242"/>
      <c r="K63" s="559"/>
      <c r="L63" s="561">
        <f t="shared" si="1"/>
        <v>0</v>
      </c>
      <c r="M63" s="1074"/>
    </row>
    <row r="64" spans="2:13" x14ac:dyDescent="0.25">
      <c r="B64" s="1069"/>
      <c r="C64" s="1072"/>
      <c r="D64" s="241"/>
      <c r="E64" s="241"/>
      <c r="F64" s="241"/>
      <c r="G64" s="241"/>
      <c r="H64" s="242"/>
      <c r="I64" s="346">
        <f t="shared" si="0"/>
        <v>0</v>
      </c>
      <c r="J64" s="242"/>
      <c r="K64" s="559"/>
      <c r="L64" s="561">
        <f t="shared" si="1"/>
        <v>0</v>
      </c>
      <c r="M64" s="1074"/>
    </row>
    <row r="65" spans="2:13" x14ac:dyDescent="0.25">
      <c r="B65" s="1069"/>
      <c r="C65" s="1072"/>
      <c r="D65" s="241"/>
      <c r="E65" s="241"/>
      <c r="F65" s="241"/>
      <c r="G65" s="241"/>
      <c r="H65" s="242"/>
      <c r="I65" s="346">
        <f t="shared" si="0"/>
        <v>0</v>
      </c>
      <c r="J65" s="242"/>
      <c r="K65" s="559"/>
      <c r="L65" s="561">
        <f t="shared" si="1"/>
        <v>0</v>
      </c>
      <c r="M65" s="1074"/>
    </row>
    <row r="66" spans="2:13" x14ac:dyDescent="0.25">
      <c r="B66" s="1069"/>
      <c r="C66" s="1072"/>
      <c r="D66" s="241"/>
      <c r="E66" s="241"/>
      <c r="F66" s="241"/>
      <c r="G66" s="241"/>
      <c r="H66" s="242"/>
      <c r="I66" s="346">
        <f t="shared" si="0"/>
        <v>0</v>
      </c>
      <c r="J66" s="242"/>
      <c r="K66" s="559"/>
      <c r="L66" s="561">
        <f t="shared" si="1"/>
        <v>0</v>
      </c>
      <c r="M66" s="1074"/>
    </row>
    <row r="67" spans="2:13" x14ac:dyDescent="0.25">
      <c r="B67" s="1069"/>
      <c r="C67" s="1072"/>
      <c r="D67" s="241"/>
      <c r="E67" s="241"/>
      <c r="F67" s="241"/>
      <c r="G67" s="241"/>
      <c r="H67" s="242"/>
      <c r="I67" s="346">
        <f t="shared" si="0"/>
        <v>0</v>
      </c>
      <c r="J67" s="242"/>
      <c r="K67" s="559"/>
      <c r="L67" s="561">
        <f t="shared" si="1"/>
        <v>0</v>
      </c>
      <c r="M67" s="1074"/>
    </row>
    <row r="68" spans="2:13" x14ac:dyDescent="0.25">
      <c r="B68" s="1069"/>
      <c r="C68" s="1072"/>
      <c r="D68" s="241"/>
      <c r="E68" s="241"/>
      <c r="F68" s="241"/>
      <c r="G68" s="241"/>
      <c r="H68" s="242"/>
      <c r="I68" s="346">
        <f t="shared" si="0"/>
        <v>0</v>
      </c>
      <c r="J68" s="242"/>
      <c r="K68" s="559"/>
      <c r="L68" s="561">
        <f t="shared" si="1"/>
        <v>0</v>
      </c>
      <c r="M68" s="1074"/>
    </row>
    <row r="69" spans="2:13" ht="15.75" thickBot="1" x14ac:dyDescent="0.3">
      <c r="B69" s="1069"/>
      <c r="C69" s="1073"/>
      <c r="D69" s="247"/>
      <c r="E69" s="247"/>
      <c r="F69" s="247"/>
      <c r="G69" s="247"/>
      <c r="H69" s="248"/>
      <c r="I69" s="347">
        <f t="shared" si="0"/>
        <v>0</v>
      </c>
      <c r="J69" s="248"/>
      <c r="K69" s="249"/>
      <c r="L69" s="562">
        <f t="shared" si="1"/>
        <v>0</v>
      </c>
      <c r="M69" s="1074"/>
    </row>
    <row r="70" spans="2:13" x14ac:dyDescent="0.25">
      <c r="B70" s="1069"/>
      <c r="C70" s="1071" t="s">
        <v>175</v>
      </c>
      <c r="D70" s="223"/>
      <c r="E70" s="223"/>
      <c r="F70" s="223"/>
      <c r="G70" s="223"/>
      <c r="H70" s="225"/>
      <c r="I70" s="345">
        <f t="shared" si="0"/>
        <v>0</v>
      </c>
      <c r="J70" s="225"/>
      <c r="K70" s="558"/>
      <c r="L70" s="560">
        <f t="shared" si="1"/>
        <v>0</v>
      </c>
      <c r="M70" s="1074"/>
    </row>
    <row r="71" spans="2:13" x14ac:dyDescent="0.25">
      <c r="B71" s="1069"/>
      <c r="C71" s="1072"/>
      <c r="D71" s="241"/>
      <c r="E71" s="241"/>
      <c r="F71" s="241"/>
      <c r="G71" s="241"/>
      <c r="H71" s="242"/>
      <c r="I71" s="346">
        <f t="shared" si="0"/>
        <v>0</v>
      </c>
      <c r="J71" s="242"/>
      <c r="K71" s="559"/>
      <c r="L71" s="561">
        <f t="shared" si="1"/>
        <v>0</v>
      </c>
      <c r="M71" s="1074"/>
    </row>
    <row r="72" spans="2:13" x14ac:dyDescent="0.25">
      <c r="B72" s="1069"/>
      <c r="C72" s="1072"/>
      <c r="D72" s="241"/>
      <c r="E72" s="241"/>
      <c r="F72" s="241"/>
      <c r="G72" s="241"/>
      <c r="H72" s="242"/>
      <c r="I72" s="346">
        <f t="shared" si="0"/>
        <v>0</v>
      </c>
      <c r="J72" s="242"/>
      <c r="K72" s="559"/>
      <c r="L72" s="561">
        <f t="shared" si="1"/>
        <v>0</v>
      </c>
      <c r="M72" s="1074"/>
    </row>
    <row r="73" spans="2:13" x14ac:dyDescent="0.25">
      <c r="B73" s="1069"/>
      <c r="C73" s="1072"/>
      <c r="D73" s="241"/>
      <c r="E73" s="241"/>
      <c r="F73" s="241"/>
      <c r="G73" s="241"/>
      <c r="H73" s="242"/>
      <c r="I73" s="346">
        <f t="shared" si="0"/>
        <v>0</v>
      </c>
      <c r="J73" s="242"/>
      <c r="K73" s="559"/>
      <c r="L73" s="561">
        <f t="shared" si="1"/>
        <v>0</v>
      </c>
      <c r="M73" s="1074"/>
    </row>
    <row r="74" spans="2:13" x14ac:dyDescent="0.25">
      <c r="B74" s="1069"/>
      <c r="C74" s="1072"/>
      <c r="D74" s="241"/>
      <c r="E74" s="241"/>
      <c r="F74" s="241"/>
      <c r="G74" s="241"/>
      <c r="H74" s="242"/>
      <c r="I74" s="346">
        <f t="shared" si="0"/>
        <v>0</v>
      </c>
      <c r="J74" s="242"/>
      <c r="K74" s="559"/>
      <c r="L74" s="561">
        <f t="shared" si="1"/>
        <v>0</v>
      </c>
      <c r="M74" s="1074"/>
    </row>
    <row r="75" spans="2:13" x14ac:dyDescent="0.25">
      <c r="B75" s="1069"/>
      <c r="C75" s="1072"/>
      <c r="D75" s="241"/>
      <c r="E75" s="241"/>
      <c r="F75" s="241"/>
      <c r="G75" s="241"/>
      <c r="H75" s="242"/>
      <c r="I75" s="346">
        <f t="shared" si="0"/>
        <v>0</v>
      </c>
      <c r="J75" s="242"/>
      <c r="K75" s="559"/>
      <c r="L75" s="561">
        <f t="shared" si="1"/>
        <v>0</v>
      </c>
      <c r="M75" s="1074"/>
    </row>
    <row r="76" spans="2:13" x14ac:dyDescent="0.25">
      <c r="B76" s="1069"/>
      <c r="C76" s="1072"/>
      <c r="D76" s="241"/>
      <c r="E76" s="241"/>
      <c r="F76" s="241"/>
      <c r="G76" s="241"/>
      <c r="H76" s="242"/>
      <c r="I76" s="346">
        <f t="shared" ref="I76:I78" si="2">+H76*(1+$M$7)</f>
        <v>0</v>
      </c>
      <c r="J76" s="242"/>
      <c r="K76" s="559"/>
      <c r="L76" s="561">
        <f t="shared" ref="L76:L78" si="3">+I76*(1+$M$8)+J76+K76</f>
        <v>0</v>
      </c>
      <c r="M76" s="1074"/>
    </row>
    <row r="77" spans="2:13" x14ac:dyDescent="0.25">
      <c r="B77" s="1069"/>
      <c r="C77" s="1072"/>
      <c r="D77" s="241"/>
      <c r="E77" s="241"/>
      <c r="F77" s="241"/>
      <c r="G77" s="241"/>
      <c r="H77" s="242"/>
      <c r="I77" s="346">
        <f t="shared" si="2"/>
        <v>0</v>
      </c>
      <c r="J77" s="242"/>
      <c r="K77" s="559"/>
      <c r="L77" s="561">
        <f t="shared" si="3"/>
        <v>0</v>
      </c>
      <c r="M77" s="1074"/>
    </row>
    <row r="78" spans="2:13" ht="15.75" thickBot="1" x14ac:dyDescent="0.3">
      <c r="B78" s="1070"/>
      <c r="C78" s="1073"/>
      <c r="D78" s="247"/>
      <c r="E78" s="247"/>
      <c r="F78" s="247"/>
      <c r="G78" s="247"/>
      <c r="H78" s="248"/>
      <c r="I78" s="347">
        <f t="shared" si="2"/>
        <v>0</v>
      </c>
      <c r="J78" s="248"/>
      <c r="K78" s="249"/>
      <c r="L78" s="562">
        <f t="shared" si="3"/>
        <v>0</v>
      </c>
      <c r="M78" s="1090"/>
    </row>
  </sheetData>
  <mergeCells count="29">
    <mergeCell ref="B45:B61"/>
    <mergeCell ref="C45:C52"/>
    <mergeCell ref="M45:M61"/>
    <mergeCell ref="C53:C61"/>
    <mergeCell ref="B62:B78"/>
    <mergeCell ref="C62:C69"/>
    <mergeCell ref="M62:M78"/>
    <mergeCell ref="C70:C78"/>
    <mergeCell ref="B28:B44"/>
    <mergeCell ref="C28:C35"/>
    <mergeCell ref="M28:M44"/>
    <mergeCell ref="C36:C44"/>
    <mergeCell ref="G9:G10"/>
    <mergeCell ref="H9:H10"/>
    <mergeCell ref="I9:I10"/>
    <mergeCell ref="J9:J10"/>
    <mergeCell ref="K9:K10"/>
    <mergeCell ref="L9:L10"/>
    <mergeCell ref="M9:M10"/>
    <mergeCell ref="B11:B27"/>
    <mergeCell ref="C11:C18"/>
    <mergeCell ref="M11:M27"/>
    <mergeCell ref="C19:C27"/>
    <mergeCell ref="B7:F7"/>
    <mergeCell ref="B9:B10"/>
    <mergeCell ref="C9:C10"/>
    <mergeCell ref="D9:D10"/>
    <mergeCell ref="E9:E10"/>
    <mergeCell ref="F9:F10"/>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0" tint="-0.34998626667073579"/>
  </sheetPr>
  <dimension ref="A1:M24"/>
  <sheetViews>
    <sheetView showGridLines="0" topLeftCell="B10" zoomScaleNormal="100" workbookViewId="0">
      <selection activeCell="L25" sqref="L25"/>
    </sheetView>
  </sheetViews>
  <sheetFormatPr baseColWidth="10" defaultRowHeight="15" x14ac:dyDescent="0.25"/>
  <cols>
    <col min="1" max="1" width="24.85546875" style="5" customWidth="1"/>
    <col min="2" max="2" width="36.28515625" style="5" customWidth="1"/>
    <col min="3" max="8" width="14.7109375" style="5" customWidth="1"/>
    <col min="9" max="9" width="33.42578125" style="5" bestFit="1" customWidth="1"/>
    <col min="10" max="10" width="14.7109375" style="5" customWidth="1"/>
    <col min="11" max="11" width="33.42578125" style="5" bestFit="1" customWidth="1"/>
    <col min="12" max="12" width="14.7109375" style="5" customWidth="1"/>
    <col min="13" max="13" width="30.140625" style="5" bestFit="1" customWidth="1"/>
  </cols>
  <sheetData>
    <row r="1" spans="1:13" x14ac:dyDescent="0.25">
      <c r="B1" s="3"/>
      <c r="C1" s="3"/>
      <c r="D1" s="3"/>
      <c r="E1" s="3"/>
      <c r="F1" s="3"/>
      <c r="G1" s="3"/>
      <c r="H1" s="3"/>
      <c r="I1" s="3"/>
      <c r="J1" s="3"/>
      <c r="L1" s="3"/>
    </row>
    <row r="2" spans="1:13" x14ac:dyDescent="0.25">
      <c r="B2" s="3"/>
      <c r="C2" s="3"/>
      <c r="D2" s="3" t="s">
        <v>176</v>
      </c>
      <c r="E2" s="3"/>
      <c r="F2" s="3"/>
      <c r="G2" s="3"/>
      <c r="H2" s="3"/>
      <c r="I2" s="3"/>
      <c r="J2" s="3"/>
      <c r="L2" s="3"/>
    </row>
    <row r="3" spans="1:13" x14ac:dyDescent="0.25">
      <c r="C3" s="2"/>
      <c r="D3" s="2"/>
      <c r="E3" s="2"/>
      <c r="F3" s="2"/>
      <c r="G3" s="2"/>
      <c r="H3" s="2"/>
      <c r="J3" s="2"/>
      <c r="L3" s="2"/>
    </row>
    <row r="4" spans="1:13" ht="15.75" x14ac:dyDescent="0.25">
      <c r="C4" s="348" t="s">
        <v>1</v>
      </c>
      <c r="D4" s="1097" t="str">
        <f>+'[1]B) Reajuste Tarifas y Ocupación'!F5</f>
        <v>BIENMONTT</v>
      </c>
      <c r="E4" s="1098"/>
      <c r="F4" s="3"/>
      <c r="G4" s="3"/>
      <c r="H4" s="3"/>
      <c r="J4" s="3"/>
      <c r="L4" s="3"/>
    </row>
    <row r="5" spans="1:13" x14ac:dyDescent="0.25">
      <c r="A5" s="8"/>
      <c r="B5" s="8"/>
      <c r="C5" s="3"/>
      <c r="D5" s="3"/>
      <c r="E5" s="3"/>
      <c r="F5" s="3"/>
      <c r="G5" s="3"/>
      <c r="H5" s="3"/>
      <c r="I5" s="3"/>
      <c r="J5" s="3"/>
      <c r="L5" s="3"/>
    </row>
    <row r="6" spans="1:13" x14ac:dyDescent="0.25">
      <c r="A6" s="8"/>
      <c r="B6" s="8"/>
      <c r="C6" s="3"/>
      <c r="D6" s="3"/>
      <c r="E6" s="3"/>
      <c r="F6" s="3"/>
      <c r="G6" s="3"/>
      <c r="H6" s="3"/>
      <c r="I6" s="3"/>
      <c r="J6" s="3"/>
      <c r="L6" s="3"/>
    </row>
    <row r="7" spans="1:13" x14ac:dyDescent="0.25">
      <c r="A7" s="1099" t="s">
        <v>177</v>
      </c>
      <c r="B7" s="1100"/>
      <c r="C7" s="1100"/>
      <c r="D7" s="1100"/>
      <c r="E7" s="1100"/>
      <c r="F7" s="1100"/>
      <c r="G7" s="1100"/>
      <c r="H7" s="1100"/>
      <c r="I7" s="1100"/>
      <c r="J7" s="1100"/>
      <c r="K7" s="1100"/>
      <c r="L7" s="1101"/>
    </row>
    <row r="8" spans="1:13" x14ac:dyDescent="0.25">
      <c r="A8" s="1102"/>
      <c r="B8" s="1103"/>
      <c r="C8" s="1103"/>
      <c r="D8" s="1103"/>
      <c r="E8" s="1103"/>
      <c r="F8" s="1103"/>
      <c r="G8" s="1103"/>
      <c r="H8" s="1103"/>
      <c r="I8" s="1103"/>
      <c r="J8" s="1103"/>
      <c r="K8" s="1103"/>
      <c r="L8" s="1104"/>
    </row>
    <row r="9" spans="1:13" x14ac:dyDescent="0.25">
      <c r="A9" s="1102"/>
      <c r="B9" s="1103"/>
      <c r="C9" s="1103"/>
      <c r="D9" s="1103"/>
      <c r="E9" s="1103"/>
      <c r="F9" s="1103"/>
      <c r="G9" s="1103"/>
      <c r="H9" s="1103"/>
      <c r="I9" s="1103"/>
      <c r="J9" s="1103"/>
      <c r="K9" s="1103"/>
      <c r="L9" s="1104"/>
    </row>
    <row r="10" spans="1:13" x14ac:dyDescent="0.25">
      <c r="A10" s="1105"/>
      <c r="B10" s="1106"/>
      <c r="C10" s="1106"/>
      <c r="D10" s="1106"/>
      <c r="E10" s="1106"/>
      <c r="F10" s="1106"/>
      <c r="G10" s="1106"/>
      <c r="H10" s="1106"/>
      <c r="I10" s="1106"/>
      <c r="J10" s="1106"/>
      <c r="K10" s="1106"/>
      <c r="L10" s="1107"/>
    </row>
    <row r="11" spans="1:13" x14ac:dyDescent="0.25">
      <c r="A11" s="349"/>
      <c r="B11" s="349"/>
      <c r="C11" s="349"/>
      <c r="D11" s="349"/>
      <c r="E11" s="349"/>
      <c r="F11" s="349"/>
      <c r="G11" s="349"/>
      <c r="H11" s="349"/>
      <c r="I11" s="349"/>
      <c r="J11" s="349"/>
      <c r="K11" s="349"/>
      <c r="L11" s="349"/>
    </row>
    <row r="12" spans="1:13" x14ac:dyDescent="0.25">
      <c r="A12" s="349"/>
      <c r="B12" s="349"/>
      <c r="C12" s="349"/>
      <c r="D12" s="349"/>
      <c r="E12" s="349"/>
      <c r="H12" s="349"/>
      <c r="I12" s="349"/>
      <c r="J12" s="349"/>
      <c r="K12" s="349"/>
      <c r="L12" s="349"/>
    </row>
    <row r="13" spans="1:13" ht="15.75" x14ac:dyDescent="0.25">
      <c r="A13" s="1052"/>
      <c r="B13" s="1052"/>
      <c r="C13" s="1052"/>
      <c r="D13" s="1052"/>
      <c r="E13" s="349"/>
      <c r="F13" s="349"/>
      <c r="G13" s="206"/>
      <c r="H13" s="349"/>
      <c r="I13" s="349"/>
      <c r="J13" s="349"/>
      <c r="K13" s="349"/>
      <c r="L13" s="349"/>
    </row>
    <row r="14" spans="1:13" ht="15.75" thickBot="1" x14ac:dyDescent="0.3">
      <c r="A14" s="8"/>
      <c r="B14" s="8"/>
      <c r="C14" s="3"/>
      <c r="D14" s="3"/>
      <c r="E14" s="3"/>
      <c r="F14" s="3"/>
      <c r="G14" s="3"/>
      <c r="H14" s="3"/>
      <c r="I14" s="3"/>
      <c r="J14" s="3"/>
      <c r="L14" s="3"/>
    </row>
    <row r="15" spans="1:13" ht="15.75" x14ac:dyDescent="0.25">
      <c r="A15" s="1108" t="s">
        <v>3</v>
      </c>
      <c r="B15" s="1110" t="s">
        <v>21</v>
      </c>
      <c r="C15" s="1112" t="s">
        <v>312</v>
      </c>
      <c r="D15" s="1113"/>
      <c r="E15" s="1113"/>
      <c r="F15" s="1114" t="s">
        <v>178</v>
      </c>
      <c r="G15" s="1115"/>
      <c r="H15" s="1116"/>
      <c r="I15" s="1117" t="s">
        <v>179</v>
      </c>
      <c r="J15" s="1117"/>
      <c r="K15" s="1118" t="s">
        <v>180</v>
      </c>
      <c r="L15" s="1119"/>
      <c r="M15" s="1091" t="s">
        <v>181</v>
      </c>
    </row>
    <row r="16" spans="1:13" ht="15.75" thickBot="1" x14ac:dyDescent="0.3">
      <c r="A16" s="1109"/>
      <c r="B16" s="1111"/>
      <c r="C16" s="350" t="s">
        <v>167</v>
      </c>
      <c r="D16" s="350" t="s">
        <v>168</v>
      </c>
      <c r="E16" s="351" t="s">
        <v>169</v>
      </c>
      <c r="F16" s="352" t="s">
        <v>167</v>
      </c>
      <c r="G16" s="353" t="s">
        <v>168</v>
      </c>
      <c r="H16" s="354" t="s">
        <v>169</v>
      </c>
      <c r="I16" s="355" t="s">
        <v>182</v>
      </c>
      <c r="J16" s="356" t="s">
        <v>183</v>
      </c>
      <c r="K16" s="357" t="s">
        <v>182</v>
      </c>
      <c r="L16" s="354" t="s">
        <v>183</v>
      </c>
      <c r="M16" s="1092"/>
    </row>
    <row r="17" spans="1:13" x14ac:dyDescent="0.25">
      <c r="A17" s="1093" t="str">
        <f>+'B) Reajuste Tarifas y Ocupación'!A12</f>
        <v>Cabaña Chinquihue</v>
      </c>
      <c r="B17" s="495" t="str">
        <f>+'[1]B) Reajuste Tarifas y Ocupación'!B12</f>
        <v>Cabaña</v>
      </c>
      <c r="C17" s="276">
        <f>+'B) Reajuste Tarifas y Ocupación'!K12</f>
        <v>84100</v>
      </c>
      <c r="D17" s="277">
        <f>+'B) Reajuste Tarifas y Ocupación'!L12</f>
        <v>100000</v>
      </c>
      <c r="E17" s="278">
        <f>+'B) Reajuste Tarifas y Ocupación'!M12</f>
        <v>104800</v>
      </c>
      <c r="F17" s="358">
        <f>IFERROR(C17/$M17,0)</f>
        <v>1.1213333333333333</v>
      </c>
      <c r="G17" s="359">
        <f>IFERROR(D17/$M17,0)</f>
        <v>1.3333333333333333</v>
      </c>
      <c r="H17" s="360">
        <f>IFERROR(E17/$M17,0)</f>
        <v>1.3973333333333333</v>
      </c>
      <c r="I17" s="618" t="s">
        <v>321</v>
      </c>
      <c r="J17" s="621">
        <v>75000</v>
      </c>
      <c r="K17" s="618" t="s">
        <v>322</v>
      </c>
      <c r="L17" s="623">
        <v>75000</v>
      </c>
      <c r="M17" s="361">
        <f>AVERAGE(J17,L17)</f>
        <v>75000</v>
      </c>
    </row>
    <row r="18" spans="1:13" x14ac:dyDescent="0.25">
      <c r="A18" s="1094"/>
      <c r="B18" s="496" t="str">
        <f>+'[1]B) Reajuste Tarifas y Ocupación'!B13</f>
        <v>Early check-in/Late check-out</v>
      </c>
      <c r="C18" s="500"/>
      <c r="D18" s="501"/>
      <c r="E18" s="502"/>
      <c r="F18" s="364"/>
      <c r="G18" s="504"/>
      <c r="H18" s="366"/>
      <c r="I18" s="1120"/>
      <c r="J18" s="1121"/>
      <c r="K18" s="619"/>
      <c r="L18" s="624"/>
      <c r="M18" s="367"/>
    </row>
    <row r="19" spans="1:13" ht="15.75" thickBot="1" x14ac:dyDescent="0.3">
      <c r="A19" s="1095"/>
      <c r="B19" s="497" t="str">
        <f>+'[1]B) Reajuste Tarifas y Ocupación'!B14</f>
        <v>Cabaña</v>
      </c>
      <c r="C19" s="503">
        <f>+'B) Reajuste Tarifas y Ocupación'!K14</f>
        <v>25300</v>
      </c>
      <c r="D19" s="301">
        <f>+'B) Reajuste Tarifas y Ocupación'!L14</f>
        <v>30000</v>
      </c>
      <c r="E19" s="302">
        <f>+'B) Reajuste Tarifas y Ocupación'!M14</f>
        <v>31500</v>
      </c>
      <c r="F19" s="369">
        <f t="shared" ref="F19:H24" si="0">IFERROR(C19/$M19,0)</f>
        <v>0.44778761061946903</v>
      </c>
      <c r="G19" s="370">
        <f t="shared" si="0"/>
        <v>0.53097345132743368</v>
      </c>
      <c r="H19" s="371">
        <f t="shared" si="0"/>
        <v>0.55752212389380529</v>
      </c>
      <c r="I19" s="620" t="s">
        <v>323</v>
      </c>
      <c r="J19" s="622">
        <v>56000</v>
      </c>
      <c r="K19" s="620" t="s">
        <v>324</v>
      </c>
      <c r="L19" s="625">
        <v>57000</v>
      </c>
      <c r="M19" s="372">
        <f>AVERAGE(J19,L19)</f>
        <v>56500</v>
      </c>
    </row>
    <row r="20" spans="1:13" x14ac:dyDescent="0.25">
      <c r="A20" s="1093" t="str">
        <f>+'B) Reajuste Tarifas y Ocupación'!A15</f>
        <v>Cabañas Moraleda</v>
      </c>
      <c r="B20" s="495" t="str">
        <f>+'[1]B) Reajuste Tarifas y Ocupación'!B15</f>
        <v>Cabaña</v>
      </c>
      <c r="C20" s="505">
        <f>+'B) Reajuste Tarifas y Ocupación'!K15</f>
        <v>64200</v>
      </c>
      <c r="D20" s="498">
        <f>+'B) Reajuste Tarifas y Ocupación'!L15</f>
        <v>76300</v>
      </c>
      <c r="E20" s="499">
        <f>+'B) Reajuste Tarifas y Ocupación'!M15</f>
        <v>80000</v>
      </c>
      <c r="F20" s="358">
        <f t="shared" si="0"/>
        <v>0</v>
      </c>
      <c r="G20" s="359">
        <f t="shared" si="0"/>
        <v>0</v>
      </c>
      <c r="H20" s="360">
        <f t="shared" si="0"/>
        <v>0</v>
      </c>
      <c r="I20" s="618"/>
      <c r="J20" s="621">
        <v>0</v>
      </c>
      <c r="K20" s="618"/>
      <c r="L20" s="623">
        <v>0</v>
      </c>
      <c r="M20" s="361">
        <f t="shared" ref="M20:M24" si="1">AVERAGE(J20,L20)</f>
        <v>0</v>
      </c>
    </row>
    <row r="21" spans="1:13" x14ac:dyDescent="0.25">
      <c r="A21" s="1094"/>
      <c r="B21" s="496" t="str">
        <f>+'[1]B) Reajuste Tarifas y Ocupación'!B16</f>
        <v>Early check-in/Late check-out</v>
      </c>
      <c r="C21" s="494"/>
      <c r="D21" s="362"/>
      <c r="E21" s="363"/>
      <c r="F21" s="364"/>
      <c r="G21" s="365"/>
      <c r="H21" s="366"/>
      <c r="I21" s="1120"/>
      <c r="J21" s="1121">
        <v>0</v>
      </c>
      <c r="K21" s="619"/>
      <c r="L21" s="624"/>
      <c r="M21" s="367"/>
    </row>
    <row r="22" spans="1:13" ht="15.75" thickBot="1" x14ac:dyDescent="0.3">
      <c r="A22" s="1096"/>
      <c r="B22" s="497" t="str">
        <f>+'[1]B) Reajuste Tarifas y Ocupación'!B17</f>
        <v xml:space="preserve">Cabaña </v>
      </c>
      <c r="C22" s="506">
        <f>+'B) Reajuste Tarifas y Ocupación'!K17</f>
        <v>19300</v>
      </c>
      <c r="D22" s="301">
        <f>+'B) Reajuste Tarifas y Ocupación'!L17</f>
        <v>22900</v>
      </c>
      <c r="E22" s="368">
        <f>+'B) Reajuste Tarifas y Ocupación'!M17</f>
        <v>24000</v>
      </c>
      <c r="F22" s="369">
        <f t="shared" si="0"/>
        <v>0.2969230769230769</v>
      </c>
      <c r="G22" s="370">
        <f t="shared" si="0"/>
        <v>0.35230769230769232</v>
      </c>
      <c r="H22" s="371">
        <f t="shared" si="0"/>
        <v>0.36923076923076925</v>
      </c>
      <c r="I22" s="620" t="s">
        <v>325</v>
      </c>
      <c r="J22" s="622">
        <v>60000</v>
      </c>
      <c r="K22" s="620" t="s">
        <v>326</v>
      </c>
      <c r="L22" s="625">
        <v>70000</v>
      </c>
      <c r="M22" s="372">
        <f t="shared" si="1"/>
        <v>65000</v>
      </c>
    </row>
    <row r="23" spans="1:13" ht="15.75" thickBot="1" x14ac:dyDescent="0.3">
      <c r="A23" s="373" t="str">
        <f>+'B) Reajuste Tarifas y Ocupación'!A18</f>
        <v>Quincho</v>
      </c>
      <c r="B23" s="507" t="str">
        <f>+'[1]B) Reajuste Tarifas y Ocupación'!B18</f>
        <v xml:space="preserve">Arriendo </v>
      </c>
      <c r="C23" s="506">
        <f>+'B) Reajuste Tarifas y Ocupación'!K18</f>
        <v>94900</v>
      </c>
      <c r="D23" s="301">
        <f>+'B) Reajuste Tarifas y Ocupación'!L18</f>
        <v>112900</v>
      </c>
      <c r="E23" s="368">
        <f>+'B) Reajuste Tarifas y Ocupación'!M18</f>
        <v>118200</v>
      </c>
      <c r="F23" s="374">
        <f t="shared" si="0"/>
        <v>0</v>
      </c>
      <c r="G23" s="375">
        <f t="shared" si="0"/>
        <v>0</v>
      </c>
      <c r="H23" s="376">
        <f t="shared" si="0"/>
        <v>0</v>
      </c>
      <c r="I23" s="626"/>
      <c r="J23" s="627"/>
      <c r="K23" s="626"/>
      <c r="L23" s="628"/>
      <c r="M23" s="377"/>
    </row>
    <row r="24" spans="1:13" ht="15.75" thickBot="1" x14ac:dyDescent="0.3">
      <c r="A24" s="378" t="str">
        <f>+'B) Reajuste Tarifas y Ocupación'!A19</f>
        <v>Cancha</v>
      </c>
      <c r="B24" s="508" t="str">
        <f>+'[1]B) Reajuste Tarifas y Ocupación'!B19</f>
        <v>Arriendo (hora)</v>
      </c>
      <c r="C24" s="506">
        <f>+'B) Reajuste Tarifas y Ocupación'!K19</f>
        <v>16600</v>
      </c>
      <c r="D24" s="301">
        <f>+'B) Reajuste Tarifas y Ocupación'!L19</f>
        <v>19700</v>
      </c>
      <c r="E24" s="368">
        <f>+'B) Reajuste Tarifas y Ocupación'!M19</f>
        <v>20600</v>
      </c>
      <c r="F24" s="379">
        <f t="shared" si="0"/>
        <v>0.87368421052631584</v>
      </c>
      <c r="G24" s="380">
        <f t="shared" si="0"/>
        <v>1.0368421052631578</v>
      </c>
      <c r="H24" s="381">
        <f t="shared" si="0"/>
        <v>1.0842105263157895</v>
      </c>
      <c r="I24" s="626" t="s">
        <v>327</v>
      </c>
      <c r="J24" s="627">
        <v>18000</v>
      </c>
      <c r="K24" s="626" t="s">
        <v>328</v>
      </c>
      <c r="L24" s="627">
        <v>20000</v>
      </c>
      <c r="M24" s="382">
        <f t="shared" si="1"/>
        <v>19000</v>
      </c>
    </row>
  </sheetData>
  <mergeCells count="14">
    <mergeCell ref="M15:M16"/>
    <mergeCell ref="A17:A19"/>
    <mergeCell ref="A20:A22"/>
    <mergeCell ref="D4:E4"/>
    <mergeCell ref="A7:L10"/>
    <mergeCell ref="A13:D13"/>
    <mergeCell ref="A15:A16"/>
    <mergeCell ref="B15:B16"/>
    <mergeCell ref="C15:E15"/>
    <mergeCell ref="F15:H15"/>
    <mergeCell ref="I15:J15"/>
    <mergeCell ref="K15:L15"/>
    <mergeCell ref="I18:J18"/>
    <mergeCell ref="I21:J2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7" tint="-0.249977111117893"/>
  </sheetPr>
  <dimension ref="A1:R294"/>
  <sheetViews>
    <sheetView showGridLines="0" zoomScale="80" zoomScaleNormal="80" workbookViewId="0">
      <selection activeCell="U28" sqref="U28"/>
    </sheetView>
  </sheetViews>
  <sheetFormatPr baseColWidth="10" defaultRowHeight="15" x14ac:dyDescent="0.25"/>
  <cols>
    <col min="1" max="1" width="5.5703125" style="383" bestFit="1" customWidth="1"/>
    <col min="2" max="13" width="11.42578125" style="383"/>
    <col min="14" max="14" width="12.42578125" style="383" bestFit="1" customWidth="1"/>
    <col min="15" max="18" width="11.42578125" style="383"/>
  </cols>
  <sheetData>
    <row r="1" spans="1:18" x14ac:dyDescent="0.25">
      <c r="J1" s="3"/>
      <c r="K1" s="384"/>
    </row>
    <row r="2" spans="1:18" x14ac:dyDescent="0.25">
      <c r="J2" s="3" t="s">
        <v>184</v>
      </c>
      <c r="K2" s="384"/>
    </row>
    <row r="4" spans="1:18" ht="15.75" x14ac:dyDescent="0.25">
      <c r="I4" s="8" t="s">
        <v>1</v>
      </c>
      <c r="J4" s="1050" t="s">
        <v>33</v>
      </c>
      <c r="K4" s="1051"/>
    </row>
    <row r="6" spans="1:18" x14ac:dyDescent="0.25">
      <c r="A6" s="1123"/>
      <c r="B6" s="1123"/>
      <c r="C6" s="1123"/>
      <c r="D6" s="1123"/>
      <c r="E6" s="1123"/>
      <c r="F6" s="1123"/>
      <c r="G6" s="1123"/>
      <c r="H6" s="1123"/>
      <c r="I6" s="1123"/>
      <c r="J6" s="1123"/>
      <c r="K6" s="1123"/>
      <c r="L6" s="1123"/>
      <c r="M6" s="1123"/>
      <c r="N6" s="1123"/>
      <c r="O6" s="1123"/>
      <c r="P6" s="1123"/>
      <c r="Q6" s="1123"/>
    </row>
    <row r="7" spans="1:18" x14ac:dyDescent="0.25">
      <c r="A7" s="776"/>
      <c r="B7" s="776"/>
      <c r="C7" s="776"/>
      <c r="D7" s="776"/>
      <c r="E7" s="776"/>
      <c r="F7" s="776"/>
      <c r="G7" s="776"/>
      <c r="H7" s="776"/>
      <c r="I7" s="776"/>
      <c r="J7" s="776"/>
      <c r="K7" s="776"/>
      <c r="L7" s="776"/>
      <c r="M7" s="776"/>
      <c r="N7" s="776"/>
      <c r="O7" s="776"/>
      <c r="P7" s="776"/>
    </row>
    <row r="8" spans="1:18" ht="15.75" x14ac:dyDescent="0.25">
      <c r="A8" s="776"/>
      <c r="B8" s="1124"/>
      <c r="C8" s="1124"/>
      <c r="D8" s="1125"/>
      <c r="E8" s="1125"/>
      <c r="F8" s="1125"/>
      <c r="G8" s="1125"/>
      <c r="H8"/>
      <c r="I8" s="444"/>
      <c r="J8" s="444"/>
      <c r="K8"/>
      <c r="L8"/>
      <c r="M8"/>
      <c r="N8" s="776"/>
      <c r="O8" s="776"/>
      <c r="P8" s="776"/>
    </row>
    <row r="9" spans="1:18" x14ac:dyDescent="0.25">
      <c r="A9" s="777"/>
      <c r="B9" s="1124"/>
      <c r="C9" s="1124"/>
      <c r="D9" s="49"/>
      <c r="E9" s="49"/>
      <c r="F9" s="49"/>
      <c r="G9" s="49"/>
      <c r="H9"/>
      <c r="I9" s="43"/>
      <c r="J9" s="43"/>
      <c r="K9"/>
      <c r="L9"/>
      <c r="M9"/>
      <c r="N9" s="778"/>
    </row>
    <row r="10" spans="1:18" x14ac:dyDescent="0.25">
      <c r="B10" s="1122"/>
      <c r="C10" s="780"/>
      <c r="D10" s="103"/>
      <c r="E10" s="103"/>
      <c r="F10" s="103"/>
      <c r="G10" s="103"/>
      <c r="H10"/>
      <c r="I10" s="739"/>
      <c r="J10" s="739"/>
      <c r="K10"/>
      <c r="L10" s="781"/>
      <c r="M10" s="781"/>
      <c r="N10"/>
      <c r="O10"/>
      <c r="P10"/>
      <c r="Q10"/>
      <c r="R10"/>
    </row>
    <row r="11" spans="1:18" x14ac:dyDescent="0.25">
      <c r="B11" s="1122"/>
      <c r="C11" s="780"/>
      <c r="D11" s="103"/>
      <c r="E11" s="103"/>
      <c r="F11" s="103"/>
      <c r="G11" s="103"/>
      <c r="H11"/>
      <c r="I11" s="739"/>
      <c r="J11" s="739"/>
      <c r="K11"/>
      <c r="L11" s="781"/>
      <c r="M11" s="781"/>
      <c r="N11"/>
      <c r="O11"/>
      <c r="P11"/>
      <c r="Q11"/>
      <c r="R11"/>
    </row>
    <row r="12" spans="1:18" x14ac:dyDescent="0.25">
      <c r="B12" s="1122"/>
      <c r="C12" s="782"/>
      <c r="D12" s="103"/>
      <c r="E12" s="103"/>
      <c r="F12" s="103"/>
      <c r="G12" s="103"/>
      <c r="H12"/>
      <c r="I12" s="739"/>
      <c r="J12" s="739"/>
      <c r="K12"/>
      <c r="L12" s="781"/>
      <c r="M12" s="781"/>
      <c r="N12"/>
      <c r="O12"/>
      <c r="P12"/>
      <c r="Q12"/>
      <c r="R12"/>
    </row>
    <row r="13" spans="1:18" x14ac:dyDescent="0.25">
      <c r="B13" s="1122"/>
      <c r="C13" s="780"/>
      <c r="D13" s="103"/>
      <c r="E13" s="103"/>
      <c r="F13" s="103"/>
      <c r="G13" s="103"/>
      <c r="H13"/>
      <c r="I13" s="739"/>
      <c r="J13" s="739"/>
      <c r="K13"/>
      <c r="L13" s="781"/>
      <c r="M13" s="781"/>
      <c r="N13"/>
      <c r="O13"/>
      <c r="P13"/>
      <c r="Q13"/>
      <c r="R13"/>
    </row>
    <row r="14" spans="1:18" x14ac:dyDescent="0.25">
      <c r="B14" s="1122"/>
      <c r="C14" s="780"/>
      <c r="D14" s="103"/>
      <c r="E14" s="103"/>
      <c r="F14" s="103"/>
      <c r="G14" s="103"/>
      <c r="H14"/>
      <c r="I14" s="739"/>
      <c r="J14" s="739"/>
      <c r="K14"/>
      <c r="L14" s="781"/>
      <c r="M14" s="781"/>
      <c r="N14"/>
      <c r="O14"/>
      <c r="P14"/>
      <c r="Q14"/>
      <c r="R14"/>
    </row>
    <row r="15" spans="1:18" x14ac:dyDescent="0.25">
      <c r="B15" s="1122"/>
      <c r="C15" s="782"/>
      <c r="D15" s="103"/>
      <c r="E15" s="103"/>
      <c r="F15" s="103"/>
      <c r="G15" s="103"/>
      <c r="H15"/>
      <c r="I15" s="739"/>
      <c r="J15" s="739"/>
      <c r="K15"/>
      <c r="L15" s="781"/>
      <c r="M15" s="781"/>
      <c r="N15"/>
      <c r="O15"/>
      <c r="P15"/>
      <c r="Q15"/>
      <c r="R15"/>
    </row>
    <row r="16" spans="1:18" x14ac:dyDescent="0.25">
      <c r="B16" s="779"/>
      <c r="C16" s="780"/>
      <c r="D16" s="103"/>
      <c r="E16" s="103"/>
      <c r="F16" s="103"/>
      <c r="G16" s="103"/>
      <c r="H16"/>
      <c r="I16" s="739"/>
      <c r="J16" s="739"/>
      <c r="K16"/>
      <c r="L16" s="781"/>
      <c r="M16" s="781"/>
      <c r="N16"/>
      <c r="O16"/>
      <c r="P16"/>
      <c r="Q16"/>
      <c r="R16"/>
    </row>
    <row r="17" spans="2:18" x14ac:dyDescent="0.25">
      <c r="B17" s="779"/>
      <c r="C17" s="780"/>
      <c r="D17" s="103"/>
      <c r="E17" s="103"/>
      <c r="F17" s="103"/>
      <c r="G17" s="103"/>
      <c r="H17"/>
      <c r="I17" s="739"/>
      <c r="J17" s="739"/>
      <c r="K17"/>
      <c r="L17" s="781"/>
      <c r="M17" s="781"/>
      <c r="N17"/>
      <c r="O17"/>
      <c r="P17"/>
      <c r="Q17"/>
      <c r="R17"/>
    </row>
    <row r="18" spans="2:18" x14ac:dyDescent="0.25">
      <c r="B18"/>
      <c r="C18"/>
      <c r="D18"/>
      <c r="E18"/>
      <c r="F18"/>
      <c r="G18"/>
      <c r="H18"/>
      <c r="I18"/>
      <c r="J18"/>
      <c r="K18"/>
      <c r="L18"/>
      <c r="M18"/>
      <c r="N18"/>
      <c r="O18"/>
      <c r="P18"/>
      <c r="Q18"/>
      <c r="R18"/>
    </row>
    <row r="19" spans="2:18" x14ac:dyDescent="0.25">
      <c r="B19"/>
      <c r="C19"/>
      <c r="D19"/>
      <c r="E19"/>
      <c r="F19"/>
      <c r="G19"/>
      <c r="H19"/>
      <c r="I19"/>
      <c r="J19"/>
      <c r="K19"/>
      <c r="L19"/>
      <c r="M19"/>
      <c r="N19"/>
      <c r="O19"/>
      <c r="P19"/>
      <c r="Q19"/>
      <c r="R19"/>
    </row>
    <row r="20" spans="2:18" x14ac:dyDescent="0.25">
      <c r="B20"/>
      <c r="C20"/>
      <c r="D20"/>
      <c r="E20"/>
      <c r="F20"/>
      <c r="G20"/>
      <c r="H20"/>
      <c r="I20"/>
      <c r="J20"/>
      <c r="K20"/>
      <c r="L20"/>
      <c r="M20"/>
      <c r="N20"/>
      <c r="O20"/>
      <c r="P20"/>
      <c r="Q20"/>
      <c r="R20"/>
    </row>
    <row r="21" spans="2:18" x14ac:dyDescent="0.25">
      <c r="B21"/>
      <c r="C21"/>
      <c r="D21"/>
      <c r="E21"/>
      <c r="F21"/>
      <c r="G21"/>
      <c r="H21"/>
      <c r="I21"/>
      <c r="J21"/>
      <c r="K21"/>
      <c r="L21"/>
      <c r="M21"/>
      <c r="N21"/>
      <c r="O21"/>
      <c r="P21"/>
      <c r="Q21"/>
      <c r="R21"/>
    </row>
    <row r="22" spans="2:18" x14ac:dyDescent="0.25">
      <c r="B22"/>
      <c r="C22"/>
      <c r="D22"/>
      <c r="E22"/>
      <c r="F22"/>
      <c r="G22"/>
      <c r="H22"/>
      <c r="I22"/>
      <c r="J22"/>
      <c r="K22"/>
      <c r="L22"/>
      <c r="M22"/>
      <c r="N22"/>
      <c r="O22"/>
      <c r="P22"/>
      <c r="Q22"/>
      <c r="R22"/>
    </row>
    <row r="23" spans="2:18" x14ac:dyDescent="0.25">
      <c r="B23"/>
      <c r="C23"/>
      <c r="D23"/>
      <c r="E23"/>
      <c r="F23"/>
      <c r="G23"/>
      <c r="H23"/>
      <c r="I23"/>
      <c r="J23"/>
      <c r="K23"/>
      <c r="L23"/>
      <c r="M23"/>
      <c r="N23"/>
      <c r="O23"/>
      <c r="P23"/>
      <c r="Q23"/>
      <c r="R23"/>
    </row>
    <row r="24" spans="2:18" x14ac:dyDescent="0.25">
      <c r="B24"/>
      <c r="C24"/>
      <c r="D24"/>
      <c r="E24"/>
      <c r="F24"/>
      <c r="G24"/>
      <c r="H24"/>
      <c r="I24"/>
      <c r="J24"/>
      <c r="K24"/>
      <c r="L24"/>
      <c r="M24"/>
      <c r="N24"/>
      <c r="O24"/>
      <c r="P24"/>
      <c r="Q24"/>
      <c r="R24"/>
    </row>
    <row r="25" spans="2:18" x14ac:dyDescent="0.25">
      <c r="B25"/>
      <c r="C25"/>
      <c r="D25"/>
      <c r="E25"/>
      <c r="F25"/>
      <c r="G25"/>
      <c r="H25"/>
      <c r="I25"/>
      <c r="J25"/>
      <c r="K25"/>
      <c r="L25"/>
      <c r="M25"/>
      <c r="N25"/>
      <c r="O25"/>
      <c r="P25"/>
      <c r="Q25"/>
      <c r="R25"/>
    </row>
    <row r="26" spans="2:18" x14ac:dyDescent="0.25">
      <c r="B26"/>
      <c r="C26"/>
      <c r="D26"/>
      <c r="E26"/>
      <c r="F26"/>
      <c r="G26"/>
      <c r="H26"/>
      <c r="I26"/>
      <c r="J26"/>
      <c r="K26"/>
      <c r="L26"/>
      <c r="M26"/>
      <c r="N26"/>
      <c r="O26"/>
      <c r="P26"/>
      <c r="Q26"/>
      <c r="R26"/>
    </row>
    <row r="27" spans="2:18" x14ac:dyDescent="0.25">
      <c r="B27"/>
      <c r="C27"/>
      <c r="D27"/>
      <c r="E27"/>
      <c r="F27"/>
      <c r="G27"/>
      <c r="H27"/>
      <c r="I27"/>
      <c r="J27"/>
      <c r="K27"/>
      <c r="L27"/>
      <c r="M27"/>
      <c r="N27"/>
      <c r="O27"/>
      <c r="P27"/>
      <c r="Q27"/>
      <c r="R27"/>
    </row>
    <row r="28" spans="2:18" x14ac:dyDescent="0.25">
      <c r="B28"/>
      <c r="C28"/>
      <c r="D28"/>
      <c r="E28"/>
      <c r="F28"/>
      <c r="G28"/>
      <c r="H28"/>
      <c r="I28"/>
      <c r="J28"/>
      <c r="K28"/>
      <c r="L28"/>
      <c r="M28"/>
      <c r="N28"/>
      <c r="O28"/>
      <c r="P28"/>
      <c r="Q28"/>
      <c r="R28"/>
    </row>
    <row r="29" spans="2:18" x14ac:dyDescent="0.25">
      <c r="B29"/>
      <c r="C29"/>
      <c r="D29"/>
      <c r="E29"/>
      <c r="F29"/>
      <c r="G29"/>
      <c r="H29"/>
      <c r="I29"/>
      <c r="J29"/>
      <c r="K29"/>
      <c r="L29"/>
      <c r="M29"/>
      <c r="N29"/>
      <c r="O29"/>
      <c r="P29"/>
      <c r="Q29"/>
      <c r="R29"/>
    </row>
    <row r="30" spans="2:18" x14ac:dyDescent="0.25">
      <c r="B30"/>
      <c r="C30"/>
      <c r="D30"/>
      <c r="E30"/>
      <c r="F30"/>
      <c r="G30"/>
      <c r="H30"/>
      <c r="I30"/>
      <c r="J30"/>
      <c r="K30"/>
      <c r="L30"/>
      <c r="M30"/>
      <c r="N30"/>
      <c r="O30"/>
      <c r="P30"/>
      <c r="Q30"/>
      <c r="R30"/>
    </row>
    <row r="31" spans="2:18" x14ac:dyDescent="0.25">
      <c r="B31"/>
      <c r="C31"/>
      <c r="D31"/>
      <c r="E31"/>
      <c r="F31"/>
      <c r="G31"/>
      <c r="H31"/>
      <c r="I31"/>
      <c r="J31"/>
      <c r="K31"/>
      <c r="L31"/>
      <c r="M31"/>
      <c r="N31"/>
      <c r="O31"/>
      <c r="P31"/>
      <c r="Q31"/>
      <c r="R31"/>
    </row>
    <row r="32" spans="2:18" x14ac:dyDescent="0.25">
      <c r="B32"/>
      <c r="C32"/>
      <c r="D32"/>
      <c r="E32"/>
      <c r="F32"/>
      <c r="G32"/>
      <c r="H32"/>
      <c r="I32"/>
      <c r="J32"/>
      <c r="K32"/>
      <c r="L32"/>
      <c r="M32"/>
      <c r="N32"/>
      <c r="O32"/>
      <c r="P32"/>
      <c r="Q32"/>
      <c r="R32"/>
    </row>
    <row r="33" spans="2:18" x14ac:dyDescent="0.25">
      <c r="B33"/>
      <c r="C33"/>
      <c r="D33"/>
      <c r="E33"/>
      <c r="F33"/>
      <c r="G33"/>
      <c r="H33"/>
      <c r="I33"/>
      <c r="J33"/>
      <c r="K33"/>
      <c r="L33"/>
      <c r="M33"/>
      <c r="N33"/>
      <c r="O33"/>
      <c r="P33"/>
      <c r="Q33"/>
      <c r="R33"/>
    </row>
    <row r="34" spans="2:18" x14ac:dyDescent="0.25">
      <c r="B34"/>
      <c r="C34"/>
      <c r="D34"/>
      <c r="E34"/>
      <c r="F34"/>
      <c r="G34"/>
      <c r="H34"/>
      <c r="I34"/>
      <c r="J34"/>
      <c r="K34"/>
      <c r="L34"/>
      <c r="M34"/>
      <c r="N34"/>
      <c r="O34"/>
      <c r="P34"/>
      <c r="Q34"/>
      <c r="R34"/>
    </row>
    <row r="35" spans="2:18" x14ac:dyDescent="0.25">
      <c r="B35"/>
      <c r="C35"/>
      <c r="D35"/>
      <c r="E35"/>
      <c r="F35"/>
      <c r="G35"/>
      <c r="H35"/>
      <c r="I35"/>
      <c r="J35"/>
      <c r="K35"/>
      <c r="L35"/>
      <c r="M35"/>
      <c r="N35"/>
      <c r="O35"/>
      <c r="P35"/>
      <c r="Q35"/>
      <c r="R35"/>
    </row>
    <row r="36" spans="2:18" x14ac:dyDescent="0.25">
      <c r="B36"/>
      <c r="C36"/>
      <c r="D36"/>
      <c r="E36"/>
      <c r="F36"/>
      <c r="G36"/>
      <c r="H36"/>
      <c r="I36"/>
      <c r="J36"/>
      <c r="K36"/>
      <c r="L36"/>
      <c r="M36"/>
      <c r="N36"/>
      <c r="O36"/>
      <c r="P36"/>
      <c r="Q36"/>
      <c r="R36"/>
    </row>
    <row r="37" spans="2:18" x14ac:dyDescent="0.25">
      <c r="B37"/>
      <c r="C37"/>
      <c r="D37"/>
      <c r="E37"/>
      <c r="F37"/>
      <c r="G37"/>
      <c r="H37"/>
      <c r="I37"/>
      <c r="J37"/>
      <c r="K37"/>
      <c r="L37"/>
      <c r="M37"/>
      <c r="N37"/>
      <c r="O37"/>
      <c r="P37"/>
      <c r="Q37"/>
      <c r="R37"/>
    </row>
    <row r="38" spans="2:18" x14ac:dyDescent="0.25">
      <c r="B38"/>
      <c r="C38"/>
      <c r="D38"/>
      <c r="E38"/>
      <c r="F38"/>
      <c r="G38"/>
      <c r="H38"/>
      <c r="I38"/>
      <c r="J38"/>
      <c r="K38"/>
      <c r="L38"/>
      <c r="M38"/>
      <c r="N38"/>
      <c r="O38"/>
      <c r="P38"/>
      <c r="Q38"/>
      <c r="R38"/>
    </row>
    <row r="39" spans="2:18" x14ac:dyDescent="0.25">
      <c r="B39"/>
      <c r="C39"/>
      <c r="D39"/>
      <c r="E39"/>
      <c r="F39"/>
      <c r="G39"/>
      <c r="H39"/>
      <c r="I39"/>
      <c r="J39"/>
      <c r="K39"/>
      <c r="L39"/>
      <c r="M39"/>
      <c r="N39"/>
      <c r="O39"/>
      <c r="P39"/>
      <c r="Q39"/>
      <c r="R39"/>
    </row>
    <row r="40" spans="2:18" x14ac:dyDescent="0.25">
      <c r="B40"/>
      <c r="C40"/>
      <c r="D40"/>
      <c r="E40"/>
      <c r="F40"/>
      <c r="G40"/>
      <c r="H40"/>
      <c r="I40"/>
      <c r="J40"/>
      <c r="K40"/>
      <c r="L40"/>
      <c r="M40"/>
      <c r="N40"/>
      <c r="O40"/>
      <c r="P40"/>
      <c r="Q40"/>
      <c r="R40"/>
    </row>
    <row r="41" spans="2:18" x14ac:dyDescent="0.25">
      <c r="B41"/>
      <c r="C41"/>
      <c r="D41"/>
      <c r="E41"/>
      <c r="F41"/>
      <c r="G41"/>
      <c r="H41"/>
      <c r="I41"/>
      <c r="J41"/>
      <c r="K41"/>
      <c r="L41"/>
      <c r="M41"/>
      <c r="N41"/>
      <c r="O41"/>
      <c r="P41"/>
      <c r="Q41"/>
      <c r="R41"/>
    </row>
    <row r="42" spans="2:18" x14ac:dyDescent="0.25">
      <c r="B42"/>
      <c r="C42"/>
      <c r="D42"/>
      <c r="E42"/>
      <c r="F42"/>
      <c r="G42"/>
      <c r="H42"/>
      <c r="I42"/>
      <c r="J42"/>
      <c r="K42"/>
      <c r="L42"/>
      <c r="M42"/>
      <c r="N42"/>
      <c r="O42"/>
      <c r="P42"/>
      <c r="Q42"/>
      <c r="R42"/>
    </row>
    <row r="43" spans="2:18" x14ac:dyDescent="0.25">
      <c r="B43"/>
      <c r="C43"/>
      <c r="D43"/>
      <c r="E43"/>
      <c r="F43"/>
      <c r="G43"/>
      <c r="H43"/>
      <c r="I43"/>
      <c r="J43"/>
      <c r="K43"/>
      <c r="L43"/>
      <c r="M43"/>
      <c r="N43"/>
      <c r="O43"/>
      <c r="P43"/>
      <c r="Q43"/>
      <c r="R43"/>
    </row>
    <row r="44" spans="2:18" x14ac:dyDescent="0.25">
      <c r="B44"/>
      <c r="C44"/>
      <c r="D44"/>
      <c r="E44"/>
      <c r="F44"/>
      <c r="G44"/>
      <c r="H44"/>
      <c r="I44"/>
      <c r="J44"/>
      <c r="K44"/>
      <c r="L44"/>
      <c r="M44"/>
      <c r="N44"/>
      <c r="O44"/>
      <c r="P44"/>
      <c r="Q44"/>
      <c r="R44"/>
    </row>
    <row r="45" spans="2:18" x14ac:dyDescent="0.25">
      <c r="B45"/>
      <c r="C45"/>
      <c r="D45"/>
      <c r="E45"/>
      <c r="F45"/>
      <c r="G45"/>
      <c r="H45"/>
      <c r="I45"/>
      <c r="J45"/>
      <c r="K45"/>
      <c r="L45"/>
      <c r="M45"/>
      <c r="N45"/>
      <c r="O45"/>
      <c r="P45"/>
      <c r="Q45"/>
      <c r="R45"/>
    </row>
    <row r="46" spans="2:18" x14ac:dyDescent="0.25">
      <c r="B46"/>
      <c r="C46"/>
      <c r="D46"/>
      <c r="E46"/>
      <c r="F46"/>
      <c r="G46"/>
      <c r="H46"/>
      <c r="I46"/>
      <c r="J46"/>
      <c r="K46"/>
      <c r="L46"/>
      <c r="M46"/>
      <c r="N46"/>
      <c r="O46"/>
      <c r="P46"/>
      <c r="Q46"/>
      <c r="R46"/>
    </row>
    <row r="47" spans="2:18" x14ac:dyDescent="0.25">
      <c r="B47"/>
      <c r="C47"/>
      <c r="D47"/>
      <c r="E47"/>
      <c r="F47"/>
      <c r="G47"/>
      <c r="H47"/>
      <c r="I47"/>
      <c r="J47"/>
      <c r="K47"/>
      <c r="L47"/>
      <c r="M47"/>
      <c r="N47"/>
      <c r="O47"/>
      <c r="P47"/>
      <c r="Q47"/>
      <c r="R47"/>
    </row>
    <row r="48" spans="2:18" x14ac:dyDescent="0.25">
      <c r="B48"/>
      <c r="C48"/>
      <c r="D48"/>
      <c r="E48"/>
      <c r="F48"/>
      <c r="G48"/>
      <c r="H48"/>
      <c r="I48"/>
      <c r="J48"/>
      <c r="K48"/>
      <c r="L48"/>
      <c r="M48"/>
      <c r="N48"/>
      <c r="O48"/>
      <c r="P48"/>
      <c r="Q48"/>
      <c r="R48"/>
    </row>
    <row r="49" spans="2:18" x14ac:dyDescent="0.25">
      <c r="B49"/>
      <c r="C49"/>
      <c r="D49"/>
      <c r="E49"/>
      <c r="F49"/>
      <c r="G49"/>
      <c r="H49"/>
      <c r="I49"/>
      <c r="J49"/>
      <c r="K49"/>
      <c r="L49"/>
      <c r="M49"/>
      <c r="N49"/>
      <c r="O49"/>
      <c r="P49"/>
      <c r="Q49"/>
      <c r="R49"/>
    </row>
    <row r="50" spans="2:18" x14ac:dyDescent="0.25">
      <c r="B50"/>
      <c r="C50"/>
      <c r="D50"/>
      <c r="E50"/>
      <c r="F50"/>
      <c r="G50"/>
      <c r="H50"/>
      <c r="I50"/>
      <c r="J50"/>
      <c r="K50"/>
      <c r="L50"/>
      <c r="M50"/>
      <c r="N50"/>
      <c r="O50"/>
      <c r="P50"/>
      <c r="Q50"/>
      <c r="R50"/>
    </row>
    <row r="51" spans="2:18" x14ac:dyDescent="0.25">
      <c r="B51"/>
      <c r="C51"/>
      <c r="D51"/>
      <c r="E51"/>
      <c r="F51"/>
      <c r="G51"/>
      <c r="H51"/>
      <c r="I51"/>
      <c r="J51"/>
      <c r="K51"/>
      <c r="L51"/>
      <c r="M51"/>
      <c r="N51"/>
      <c r="O51"/>
      <c r="P51"/>
      <c r="Q51"/>
      <c r="R51"/>
    </row>
    <row r="52" spans="2:18" x14ac:dyDescent="0.25">
      <c r="B52"/>
      <c r="C52"/>
      <c r="D52"/>
      <c r="E52"/>
      <c r="F52"/>
      <c r="G52"/>
      <c r="H52"/>
      <c r="I52"/>
      <c r="J52"/>
      <c r="K52"/>
      <c r="L52"/>
      <c r="M52"/>
      <c r="N52"/>
      <c r="O52"/>
      <c r="P52"/>
      <c r="Q52"/>
      <c r="R52"/>
    </row>
    <row r="53" spans="2:18" x14ac:dyDescent="0.25">
      <c r="B53"/>
      <c r="C53"/>
      <c r="D53"/>
      <c r="E53"/>
      <c r="F53"/>
      <c r="G53"/>
      <c r="H53"/>
      <c r="I53"/>
      <c r="J53"/>
      <c r="K53"/>
      <c r="L53"/>
      <c r="M53"/>
      <c r="N53"/>
      <c r="O53"/>
      <c r="P53"/>
      <c r="Q53"/>
      <c r="R53"/>
    </row>
    <row r="54" spans="2:18" x14ac:dyDescent="0.25">
      <c r="B54"/>
      <c r="C54"/>
      <c r="D54"/>
      <c r="E54"/>
      <c r="F54"/>
      <c r="G54"/>
      <c r="H54"/>
      <c r="I54"/>
      <c r="J54"/>
      <c r="K54"/>
      <c r="L54"/>
      <c r="M54"/>
      <c r="N54"/>
      <c r="O54"/>
      <c r="P54"/>
      <c r="Q54"/>
      <c r="R54"/>
    </row>
    <row r="55" spans="2:18" x14ac:dyDescent="0.25">
      <c r="B55"/>
      <c r="C55"/>
      <c r="D55"/>
      <c r="E55"/>
      <c r="F55"/>
      <c r="G55"/>
      <c r="H55"/>
      <c r="I55"/>
      <c r="J55"/>
      <c r="K55"/>
      <c r="L55"/>
      <c r="M55"/>
      <c r="N55"/>
      <c r="O55"/>
      <c r="P55"/>
      <c r="Q55"/>
      <c r="R55"/>
    </row>
    <row r="56" spans="2:18" x14ac:dyDescent="0.25">
      <c r="B56"/>
      <c r="C56"/>
      <c r="D56"/>
      <c r="E56"/>
      <c r="F56"/>
      <c r="G56"/>
      <c r="H56"/>
      <c r="I56"/>
      <c r="J56"/>
      <c r="K56"/>
      <c r="L56"/>
      <c r="M56"/>
      <c r="N56"/>
      <c r="O56"/>
      <c r="P56"/>
      <c r="Q56"/>
      <c r="R56"/>
    </row>
    <row r="57" spans="2:18" x14ac:dyDescent="0.25">
      <c r="B57"/>
      <c r="C57"/>
      <c r="D57"/>
      <c r="E57"/>
      <c r="F57"/>
      <c r="G57"/>
      <c r="H57"/>
      <c r="I57"/>
      <c r="J57"/>
      <c r="K57"/>
      <c r="L57"/>
      <c r="M57"/>
      <c r="N57"/>
      <c r="O57"/>
      <c r="P57"/>
      <c r="Q57"/>
      <c r="R57"/>
    </row>
    <row r="58" spans="2:18" x14ac:dyDescent="0.25">
      <c r="B58"/>
      <c r="C58"/>
      <c r="D58"/>
      <c r="E58"/>
      <c r="F58"/>
      <c r="G58"/>
      <c r="H58"/>
      <c r="I58"/>
      <c r="J58"/>
      <c r="K58"/>
      <c r="L58"/>
      <c r="M58"/>
      <c r="N58"/>
      <c r="O58"/>
      <c r="P58"/>
      <c r="Q58"/>
      <c r="R58"/>
    </row>
    <row r="59" spans="2:18" x14ac:dyDescent="0.25">
      <c r="B59"/>
      <c r="C59"/>
      <c r="D59"/>
      <c r="E59"/>
      <c r="F59"/>
      <c r="G59"/>
      <c r="H59"/>
      <c r="I59"/>
      <c r="J59"/>
      <c r="K59"/>
      <c r="L59"/>
      <c r="M59"/>
      <c r="N59"/>
      <c r="O59"/>
      <c r="P59"/>
      <c r="Q59"/>
      <c r="R59"/>
    </row>
    <row r="60" spans="2:18" x14ac:dyDescent="0.25">
      <c r="B60"/>
      <c r="C60"/>
      <c r="D60"/>
      <c r="E60"/>
      <c r="F60"/>
      <c r="G60"/>
      <c r="H60"/>
      <c r="I60"/>
      <c r="J60"/>
      <c r="K60"/>
      <c r="L60"/>
      <c r="M60"/>
      <c r="N60"/>
      <c r="O60"/>
      <c r="P60"/>
      <c r="Q60"/>
      <c r="R60"/>
    </row>
    <row r="61" spans="2:18" x14ac:dyDescent="0.25">
      <c r="B61"/>
      <c r="C61"/>
      <c r="D61"/>
      <c r="E61"/>
      <c r="F61"/>
      <c r="G61"/>
      <c r="H61"/>
      <c r="I61"/>
      <c r="J61"/>
      <c r="K61"/>
      <c r="L61"/>
      <c r="M61"/>
      <c r="N61"/>
      <c r="O61"/>
      <c r="P61"/>
      <c r="Q61"/>
      <c r="R61"/>
    </row>
    <row r="62" spans="2:18" x14ac:dyDescent="0.25">
      <c r="B62"/>
      <c r="C62"/>
      <c r="D62"/>
      <c r="E62"/>
      <c r="F62"/>
      <c r="G62"/>
      <c r="H62"/>
      <c r="I62"/>
      <c r="J62"/>
      <c r="K62"/>
      <c r="L62"/>
      <c r="M62"/>
      <c r="N62"/>
      <c r="O62"/>
      <c r="P62"/>
      <c r="Q62"/>
      <c r="R62"/>
    </row>
    <row r="63" spans="2:18" x14ac:dyDescent="0.25">
      <c r="B63"/>
      <c r="C63"/>
      <c r="D63"/>
      <c r="E63"/>
      <c r="F63"/>
      <c r="G63"/>
      <c r="H63"/>
      <c r="I63"/>
      <c r="J63"/>
      <c r="K63"/>
      <c r="L63"/>
      <c r="M63"/>
      <c r="N63"/>
      <c r="O63"/>
      <c r="P63"/>
      <c r="Q63"/>
      <c r="R63"/>
    </row>
    <row r="64" spans="2:18" x14ac:dyDescent="0.25">
      <c r="B64"/>
      <c r="C64"/>
      <c r="D64"/>
      <c r="E64"/>
      <c r="F64"/>
      <c r="G64"/>
      <c r="H64"/>
      <c r="I64"/>
      <c r="J64"/>
      <c r="K64"/>
      <c r="L64"/>
      <c r="M64"/>
      <c r="N64"/>
      <c r="O64"/>
      <c r="P64"/>
      <c r="Q64"/>
      <c r="R64"/>
    </row>
    <row r="65" spans="2:18" x14ac:dyDescent="0.25">
      <c r="B65"/>
      <c r="C65"/>
      <c r="D65"/>
      <c r="E65"/>
      <c r="F65"/>
      <c r="G65"/>
      <c r="H65"/>
      <c r="I65"/>
      <c r="J65"/>
      <c r="K65"/>
      <c r="L65"/>
      <c r="M65"/>
      <c r="N65"/>
      <c r="O65"/>
      <c r="P65"/>
      <c r="Q65"/>
      <c r="R65"/>
    </row>
    <row r="66" spans="2:18" x14ac:dyDescent="0.25">
      <c r="B66"/>
      <c r="C66"/>
      <c r="D66"/>
      <c r="E66"/>
      <c r="F66"/>
      <c r="G66"/>
      <c r="H66"/>
      <c r="I66"/>
      <c r="J66"/>
      <c r="K66"/>
      <c r="L66"/>
      <c r="M66"/>
      <c r="N66"/>
      <c r="O66"/>
      <c r="P66"/>
      <c r="Q66"/>
      <c r="R66"/>
    </row>
    <row r="67" spans="2:18" x14ac:dyDescent="0.25">
      <c r="B67"/>
      <c r="C67"/>
      <c r="D67"/>
      <c r="E67"/>
      <c r="F67"/>
      <c r="G67"/>
      <c r="H67"/>
      <c r="I67"/>
      <c r="J67"/>
      <c r="K67"/>
      <c r="L67"/>
      <c r="M67"/>
      <c r="N67"/>
      <c r="O67"/>
      <c r="P67"/>
      <c r="Q67"/>
      <c r="R67"/>
    </row>
    <row r="68" spans="2:18" x14ac:dyDescent="0.25">
      <c r="B68"/>
      <c r="C68"/>
      <c r="D68"/>
      <c r="E68"/>
      <c r="F68"/>
      <c r="G68"/>
      <c r="H68"/>
      <c r="I68"/>
      <c r="J68"/>
      <c r="K68"/>
      <c r="L68"/>
      <c r="M68"/>
      <c r="N68"/>
      <c r="O68"/>
      <c r="P68"/>
      <c r="Q68"/>
      <c r="R68"/>
    </row>
    <row r="69" spans="2:18" x14ac:dyDescent="0.25">
      <c r="B69"/>
      <c r="C69"/>
      <c r="D69"/>
      <c r="E69"/>
      <c r="F69"/>
      <c r="G69"/>
      <c r="H69"/>
      <c r="I69"/>
      <c r="J69"/>
      <c r="K69"/>
      <c r="L69"/>
      <c r="M69"/>
      <c r="N69"/>
      <c r="O69"/>
      <c r="P69"/>
      <c r="Q69"/>
      <c r="R69"/>
    </row>
    <row r="70" spans="2:18" x14ac:dyDescent="0.25">
      <c r="B70"/>
      <c r="C70"/>
      <c r="D70"/>
      <c r="E70"/>
      <c r="F70"/>
      <c r="G70"/>
      <c r="H70"/>
      <c r="I70"/>
      <c r="J70"/>
      <c r="K70"/>
      <c r="L70"/>
      <c r="M70"/>
      <c r="N70"/>
      <c r="O70"/>
      <c r="P70"/>
      <c r="Q70"/>
      <c r="R70"/>
    </row>
    <row r="71" spans="2:18" x14ac:dyDescent="0.25">
      <c r="B71"/>
      <c r="C71"/>
      <c r="D71"/>
      <c r="E71"/>
      <c r="F71"/>
      <c r="G71"/>
      <c r="H71"/>
      <c r="I71"/>
      <c r="J71"/>
      <c r="K71"/>
      <c r="L71"/>
      <c r="M71"/>
      <c r="N71"/>
      <c r="O71"/>
      <c r="P71"/>
      <c r="Q71"/>
      <c r="R71"/>
    </row>
    <row r="72" spans="2:18" x14ac:dyDescent="0.25">
      <c r="B72"/>
      <c r="C72"/>
      <c r="D72"/>
      <c r="E72"/>
      <c r="F72"/>
      <c r="G72"/>
      <c r="H72"/>
      <c r="I72"/>
      <c r="J72"/>
      <c r="K72"/>
      <c r="L72"/>
      <c r="M72"/>
      <c r="N72"/>
      <c r="O72"/>
      <c r="P72"/>
      <c r="Q72"/>
      <c r="R72"/>
    </row>
    <row r="73" spans="2:18" x14ac:dyDescent="0.25">
      <c r="B73"/>
      <c r="C73"/>
      <c r="D73"/>
      <c r="E73"/>
      <c r="F73"/>
      <c r="G73"/>
      <c r="H73"/>
      <c r="I73"/>
      <c r="J73"/>
      <c r="K73"/>
      <c r="L73"/>
      <c r="M73"/>
      <c r="N73"/>
      <c r="O73"/>
      <c r="P73"/>
      <c r="Q73"/>
      <c r="R73"/>
    </row>
    <row r="74" spans="2:18" x14ac:dyDescent="0.25">
      <c r="B74"/>
      <c r="C74"/>
      <c r="D74"/>
      <c r="E74"/>
      <c r="F74"/>
      <c r="G74"/>
      <c r="H74"/>
      <c r="I74"/>
      <c r="J74"/>
      <c r="K74"/>
      <c r="L74"/>
      <c r="M74"/>
      <c r="N74"/>
      <c r="O74"/>
      <c r="P74"/>
      <c r="Q74"/>
      <c r="R74"/>
    </row>
    <row r="75" spans="2:18" x14ac:dyDescent="0.25">
      <c r="B75"/>
      <c r="C75"/>
      <c r="D75"/>
      <c r="E75"/>
      <c r="F75"/>
      <c r="G75"/>
      <c r="H75"/>
      <c r="I75"/>
      <c r="J75"/>
      <c r="K75"/>
      <c r="L75"/>
      <c r="M75"/>
      <c r="N75"/>
      <c r="O75"/>
      <c r="P75"/>
      <c r="Q75"/>
      <c r="R75"/>
    </row>
    <row r="76" spans="2:18" x14ac:dyDescent="0.25">
      <c r="B76"/>
      <c r="C76"/>
      <c r="D76"/>
      <c r="E76"/>
      <c r="F76"/>
      <c r="G76"/>
      <c r="H76"/>
      <c r="I76"/>
      <c r="J76"/>
      <c r="K76"/>
      <c r="L76"/>
      <c r="M76"/>
      <c r="N76"/>
      <c r="O76"/>
      <c r="P76"/>
      <c r="Q76"/>
      <c r="R76"/>
    </row>
    <row r="77" spans="2:18" x14ac:dyDescent="0.25">
      <c r="B77"/>
      <c r="C77"/>
      <c r="D77"/>
      <c r="E77"/>
      <c r="F77"/>
      <c r="G77"/>
      <c r="H77"/>
      <c r="I77"/>
      <c r="J77"/>
      <c r="K77"/>
      <c r="L77"/>
      <c r="M77"/>
      <c r="N77"/>
      <c r="O77"/>
      <c r="P77"/>
      <c r="Q77"/>
      <c r="R77"/>
    </row>
    <row r="78" spans="2:18" x14ac:dyDescent="0.25">
      <c r="B78"/>
      <c r="C78"/>
      <c r="D78"/>
      <c r="E78"/>
      <c r="F78"/>
      <c r="G78"/>
      <c r="H78"/>
      <c r="I78"/>
      <c r="J78"/>
      <c r="K78"/>
      <c r="L78"/>
      <c r="M78"/>
      <c r="N78"/>
      <c r="O78"/>
      <c r="P78"/>
      <c r="Q78"/>
      <c r="R78"/>
    </row>
    <row r="79" spans="2:18" x14ac:dyDescent="0.25">
      <c r="B79"/>
      <c r="C79"/>
      <c r="D79"/>
      <c r="E79"/>
      <c r="F79"/>
      <c r="G79"/>
      <c r="H79"/>
      <c r="I79"/>
      <c r="J79"/>
      <c r="K79"/>
      <c r="L79"/>
      <c r="M79"/>
      <c r="N79"/>
      <c r="O79"/>
      <c r="P79"/>
      <c r="Q79"/>
      <c r="R79"/>
    </row>
    <row r="80" spans="2:18" x14ac:dyDescent="0.25">
      <c r="B80"/>
      <c r="C80"/>
      <c r="D80"/>
      <c r="E80"/>
      <c r="F80"/>
      <c r="G80"/>
      <c r="H80"/>
      <c r="I80"/>
      <c r="J80"/>
      <c r="K80"/>
      <c r="L80"/>
      <c r="M80"/>
      <c r="N80"/>
      <c r="O80"/>
      <c r="P80"/>
      <c r="Q80"/>
      <c r="R80"/>
    </row>
    <row r="81" spans="2:18" x14ac:dyDescent="0.25">
      <c r="B81"/>
      <c r="C81"/>
      <c r="D81"/>
      <c r="E81"/>
      <c r="F81"/>
      <c r="G81"/>
      <c r="H81"/>
      <c r="I81"/>
      <c r="J81"/>
      <c r="K81"/>
      <c r="L81"/>
      <c r="M81"/>
      <c r="N81"/>
      <c r="O81"/>
      <c r="P81"/>
      <c r="Q81"/>
      <c r="R81"/>
    </row>
    <row r="82" spans="2:18" x14ac:dyDescent="0.25">
      <c r="B82"/>
      <c r="C82"/>
      <c r="D82"/>
      <c r="E82"/>
      <c r="F82"/>
      <c r="G82"/>
      <c r="H82"/>
      <c r="I82"/>
      <c r="J82"/>
      <c r="K82"/>
      <c r="L82"/>
      <c r="M82"/>
      <c r="N82"/>
      <c r="O82"/>
      <c r="P82"/>
      <c r="Q82"/>
      <c r="R82"/>
    </row>
    <row r="83" spans="2:18" x14ac:dyDescent="0.25">
      <c r="B83"/>
      <c r="C83"/>
      <c r="D83"/>
      <c r="E83"/>
      <c r="F83"/>
      <c r="G83"/>
      <c r="H83"/>
      <c r="I83"/>
      <c r="J83"/>
      <c r="K83"/>
      <c r="L83"/>
      <c r="M83"/>
      <c r="N83"/>
      <c r="O83"/>
      <c r="P83"/>
      <c r="Q83"/>
      <c r="R83"/>
    </row>
    <row r="84" spans="2:18" x14ac:dyDescent="0.25">
      <c r="B84"/>
      <c r="C84"/>
      <c r="D84"/>
      <c r="E84"/>
      <c r="F84"/>
      <c r="G84"/>
      <c r="H84"/>
      <c r="I84"/>
      <c r="J84"/>
      <c r="K84"/>
      <c r="L84"/>
      <c r="M84"/>
      <c r="N84"/>
      <c r="O84"/>
      <c r="P84"/>
      <c r="Q84"/>
      <c r="R84"/>
    </row>
    <row r="85" spans="2:18" x14ac:dyDescent="0.25">
      <c r="B85"/>
      <c r="C85"/>
      <c r="D85"/>
      <c r="E85"/>
      <c r="F85"/>
      <c r="G85"/>
      <c r="H85"/>
      <c r="I85"/>
      <c r="J85"/>
      <c r="K85"/>
      <c r="L85"/>
      <c r="M85"/>
      <c r="N85"/>
      <c r="O85"/>
      <c r="P85"/>
      <c r="Q85"/>
      <c r="R85"/>
    </row>
    <row r="86" spans="2:18" x14ac:dyDescent="0.25">
      <c r="B86"/>
      <c r="C86"/>
      <c r="D86"/>
      <c r="E86"/>
      <c r="F86"/>
      <c r="G86"/>
      <c r="H86"/>
      <c r="I86"/>
      <c r="J86"/>
      <c r="K86"/>
      <c r="L86"/>
      <c r="M86"/>
      <c r="N86"/>
      <c r="O86"/>
      <c r="P86"/>
      <c r="Q86"/>
      <c r="R86"/>
    </row>
    <row r="87" spans="2:18" x14ac:dyDescent="0.25">
      <c r="B87"/>
      <c r="C87"/>
      <c r="D87"/>
      <c r="E87"/>
      <c r="F87"/>
      <c r="G87"/>
      <c r="H87"/>
      <c r="I87"/>
      <c r="J87"/>
      <c r="K87"/>
      <c r="L87"/>
      <c r="M87"/>
      <c r="N87"/>
      <c r="O87"/>
      <c r="P87"/>
      <c r="Q87"/>
      <c r="R87"/>
    </row>
    <row r="88" spans="2:18" x14ac:dyDescent="0.25">
      <c r="B88"/>
      <c r="C88"/>
      <c r="D88"/>
      <c r="E88"/>
      <c r="F88"/>
      <c r="G88"/>
      <c r="H88"/>
      <c r="I88"/>
      <c r="J88"/>
      <c r="K88"/>
      <c r="L88"/>
      <c r="M88"/>
      <c r="N88"/>
      <c r="O88"/>
      <c r="P88"/>
      <c r="Q88"/>
      <c r="R88"/>
    </row>
    <row r="89" spans="2:18" x14ac:dyDescent="0.25">
      <c r="B89"/>
      <c r="C89"/>
      <c r="D89"/>
      <c r="E89"/>
      <c r="F89"/>
      <c r="G89"/>
      <c r="H89"/>
      <c r="I89"/>
      <c r="J89"/>
      <c r="K89"/>
      <c r="L89"/>
      <c r="M89"/>
      <c r="N89"/>
      <c r="O89"/>
      <c r="P89"/>
      <c r="Q89"/>
      <c r="R89"/>
    </row>
    <row r="90" spans="2:18" x14ac:dyDescent="0.25">
      <c r="B90"/>
      <c r="C90"/>
      <c r="D90"/>
      <c r="E90"/>
      <c r="F90"/>
      <c r="G90"/>
      <c r="H90"/>
      <c r="I90"/>
      <c r="J90"/>
      <c r="K90"/>
      <c r="L90"/>
      <c r="M90"/>
      <c r="N90"/>
      <c r="O90"/>
      <c r="P90"/>
      <c r="Q90"/>
      <c r="R90"/>
    </row>
    <row r="91" spans="2:18" x14ac:dyDescent="0.25">
      <c r="B91"/>
      <c r="C91"/>
      <c r="D91"/>
      <c r="E91"/>
      <c r="F91"/>
      <c r="G91"/>
      <c r="H91"/>
      <c r="I91"/>
      <c r="J91"/>
      <c r="K91"/>
      <c r="L91"/>
      <c r="M91"/>
      <c r="N91"/>
      <c r="O91"/>
      <c r="P91"/>
      <c r="Q91"/>
      <c r="R91"/>
    </row>
    <row r="92" spans="2:18" x14ac:dyDescent="0.25">
      <c r="B92"/>
      <c r="C92"/>
      <c r="D92"/>
      <c r="E92"/>
      <c r="F92"/>
      <c r="G92"/>
      <c r="H92"/>
      <c r="I92"/>
      <c r="J92"/>
      <c r="K92"/>
      <c r="L92"/>
      <c r="M92"/>
      <c r="N92"/>
      <c r="O92"/>
      <c r="P92"/>
      <c r="Q92"/>
      <c r="R92"/>
    </row>
    <row r="93" spans="2:18" x14ac:dyDescent="0.25">
      <c r="B93"/>
      <c r="C93"/>
      <c r="D93"/>
      <c r="E93"/>
      <c r="F93"/>
      <c r="G93"/>
      <c r="H93"/>
      <c r="I93"/>
      <c r="J93"/>
      <c r="K93"/>
      <c r="L93"/>
      <c r="M93"/>
      <c r="N93"/>
      <c r="O93"/>
      <c r="P93"/>
      <c r="Q93"/>
      <c r="R93"/>
    </row>
    <row r="94" spans="2:18" x14ac:dyDescent="0.25">
      <c r="B94"/>
      <c r="C94"/>
      <c r="D94"/>
      <c r="E94"/>
      <c r="F94"/>
      <c r="G94"/>
      <c r="H94"/>
      <c r="I94"/>
      <c r="J94"/>
      <c r="K94"/>
      <c r="L94"/>
      <c r="M94"/>
      <c r="N94"/>
      <c r="O94"/>
      <c r="P94"/>
      <c r="Q94"/>
      <c r="R94"/>
    </row>
    <row r="95" spans="2:18" x14ac:dyDescent="0.25">
      <c r="B95"/>
      <c r="C95"/>
      <c r="D95"/>
      <c r="E95"/>
      <c r="F95"/>
      <c r="G95"/>
      <c r="H95"/>
      <c r="I95"/>
      <c r="J95"/>
      <c r="K95"/>
      <c r="L95"/>
      <c r="M95"/>
      <c r="N95"/>
      <c r="O95"/>
      <c r="P95"/>
      <c r="Q95"/>
      <c r="R95"/>
    </row>
    <row r="96" spans="2:18" x14ac:dyDescent="0.25">
      <c r="B96"/>
      <c r="C96"/>
      <c r="D96"/>
      <c r="E96"/>
      <c r="F96"/>
      <c r="G96"/>
      <c r="H96"/>
      <c r="I96"/>
      <c r="J96"/>
      <c r="K96"/>
      <c r="L96"/>
      <c r="M96"/>
      <c r="N96"/>
      <c r="O96"/>
      <c r="P96"/>
      <c r="Q96"/>
      <c r="R96"/>
    </row>
    <row r="97" spans="2:18" x14ac:dyDescent="0.25">
      <c r="B97"/>
      <c r="C97"/>
      <c r="D97"/>
      <c r="E97"/>
      <c r="F97"/>
      <c r="G97"/>
      <c r="H97"/>
      <c r="I97"/>
      <c r="J97"/>
      <c r="K97"/>
      <c r="L97"/>
      <c r="M97"/>
      <c r="N97"/>
      <c r="O97"/>
      <c r="P97"/>
      <c r="Q97"/>
      <c r="R97"/>
    </row>
    <row r="98" spans="2:18" x14ac:dyDescent="0.25">
      <c r="B98"/>
      <c r="C98"/>
      <c r="D98"/>
      <c r="E98"/>
      <c r="F98"/>
      <c r="G98"/>
      <c r="H98"/>
      <c r="I98"/>
      <c r="J98"/>
      <c r="K98"/>
      <c r="L98"/>
      <c r="M98"/>
      <c r="N98"/>
      <c r="O98"/>
      <c r="P98"/>
      <c r="Q98"/>
      <c r="R98"/>
    </row>
    <row r="99" spans="2:18" x14ac:dyDescent="0.25">
      <c r="B99"/>
      <c r="C99"/>
      <c r="D99"/>
      <c r="E99"/>
      <c r="F99"/>
      <c r="G99"/>
      <c r="H99"/>
      <c r="I99"/>
      <c r="J99"/>
      <c r="K99"/>
      <c r="L99"/>
      <c r="M99"/>
      <c r="N99"/>
      <c r="O99"/>
      <c r="P99"/>
      <c r="Q99"/>
      <c r="R99"/>
    </row>
    <row r="100" spans="2:18" x14ac:dyDescent="0.25">
      <c r="B100"/>
      <c r="C100"/>
      <c r="D100"/>
      <c r="E100"/>
      <c r="F100"/>
      <c r="G100"/>
      <c r="H100"/>
      <c r="I100"/>
      <c r="J100"/>
      <c r="K100"/>
      <c r="L100"/>
      <c r="M100"/>
      <c r="N100"/>
      <c r="O100"/>
      <c r="P100"/>
      <c r="Q100"/>
      <c r="R100"/>
    </row>
    <row r="101" spans="2:18" x14ac:dyDescent="0.25">
      <c r="B101"/>
      <c r="C101"/>
      <c r="D101"/>
      <c r="E101"/>
      <c r="F101"/>
      <c r="G101"/>
      <c r="H101"/>
      <c r="I101"/>
      <c r="J101"/>
      <c r="K101"/>
      <c r="L101"/>
      <c r="M101"/>
      <c r="N101"/>
      <c r="O101"/>
      <c r="P101"/>
      <c r="Q101"/>
      <c r="R101"/>
    </row>
    <row r="102" spans="2:18" x14ac:dyDescent="0.25">
      <c r="B102"/>
      <c r="C102"/>
      <c r="D102"/>
      <c r="E102"/>
      <c r="F102"/>
      <c r="G102"/>
      <c r="H102"/>
      <c r="I102"/>
      <c r="J102"/>
      <c r="K102"/>
      <c r="L102"/>
      <c r="M102"/>
      <c r="N102"/>
      <c r="O102"/>
      <c r="P102"/>
      <c r="Q102"/>
      <c r="R102"/>
    </row>
    <row r="103" spans="2:18" x14ac:dyDescent="0.25">
      <c r="B103"/>
      <c r="C103"/>
      <c r="D103"/>
      <c r="E103"/>
      <c r="F103"/>
      <c r="G103"/>
      <c r="H103"/>
      <c r="I103"/>
      <c r="J103"/>
      <c r="K103"/>
      <c r="L103"/>
      <c r="M103"/>
      <c r="N103"/>
      <c r="O103"/>
      <c r="P103"/>
      <c r="Q103"/>
      <c r="R103"/>
    </row>
    <row r="104" spans="2:18" x14ac:dyDescent="0.25">
      <c r="B104"/>
      <c r="C104"/>
      <c r="D104"/>
      <c r="E104"/>
      <c r="F104"/>
      <c r="G104"/>
      <c r="H104"/>
      <c r="I104"/>
      <c r="J104"/>
      <c r="K104"/>
      <c r="L104"/>
      <c r="M104"/>
      <c r="N104"/>
      <c r="O104"/>
      <c r="P104"/>
      <c r="Q104"/>
      <c r="R104"/>
    </row>
    <row r="105" spans="2:18" x14ac:dyDescent="0.25">
      <c r="B105"/>
      <c r="C105"/>
      <c r="D105"/>
      <c r="E105"/>
      <c r="F105"/>
      <c r="G105"/>
      <c r="H105"/>
      <c r="I105"/>
      <c r="J105"/>
      <c r="K105"/>
      <c r="L105"/>
      <c r="M105"/>
      <c r="N105"/>
      <c r="O105"/>
      <c r="P105"/>
      <c r="Q105"/>
      <c r="R105"/>
    </row>
    <row r="106" spans="2:18" x14ac:dyDescent="0.25">
      <c r="B106"/>
      <c r="C106"/>
      <c r="D106"/>
      <c r="E106"/>
      <c r="F106"/>
      <c r="G106"/>
      <c r="H106"/>
      <c r="I106"/>
      <c r="J106"/>
      <c r="K106"/>
      <c r="L106"/>
      <c r="M106"/>
      <c r="N106"/>
      <c r="O106"/>
      <c r="P106"/>
      <c r="Q106"/>
      <c r="R106"/>
    </row>
    <row r="107" spans="2:18" x14ac:dyDescent="0.25">
      <c r="B107"/>
      <c r="C107"/>
      <c r="D107"/>
      <c r="E107"/>
      <c r="F107"/>
      <c r="G107"/>
      <c r="H107"/>
      <c r="I107"/>
      <c r="J107"/>
      <c r="K107"/>
      <c r="L107"/>
      <c r="M107"/>
      <c r="N107"/>
      <c r="O107"/>
      <c r="P107"/>
      <c r="Q107"/>
      <c r="R107"/>
    </row>
    <row r="108" spans="2:18" x14ac:dyDescent="0.25">
      <c r="B108"/>
      <c r="C108"/>
      <c r="D108"/>
      <c r="E108"/>
      <c r="F108"/>
      <c r="G108"/>
      <c r="H108"/>
      <c r="I108"/>
      <c r="J108"/>
      <c r="K108"/>
      <c r="L108"/>
      <c r="M108"/>
      <c r="N108"/>
      <c r="O108"/>
      <c r="P108"/>
      <c r="Q108"/>
      <c r="R108"/>
    </row>
    <row r="109" spans="2:18" x14ac:dyDescent="0.25">
      <c r="B109"/>
      <c r="C109"/>
      <c r="D109"/>
      <c r="E109"/>
      <c r="F109"/>
      <c r="G109"/>
      <c r="H109"/>
      <c r="I109"/>
      <c r="J109"/>
      <c r="K109"/>
      <c r="L109"/>
      <c r="M109"/>
      <c r="N109"/>
      <c r="O109"/>
      <c r="P109"/>
      <c r="Q109"/>
      <c r="R109"/>
    </row>
    <row r="110" spans="2:18" x14ac:dyDescent="0.25">
      <c r="B110"/>
      <c r="C110"/>
      <c r="D110"/>
      <c r="E110"/>
      <c r="F110"/>
      <c r="G110"/>
      <c r="H110"/>
      <c r="I110"/>
      <c r="J110"/>
      <c r="K110"/>
      <c r="L110"/>
      <c r="M110"/>
      <c r="N110"/>
      <c r="O110"/>
      <c r="P110"/>
      <c r="Q110"/>
      <c r="R110"/>
    </row>
    <row r="111" spans="2:18" x14ac:dyDescent="0.25">
      <c r="B111"/>
      <c r="C111"/>
      <c r="D111"/>
      <c r="E111"/>
      <c r="F111"/>
      <c r="G111"/>
      <c r="H111"/>
      <c r="I111"/>
      <c r="J111"/>
      <c r="K111"/>
      <c r="L111"/>
      <c r="M111"/>
      <c r="N111"/>
      <c r="O111"/>
      <c r="P111"/>
      <c r="Q111"/>
      <c r="R111"/>
    </row>
    <row r="112" spans="2:18" x14ac:dyDescent="0.25">
      <c r="B112"/>
      <c r="C112"/>
      <c r="D112"/>
      <c r="E112"/>
      <c r="F112"/>
      <c r="G112"/>
      <c r="H112"/>
      <c r="I112"/>
      <c r="J112"/>
      <c r="K112"/>
      <c r="L112"/>
      <c r="M112"/>
      <c r="N112"/>
      <c r="O112"/>
      <c r="P112"/>
      <c r="Q112"/>
      <c r="R112"/>
    </row>
    <row r="113" spans="2:18" x14ac:dyDescent="0.25">
      <c r="B113"/>
      <c r="C113"/>
      <c r="D113"/>
      <c r="E113"/>
      <c r="F113"/>
      <c r="G113"/>
      <c r="H113"/>
      <c r="I113"/>
      <c r="J113"/>
      <c r="K113"/>
      <c r="L113"/>
      <c r="M113"/>
      <c r="N113"/>
      <c r="O113"/>
      <c r="P113"/>
      <c r="Q113"/>
      <c r="R113"/>
    </row>
    <row r="114" spans="2:18" x14ac:dyDescent="0.25">
      <c r="B114"/>
      <c r="C114"/>
      <c r="D114"/>
      <c r="E114"/>
      <c r="F114"/>
      <c r="G114"/>
      <c r="H114"/>
      <c r="I114"/>
      <c r="J114"/>
      <c r="K114"/>
      <c r="L114"/>
      <c r="M114"/>
      <c r="N114"/>
      <c r="O114"/>
      <c r="P114"/>
      <c r="Q114"/>
      <c r="R114"/>
    </row>
    <row r="115" spans="2:18" x14ac:dyDescent="0.25">
      <c r="B115"/>
      <c r="C115"/>
      <c r="D115"/>
      <c r="E115"/>
      <c r="F115"/>
      <c r="G115"/>
      <c r="H115"/>
      <c r="I115"/>
      <c r="J115"/>
      <c r="K115"/>
      <c r="L115"/>
      <c r="M115"/>
      <c r="N115"/>
      <c r="O115"/>
      <c r="P115"/>
      <c r="Q115"/>
      <c r="R115"/>
    </row>
    <row r="116" spans="2:18" x14ac:dyDescent="0.25">
      <c r="B116"/>
      <c r="C116"/>
      <c r="D116"/>
      <c r="E116"/>
      <c r="F116"/>
      <c r="G116"/>
      <c r="H116"/>
      <c r="I116"/>
      <c r="J116"/>
      <c r="K116"/>
      <c r="L116"/>
      <c r="M116"/>
      <c r="N116"/>
      <c r="O116"/>
      <c r="P116"/>
      <c r="Q116"/>
      <c r="R116"/>
    </row>
    <row r="117" spans="2:18" x14ac:dyDescent="0.25">
      <c r="B117"/>
      <c r="C117"/>
      <c r="D117"/>
      <c r="E117"/>
      <c r="F117"/>
      <c r="G117"/>
      <c r="H117"/>
      <c r="I117"/>
      <c r="J117"/>
      <c r="K117"/>
      <c r="L117"/>
      <c r="M117"/>
      <c r="N117"/>
      <c r="O117"/>
      <c r="P117"/>
      <c r="Q117"/>
      <c r="R117"/>
    </row>
    <row r="118" spans="2:18" x14ac:dyDescent="0.25">
      <c r="B118"/>
      <c r="C118"/>
      <c r="D118"/>
      <c r="E118"/>
      <c r="F118"/>
      <c r="G118"/>
      <c r="H118"/>
      <c r="I118"/>
      <c r="J118"/>
      <c r="K118"/>
      <c r="L118"/>
      <c r="M118"/>
      <c r="N118"/>
      <c r="O118"/>
      <c r="P118"/>
      <c r="Q118"/>
      <c r="R118"/>
    </row>
    <row r="119" spans="2:18" x14ac:dyDescent="0.25">
      <c r="B119"/>
      <c r="C119"/>
      <c r="D119"/>
      <c r="E119"/>
      <c r="F119"/>
      <c r="G119"/>
      <c r="H119"/>
      <c r="I119"/>
      <c r="J119"/>
      <c r="K119"/>
      <c r="L119"/>
      <c r="M119"/>
      <c r="N119"/>
      <c r="O119"/>
      <c r="P119"/>
      <c r="Q119"/>
      <c r="R119"/>
    </row>
    <row r="120" spans="2:18" x14ac:dyDescent="0.25">
      <c r="B120"/>
      <c r="C120"/>
      <c r="D120"/>
      <c r="E120"/>
      <c r="F120"/>
      <c r="G120"/>
      <c r="H120"/>
      <c r="I120"/>
      <c r="J120"/>
      <c r="K120"/>
      <c r="L120"/>
      <c r="M120"/>
      <c r="N120"/>
      <c r="O120"/>
      <c r="P120"/>
      <c r="Q120"/>
      <c r="R120"/>
    </row>
    <row r="121" spans="2:18" x14ac:dyDescent="0.25">
      <c r="B121"/>
      <c r="C121"/>
      <c r="D121"/>
      <c r="E121"/>
      <c r="F121"/>
      <c r="G121"/>
      <c r="H121"/>
      <c r="I121"/>
      <c r="J121"/>
      <c r="K121"/>
      <c r="L121"/>
      <c r="M121"/>
      <c r="N121"/>
      <c r="O121"/>
      <c r="P121"/>
      <c r="Q121"/>
      <c r="R121"/>
    </row>
    <row r="122" spans="2:18" x14ac:dyDescent="0.25">
      <c r="B122"/>
      <c r="C122"/>
      <c r="D122"/>
      <c r="E122"/>
      <c r="F122"/>
      <c r="G122"/>
      <c r="H122"/>
      <c r="I122"/>
      <c r="J122"/>
      <c r="K122"/>
      <c r="L122"/>
      <c r="M122"/>
      <c r="N122"/>
      <c r="O122"/>
      <c r="P122"/>
      <c r="Q122"/>
      <c r="R122"/>
    </row>
    <row r="123" spans="2:18" x14ac:dyDescent="0.25">
      <c r="B123"/>
      <c r="C123"/>
      <c r="D123"/>
      <c r="E123"/>
      <c r="F123"/>
      <c r="G123"/>
      <c r="H123"/>
      <c r="I123"/>
      <c r="J123"/>
      <c r="K123"/>
      <c r="L123"/>
      <c r="M123"/>
      <c r="N123"/>
      <c r="O123"/>
      <c r="P123"/>
      <c r="Q123"/>
      <c r="R123"/>
    </row>
    <row r="124" spans="2:18" x14ac:dyDescent="0.25">
      <c r="B124"/>
      <c r="C124"/>
      <c r="D124"/>
      <c r="E124"/>
      <c r="F124"/>
      <c r="G124"/>
      <c r="H124"/>
      <c r="I124"/>
      <c r="J124"/>
      <c r="K124"/>
      <c r="L124"/>
      <c r="M124"/>
      <c r="N124"/>
      <c r="O124"/>
      <c r="P124"/>
      <c r="Q124"/>
      <c r="R124"/>
    </row>
    <row r="125" spans="2:18" x14ac:dyDescent="0.25">
      <c r="B125"/>
      <c r="C125"/>
      <c r="D125"/>
      <c r="E125"/>
      <c r="F125"/>
      <c r="G125"/>
      <c r="H125"/>
      <c r="I125"/>
      <c r="J125"/>
      <c r="K125"/>
      <c r="L125"/>
      <c r="M125"/>
      <c r="N125"/>
      <c r="O125"/>
      <c r="P125"/>
      <c r="Q125"/>
      <c r="R125"/>
    </row>
    <row r="126" spans="2:18" x14ac:dyDescent="0.25">
      <c r="B126"/>
      <c r="C126"/>
      <c r="D126"/>
      <c r="E126"/>
      <c r="F126"/>
      <c r="G126"/>
      <c r="H126"/>
      <c r="I126"/>
      <c r="J126"/>
      <c r="K126"/>
      <c r="L126"/>
      <c r="M126"/>
      <c r="N126"/>
      <c r="O126"/>
      <c r="P126"/>
      <c r="Q126"/>
      <c r="R126"/>
    </row>
    <row r="127" spans="2:18" x14ac:dyDescent="0.25">
      <c r="B127"/>
      <c r="C127"/>
      <c r="D127"/>
      <c r="E127"/>
      <c r="F127"/>
      <c r="G127"/>
      <c r="H127"/>
      <c r="I127"/>
      <c r="J127"/>
      <c r="K127"/>
      <c r="L127"/>
      <c r="M127"/>
      <c r="N127"/>
      <c r="O127"/>
      <c r="P127"/>
      <c r="Q127"/>
      <c r="R127"/>
    </row>
    <row r="128" spans="2:18" x14ac:dyDescent="0.25">
      <c r="B128"/>
      <c r="C128"/>
      <c r="D128"/>
      <c r="E128"/>
      <c r="F128"/>
      <c r="G128"/>
      <c r="H128"/>
      <c r="I128"/>
      <c r="J128"/>
      <c r="K128"/>
      <c r="L128"/>
      <c r="M128"/>
      <c r="N128"/>
      <c r="O128"/>
      <c r="P128"/>
      <c r="Q128"/>
      <c r="R128"/>
    </row>
    <row r="129" spans="2:18" x14ac:dyDescent="0.25">
      <c r="B129"/>
      <c r="C129"/>
      <c r="D129"/>
      <c r="E129"/>
      <c r="F129"/>
      <c r="G129"/>
      <c r="H129"/>
      <c r="I129"/>
      <c r="J129"/>
      <c r="K129"/>
      <c r="L129"/>
      <c r="M129"/>
      <c r="N129"/>
      <c r="O129"/>
      <c r="P129"/>
      <c r="Q129"/>
      <c r="R129"/>
    </row>
    <row r="130" spans="2:18" x14ac:dyDescent="0.25">
      <c r="B130"/>
      <c r="C130"/>
      <c r="D130"/>
      <c r="E130"/>
      <c r="F130"/>
      <c r="G130"/>
      <c r="H130"/>
      <c r="I130"/>
      <c r="J130"/>
      <c r="K130"/>
      <c r="L130"/>
      <c r="M130"/>
      <c r="N130"/>
      <c r="O130"/>
      <c r="P130"/>
      <c r="Q130"/>
      <c r="R130"/>
    </row>
    <row r="131" spans="2:18" x14ac:dyDescent="0.25">
      <c r="B131"/>
      <c r="C131"/>
      <c r="D131"/>
      <c r="E131"/>
      <c r="F131"/>
      <c r="G131"/>
      <c r="H131"/>
      <c r="I131"/>
      <c r="J131"/>
      <c r="K131"/>
      <c r="L131"/>
      <c r="M131"/>
      <c r="N131"/>
      <c r="O131"/>
      <c r="P131"/>
      <c r="Q131"/>
      <c r="R131"/>
    </row>
    <row r="132" spans="2:18" x14ac:dyDescent="0.25">
      <c r="B132"/>
      <c r="C132"/>
      <c r="D132"/>
      <c r="E132"/>
      <c r="F132"/>
      <c r="G132"/>
      <c r="H132"/>
      <c r="I132"/>
      <c r="J132"/>
      <c r="K132"/>
      <c r="L132"/>
      <c r="M132"/>
      <c r="N132"/>
      <c r="O132"/>
      <c r="P132"/>
      <c r="Q132"/>
      <c r="R132"/>
    </row>
    <row r="133" spans="2:18" x14ac:dyDescent="0.25">
      <c r="B133"/>
      <c r="C133"/>
      <c r="D133"/>
      <c r="E133"/>
      <c r="F133"/>
      <c r="G133"/>
      <c r="H133"/>
      <c r="I133"/>
      <c r="J133"/>
      <c r="K133"/>
      <c r="L133"/>
      <c r="M133"/>
      <c r="N133"/>
      <c r="O133"/>
      <c r="P133"/>
      <c r="Q133"/>
      <c r="R133"/>
    </row>
    <row r="134" spans="2:18" x14ac:dyDescent="0.25">
      <c r="B134"/>
      <c r="C134"/>
      <c r="D134"/>
      <c r="E134"/>
      <c r="F134"/>
      <c r="G134"/>
      <c r="H134"/>
      <c r="I134"/>
      <c r="J134"/>
      <c r="K134"/>
      <c r="L134"/>
      <c r="M134"/>
      <c r="N134"/>
      <c r="O134"/>
      <c r="P134"/>
      <c r="Q134"/>
      <c r="R134"/>
    </row>
    <row r="135" spans="2:18" x14ac:dyDescent="0.25">
      <c r="B135"/>
      <c r="C135"/>
      <c r="D135"/>
      <c r="E135"/>
      <c r="F135"/>
      <c r="G135"/>
      <c r="H135"/>
      <c r="I135"/>
      <c r="J135"/>
      <c r="K135"/>
      <c r="L135"/>
      <c r="M135"/>
      <c r="N135"/>
      <c r="O135"/>
      <c r="P135"/>
      <c r="Q135"/>
      <c r="R135"/>
    </row>
    <row r="136" spans="2:18" x14ac:dyDescent="0.25">
      <c r="B136"/>
      <c r="C136"/>
      <c r="D136"/>
      <c r="E136"/>
      <c r="F136"/>
      <c r="G136"/>
      <c r="H136"/>
      <c r="I136"/>
      <c r="J136"/>
      <c r="K136"/>
      <c r="L136"/>
      <c r="M136"/>
      <c r="N136"/>
      <c r="O136"/>
      <c r="P136"/>
      <c r="Q136"/>
      <c r="R136"/>
    </row>
    <row r="137" spans="2:18" x14ac:dyDescent="0.25">
      <c r="B137"/>
      <c r="C137"/>
      <c r="D137"/>
      <c r="E137"/>
      <c r="F137"/>
      <c r="G137"/>
      <c r="H137"/>
      <c r="I137"/>
      <c r="J137"/>
      <c r="K137"/>
      <c r="L137"/>
      <c r="M137"/>
      <c r="N137"/>
      <c r="O137"/>
      <c r="P137"/>
      <c r="Q137"/>
      <c r="R137"/>
    </row>
    <row r="138" spans="2:18" x14ac:dyDescent="0.25">
      <c r="B138"/>
      <c r="C138"/>
      <c r="D138"/>
      <c r="E138"/>
      <c r="F138"/>
      <c r="G138"/>
      <c r="H138"/>
      <c r="I138"/>
      <c r="J138"/>
      <c r="K138"/>
      <c r="L138"/>
      <c r="M138"/>
      <c r="N138"/>
      <c r="O138"/>
      <c r="P138"/>
      <c r="Q138"/>
      <c r="R138"/>
    </row>
    <row r="139" spans="2:18" x14ac:dyDescent="0.25">
      <c r="B139"/>
      <c r="C139"/>
      <c r="D139"/>
      <c r="E139"/>
      <c r="F139"/>
      <c r="G139"/>
      <c r="H139"/>
      <c r="I139"/>
      <c r="J139"/>
      <c r="K139"/>
      <c r="L139"/>
      <c r="M139"/>
      <c r="N139"/>
      <c r="O139"/>
      <c r="P139"/>
      <c r="Q139"/>
      <c r="R139"/>
    </row>
    <row r="140" spans="2:18" x14ac:dyDescent="0.25">
      <c r="B140"/>
      <c r="C140"/>
      <c r="D140"/>
      <c r="E140"/>
      <c r="F140"/>
      <c r="G140"/>
      <c r="H140"/>
      <c r="I140"/>
      <c r="J140"/>
      <c r="K140"/>
      <c r="L140"/>
      <c r="M140"/>
      <c r="N140"/>
      <c r="O140"/>
      <c r="P140"/>
      <c r="Q140"/>
      <c r="R140"/>
    </row>
    <row r="141" spans="2:18" x14ac:dyDescent="0.25">
      <c r="B141"/>
      <c r="C141"/>
      <c r="D141"/>
      <c r="E141"/>
      <c r="F141"/>
      <c r="G141"/>
      <c r="H141"/>
      <c r="I141"/>
      <c r="J141"/>
      <c r="K141"/>
      <c r="L141"/>
      <c r="M141"/>
      <c r="N141"/>
      <c r="O141"/>
      <c r="P141"/>
      <c r="Q141"/>
      <c r="R141"/>
    </row>
    <row r="142" spans="2:18" x14ac:dyDescent="0.25">
      <c r="B142"/>
      <c r="C142"/>
      <c r="D142"/>
      <c r="E142"/>
      <c r="F142"/>
      <c r="G142"/>
      <c r="H142"/>
      <c r="I142"/>
      <c r="J142"/>
      <c r="K142"/>
      <c r="L142"/>
      <c r="M142"/>
      <c r="N142"/>
      <c r="O142"/>
      <c r="P142"/>
      <c r="Q142"/>
      <c r="R142"/>
    </row>
    <row r="143" spans="2:18" x14ac:dyDescent="0.25">
      <c r="B143"/>
      <c r="C143"/>
      <c r="D143"/>
      <c r="E143"/>
      <c r="F143"/>
      <c r="G143"/>
      <c r="H143"/>
      <c r="I143"/>
      <c r="J143"/>
      <c r="K143"/>
      <c r="L143"/>
      <c r="M143"/>
      <c r="N143"/>
      <c r="O143"/>
      <c r="P143"/>
      <c r="Q143"/>
      <c r="R143"/>
    </row>
    <row r="144" spans="2:18" x14ac:dyDescent="0.25">
      <c r="B144"/>
      <c r="C144"/>
      <c r="D144"/>
      <c r="E144"/>
      <c r="F144"/>
      <c r="G144"/>
      <c r="H144"/>
      <c r="I144"/>
      <c r="J144"/>
      <c r="K144"/>
      <c r="L144"/>
      <c r="M144"/>
      <c r="N144"/>
      <c r="O144"/>
      <c r="P144"/>
      <c r="Q144"/>
      <c r="R144"/>
    </row>
    <row r="145" spans="2:18" x14ac:dyDescent="0.25">
      <c r="B145"/>
      <c r="C145"/>
      <c r="D145"/>
      <c r="E145"/>
      <c r="F145"/>
      <c r="G145"/>
      <c r="H145"/>
      <c r="I145"/>
      <c r="J145"/>
      <c r="K145"/>
      <c r="L145"/>
      <c r="M145"/>
      <c r="N145"/>
      <c r="O145"/>
      <c r="P145"/>
      <c r="Q145"/>
      <c r="R145"/>
    </row>
    <row r="146" spans="2:18" x14ac:dyDescent="0.25">
      <c r="B146"/>
      <c r="C146"/>
      <c r="D146"/>
      <c r="E146"/>
      <c r="F146"/>
      <c r="G146"/>
      <c r="H146"/>
      <c r="I146"/>
      <c r="J146"/>
      <c r="K146"/>
      <c r="L146"/>
      <c r="M146"/>
      <c r="N146"/>
      <c r="O146"/>
      <c r="P146"/>
      <c r="Q146"/>
      <c r="R146"/>
    </row>
    <row r="147" spans="2:18" x14ac:dyDescent="0.25">
      <c r="B147"/>
      <c r="C147"/>
      <c r="D147"/>
      <c r="E147"/>
      <c r="F147"/>
      <c r="G147"/>
      <c r="H147"/>
      <c r="I147"/>
      <c r="J147"/>
      <c r="K147"/>
      <c r="L147"/>
      <c r="M147"/>
      <c r="N147"/>
      <c r="O147"/>
      <c r="P147"/>
      <c r="Q147"/>
      <c r="R147"/>
    </row>
    <row r="148" spans="2:18" x14ac:dyDescent="0.25">
      <c r="B148"/>
      <c r="C148"/>
      <c r="D148"/>
      <c r="E148"/>
      <c r="F148"/>
      <c r="G148"/>
      <c r="H148"/>
      <c r="I148"/>
      <c r="J148"/>
      <c r="K148"/>
      <c r="L148"/>
      <c r="M148"/>
      <c r="N148"/>
      <c r="O148"/>
      <c r="P148"/>
      <c r="Q148"/>
      <c r="R148"/>
    </row>
    <row r="149" spans="2:18" x14ac:dyDescent="0.25">
      <c r="B149"/>
      <c r="C149"/>
      <c r="D149"/>
      <c r="E149"/>
      <c r="F149"/>
      <c r="G149"/>
      <c r="H149"/>
      <c r="I149"/>
      <c r="J149"/>
      <c r="K149"/>
      <c r="L149"/>
      <c r="M149"/>
      <c r="N149"/>
      <c r="O149"/>
      <c r="P149"/>
      <c r="Q149"/>
      <c r="R149"/>
    </row>
    <row r="150" spans="2:18" x14ac:dyDescent="0.25">
      <c r="B150"/>
      <c r="C150"/>
      <c r="D150"/>
      <c r="E150"/>
      <c r="F150"/>
      <c r="G150"/>
      <c r="H150"/>
      <c r="I150"/>
      <c r="J150"/>
      <c r="K150"/>
      <c r="L150"/>
      <c r="M150"/>
      <c r="N150"/>
      <c r="O150"/>
      <c r="P150"/>
      <c r="Q150"/>
      <c r="R150"/>
    </row>
    <row r="151" spans="2:18" x14ac:dyDescent="0.25">
      <c r="B151"/>
      <c r="C151"/>
      <c r="D151"/>
      <c r="E151"/>
      <c r="F151"/>
      <c r="G151"/>
      <c r="H151"/>
      <c r="I151"/>
      <c r="J151"/>
      <c r="K151"/>
      <c r="L151"/>
      <c r="M151"/>
      <c r="N151"/>
      <c r="O151"/>
      <c r="P151"/>
      <c r="Q151"/>
      <c r="R151"/>
    </row>
    <row r="152" spans="2:18" x14ac:dyDescent="0.25">
      <c r="B152"/>
      <c r="C152"/>
      <c r="D152"/>
      <c r="E152"/>
      <c r="F152"/>
      <c r="G152"/>
      <c r="H152"/>
      <c r="I152"/>
      <c r="J152"/>
      <c r="K152"/>
      <c r="L152"/>
      <c r="M152"/>
      <c r="N152"/>
      <c r="O152"/>
      <c r="P152"/>
      <c r="Q152"/>
      <c r="R152"/>
    </row>
    <row r="153" spans="2:18" x14ac:dyDescent="0.25">
      <c r="B153"/>
      <c r="C153"/>
      <c r="D153"/>
      <c r="E153"/>
      <c r="F153"/>
      <c r="G153"/>
      <c r="H153"/>
      <c r="I153"/>
      <c r="J153"/>
      <c r="K153"/>
      <c r="L153"/>
      <c r="M153"/>
      <c r="N153"/>
      <c r="O153"/>
      <c r="P153"/>
      <c r="Q153"/>
      <c r="R153"/>
    </row>
    <row r="154" spans="2:18" x14ac:dyDescent="0.25">
      <c r="B154"/>
      <c r="C154"/>
      <c r="D154"/>
      <c r="E154"/>
      <c r="F154"/>
      <c r="G154"/>
      <c r="H154"/>
      <c r="I154"/>
      <c r="J154"/>
      <c r="K154"/>
      <c r="L154"/>
      <c r="M154"/>
      <c r="N154"/>
      <c r="O154"/>
      <c r="P154"/>
      <c r="Q154"/>
      <c r="R154"/>
    </row>
    <row r="155" spans="2:18" x14ac:dyDescent="0.25">
      <c r="B155"/>
      <c r="C155"/>
      <c r="D155"/>
      <c r="E155"/>
      <c r="F155"/>
      <c r="G155"/>
      <c r="H155"/>
      <c r="I155"/>
      <c r="J155"/>
      <c r="K155"/>
      <c r="L155"/>
      <c r="M155"/>
      <c r="N155"/>
      <c r="O155"/>
      <c r="P155"/>
      <c r="Q155"/>
      <c r="R155"/>
    </row>
    <row r="156" spans="2:18" x14ac:dyDescent="0.25">
      <c r="B156"/>
      <c r="C156"/>
      <c r="D156"/>
      <c r="E156"/>
      <c r="F156"/>
      <c r="G156"/>
      <c r="H156"/>
      <c r="I156"/>
      <c r="J156"/>
      <c r="K156"/>
      <c r="L156"/>
      <c r="M156"/>
      <c r="N156"/>
      <c r="O156"/>
      <c r="P156"/>
      <c r="Q156"/>
      <c r="R156"/>
    </row>
    <row r="157" spans="2:18" x14ac:dyDescent="0.25">
      <c r="B157"/>
      <c r="C157"/>
      <c r="D157"/>
      <c r="E157"/>
      <c r="F157"/>
      <c r="G157"/>
      <c r="H157"/>
      <c r="I157"/>
      <c r="J157"/>
      <c r="K157"/>
      <c r="L157"/>
      <c r="M157"/>
      <c r="N157"/>
      <c r="O157"/>
      <c r="P157"/>
      <c r="Q157"/>
      <c r="R157"/>
    </row>
    <row r="158" spans="2:18" x14ac:dyDescent="0.25">
      <c r="B158"/>
      <c r="C158"/>
      <c r="D158"/>
      <c r="E158"/>
      <c r="F158"/>
      <c r="G158"/>
      <c r="H158"/>
      <c r="I158"/>
      <c r="J158"/>
      <c r="K158"/>
      <c r="L158"/>
      <c r="M158"/>
      <c r="N158"/>
      <c r="O158"/>
      <c r="P158"/>
      <c r="Q158"/>
      <c r="R158"/>
    </row>
    <row r="159" spans="2:18" x14ac:dyDescent="0.25">
      <c r="B159"/>
      <c r="C159"/>
      <c r="D159"/>
      <c r="E159"/>
      <c r="F159"/>
      <c r="G159"/>
      <c r="H159"/>
      <c r="I159"/>
      <c r="J159"/>
      <c r="K159"/>
      <c r="L159"/>
      <c r="M159"/>
      <c r="N159"/>
      <c r="O159"/>
      <c r="P159"/>
      <c r="Q159"/>
      <c r="R159"/>
    </row>
    <row r="160" spans="2:18" x14ac:dyDescent="0.25">
      <c r="B160"/>
      <c r="C160"/>
      <c r="D160"/>
      <c r="E160"/>
      <c r="F160"/>
      <c r="G160"/>
      <c r="H160"/>
      <c r="I160"/>
      <c r="J160"/>
      <c r="K160"/>
      <c r="L160"/>
      <c r="M160"/>
      <c r="N160"/>
      <c r="O160"/>
      <c r="P160"/>
      <c r="Q160"/>
      <c r="R160"/>
    </row>
    <row r="161" spans="2:18" x14ac:dyDescent="0.25">
      <c r="B161"/>
      <c r="C161"/>
      <c r="D161"/>
      <c r="E161"/>
      <c r="F161"/>
      <c r="G161"/>
      <c r="H161"/>
      <c r="I161"/>
      <c r="J161"/>
      <c r="K161"/>
      <c r="L161"/>
      <c r="M161"/>
      <c r="N161"/>
      <c r="O161"/>
      <c r="P161"/>
      <c r="Q161"/>
      <c r="R161"/>
    </row>
    <row r="162" spans="2:18" x14ac:dyDescent="0.25">
      <c r="B162"/>
      <c r="C162"/>
      <c r="D162"/>
      <c r="E162"/>
      <c r="F162"/>
      <c r="G162"/>
      <c r="H162"/>
      <c r="I162"/>
      <c r="J162"/>
      <c r="K162"/>
      <c r="L162"/>
      <c r="M162"/>
      <c r="N162"/>
      <c r="O162"/>
      <c r="P162"/>
      <c r="Q162"/>
      <c r="R162"/>
    </row>
    <row r="163" spans="2:18" x14ac:dyDescent="0.25">
      <c r="B163"/>
      <c r="C163"/>
      <c r="D163"/>
      <c r="E163"/>
      <c r="F163"/>
      <c r="G163"/>
      <c r="H163"/>
      <c r="I163"/>
      <c r="J163"/>
      <c r="K163"/>
      <c r="L163"/>
      <c r="M163"/>
      <c r="N163"/>
      <c r="O163"/>
      <c r="P163"/>
      <c r="Q163"/>
      <c r="R163"/>
    </row>
    <row r="164" spans="2:18" x14ac:dyDescent="0.25">
      <c r="B164"/>
      <c r="C164"/>
      <c r="D164"/>
      <c r="E164"/>
      <c r="F164"/>
      <c r="G164"/>
      <c r="H164"/>
      <c r="I164"/>
      <c r="J164"/>
      <c r="K164"/>
      <c r="L164"/>
      <c r="M164"/>
      <c r="N164"/>
      <c r="O164"/>
      <c r="P164"/>
      <c r="Q164"/>
      <c r="R164"/>
    </row>
    <row r="165" spans="2:18" x14ac:dyDescent="0.25">
      <c r="B165"/>
      <c r="C165"/>
      <c r="D165"/>
      <c r="E165"/>
      <c r="F165"/>
      <c r="G165"/>
      <c r="H165"/>
      <c r="I165"/>
      <c r="J165"/>
      <c r="K165"/>
      <c r="L165"/>
      <c r="M165"/>
      <c r="N165"/>
      <c r="O165"/>
      <c r="P165"/>
      <c r="Q165"/>
      <c r="R165"/>
    </row>
    <row r="166" spans="2:18" x14ac:dyDescent="0.25">
      <c r="B166"/>
      <c r="C166"/>
      <c r="D166"/>
      <c r="E166"/>
      <c r="F166"/>
      <c r="G166"/>
      <c r="H166"/>
      <c r="I166"/>
      <c r="J166"/>
      <c r="K166"/>
      <c r="L166"/>
      <c r="M166"/>
      <c r="N166"/>
      <c r="O166"/>
      <c r="P166"/>
      <c r="Q166"/>
      <c r="R166"/>
    </row>
    <row r="167" spans="2:18" x14ac:dyDescent="0.25">
      <c r="B167"/>
      <c r="C167"/>
      <c r="D167"/>
      <c r="E167"/>
      <c r="F167"/>
      <c r="G167"/>
      <c r="H167"/>
      <c r="I167"/>
      <c r="J167"/>
      <c r="K167"/>
      <c r="L167"/>
      <c r="M167"/>
      <c r="N167"/>
      <c r="O167"/>
      <c r="P167"/>
      <c r="Q167"/>
      <c r="R167"/>
    </row>
    <row r="168" spans="2:18" x14ac:dyDescent="0.25">
      <c r="B168"/>
      <c r="C168"/>
      <c r="D168"/>
      <c r="E168"/>
      <c r="F168"/>
      <c r="G168"/>
      <c r="H168"/>
      <c r="I168"/>
      <c r="J168"/>
      <c r="K168"/>
      <c r="L168"/>
      <c r="M168"/>
      <c r="N168"/>
      <c r="O168"/>
      <c r="P168"/>
      <c r="Q168"/>
      <c r="R168"/>
    </row>
    <row r="169" spans="2:18" x14ac:dyDescent="0.25">
      <c r="B169"/>
      <c r="C169"/>
      <c r="D169"/>
      <c r="E169"/>
      <c r="F169"/>
      <c r="G169"/>
      <c r="H169"/>
      <c r="I169"/>
      <c r="J169"/>
      <c r="K169"/>
      <c r="L169"/>
      <c r="M169"/>
      <c r="N169"/>
      <c r="O169"/>
      <c r="P169"/>
      <c r="Q169"/>
      <c r="R169"/>
    </row>
    <row r="170" spans="2:18" x14ac:dyDescent="0.25">
      <c r="B170"/>
      <c r="C170"/>
      <c r="D170"/>
      <c r="E170"/>
      <c r="F170"/>
      <c r="G170"/>
      <c r="H170"/>
      <c r="I170"/>
      <c r="J170"/>
      <c r="K170"/>
      <c r="L170"/>
      <c r="M170"/>
      <c r="N170"/>
      <c r="O170"/>
      <c r="P170"/>
      <c r="Q170"/>
      <c r="R170"/>
    </row>
    <row r="171" spans="2:18" x14ac:dyDescent="0.25">
      <c r="B171"/>
      <c r="C171"/>
      <c r="D171"/>
      <c r="E171"/>
      <c r="F171"/>
      <c r="G171"/>
      <c r="H171"/>
      <c r="I171"/>
      <c r="J171"/>
      <c r="K171"/>
      <c r="L171"/>
      <c r="M171"/>
      <c r="N171"/>
      <c r="O171"/>
      <c r="P171"/>
      <c r="Q171"/>
      <c r="R171"/>
    </row>
    <row r="172" spans="2:18" x14ac:dyDescent="0.25">
      <c r="B172"/>
      <c r="C172"/>
      <c r="D172"/>
      <c r="E172"/>
      <c r="F172"/>
      <c r="G172"/>
      <c r="H172"/>
      <c r="I172"/>
      <c r="J172"/>
      <c r="K172"/>
      <c r="L172"/>
      <c r="M172"/>
      <c r="N172"/>
      <c r="O172"/>
      <c r="P172"/>
      <c r="Q172"/>
      <c r="R172"/>
    </row>
    <row r="173" spans="2:18" x14ac:dyDescent="0.25">
      <c r="B173"/>
      <c r="C173"/>
      <c r="D173"/>
      <c r="E173"/>
      <c r="F173"/>
      <c r="G173"/>
      <c r="H173"/>
      <c r="I173"/>
      <c r="J173"/>
      <c r="K173"/>
      <c r="L173"/>
      <c r="M173"/>
      <c r="N173"/>
      <c r="O173"/>
      <c r="P173"/>
      <c r="Q173"/>
      <c r="R173"/>
    </row>
    <row r="174" spans="2:18" x14ac:dyDescent="0.25">
      <c r="B174"/>
      <c r="C174"/>
      <c r="D174"/>
      <c r="E174"/>
      <c r="F174"/>
      <c r="G174"/>
      <c r="H174"/>
      <c r="I174"/>
      <c r="J174"/>
      <c r="K174"/>
      <c r="L174"/>
      <c r="M174"/>
      <c r="N174"/>
      <c r="O174"/>
      <c r="P174"/>
      <c r="Q174"/>
      <c r="R174"/>
    </row>
    <row r="175" spans="2:18" x14ac:dyDescent="0.25">
      <c r="B175"/>
      <c r="C175"/>
      <c r="D175"/>
      <c r="E175"/>
      <c r="F175"/>
      <c r="G175"/>
      <c r="H175"/>
      <c r="I175"/>
      <c r="J175"/>
      <c r="K175"/>
      <c r="L175"/>
      <c r="M175"/>
      <c r="N175"/>
      <c r="O175"/>
      <c r="P175"/>
      <c r="Q175"/>
      <c r="R175"/>
    </row>
    <row r="176" spans="2:18" x14ac:dyDescent="0.25">
      <c r="B176"/>
      <c r="C176"/>
      <c r="D176"/>
      <c r="E176"/>
      <c r="F176"/>
      <c r="G176"/>
      <c r="H176"/>
      <c r="I176"/>
      <c r="J176"/>
      <c r="K176"/>
      <c r="L176"/>
      <c r="M176"/>
      <c r="N176"/>
      <c r="O176"/>
      <c r="P176"/>
      <c r="Q176"/>
      <c r="R176"/>
    </row>
    <row r="177" spans="2:18" x14ac:dyDescent="0.25">
      <c r="B177"/>
      <c r="C177"/>
      <c r="D177"/>
      <c r="E177"/>
      <c r="F177"/>
      <c r="G177"/>
      <c r="H177"/>
      <c r="I177"/>
      <c r="J177"/>
      <c r="K177"/>
      <c r="L177"/>
      <c r="M177"/>
      <c r="N177"/>
      <c r="O177"/>
      <c r="P177"/>
      <c r="Q177"/>
      <c r="R177"/>
    </row>
    <row r="178" spans="2:18" x14ac:dyDescent="0.25">
      <c r="B178"/>
      <c r="C178"/>
      <c r="D178"/>
      <c r="E178"/>
      <c r="F178"/>
      <c r="G178"/>
      <c r="H178"/>
      <c r="I178"/>
      <c r="J178"/>
      <c r="K178"/>
      <c r="L178"/>
      <c r="M178"/>
      <c r="N178"/>
      <c r="O178"/>
      <c r="P178"/>
      <c r="Q178"/>
      <c r="R178"/>
    </row>
    <row r="179" spans="2:18" x14ac:dyDescent="0.25">
      <c r="B179"/>
      <c r="C179"/>
      <c r="D179"/>
      <c r="E179"/>
      <c r="F179"/>
      <c r="G179"/>
      <c r="H179"/>
      <c r="I179"/>
      <c r="J179"/>
      <c r="K179"/>
      <c r="L179"/>
      <c r="M179"/>
      <c r="N179"/>
      <c r="O179"/>
      <c r="P179"/>
      <c r="Q179"/>
      <c r="R179"/>
    </row>
    <row r="180" spans="2:18" x14ac:dyDescent="0.25">
      <c r="B180"/>
      <c r="C180"/>
      <c r="D180"/>
      <c r="E180"/>
      <c r="F180"/>
      <c r="G180"/>
      <c r="H180"/>
      <c r="I180"/>
      <c r="J180"/>
      <c r="K180"/>
      <c r="L180"/>
      <c r="M180"/>
      <c r="N180"/>
      <c r="O180"/>
      <c r="P180"/>
      <c r="Q180"/>
      <c r="R180"/>
    </row>
    <row r="181" spans="2:18" x14ac:dyDescent="0.25">
      <c r="B181"/>
      <c r="C181"/>
      <c r="D181"/>
      <c r="E181"/>
      <c r="F181"/>
      <c r="G181"/>
      <c r="H181"/>
      <c r="I181"/>
      <c r="J181"/>
      <c r="K181"/>
      <c r="L181"/>
      <c r="M181"/>
      <c r="N181"/>
      <c r="O181"/>
      <c r="P181"/>
      <c r="Q181"/>
      <c r="R181"/>
    </row>
    <row r="182" spans="2:18" x14ac:dyDescent="0.25">
      <c r="B182"/>
      <c r="C182"/>
      <c r="D182"/>
      <c r="E182"/>
      <c r="F182"/>
      <c r="G182"/>
      <c r="H182"/>
      <c r="I182"/>
      <c r="J182"/>
      <c r="K182"/>
      <c r="L182"/>
      <c r="M182"/>
      <c r="N182"/>
      <c r="O182"/>
      <c r="P182"/>
      <c r="Q182"/>
      <c r="R182"/>
    </row>
    <row r="183" spans="2:18" x14ac:dyDescent="0.25">
      <c r="B183"/>
      <c r="C183"/>
      <c r="D183"/>
      <c r="E183"/>
      <c r="F183"/>
      <c r="G183"/>
      <c r="H183"/>
      <c r="I183"/>
      <c r="J183"/>
      <c r="K183"/>
      <c r="L183"/>
      <c r="M183"/>
      <c r="N183"/>
      <c r="O183"/>
      <c r="P183"/>
      <c r="Q183"/>
      <c r="R183"/>
    </row>
    <row r="184" spans="2:18" x14ac:dyDescent="0.25">
      <c r="B184"/>
      <c r="C184"/>
      <c r="D184"/>
      <c r="E184"/>
      <c r="F184"/>
      <c r="G184"/>
      <c r="H184"/>
      <c r="I184"/>
      <c r="J184"/>
      <c r="K184"/>
      <c r="L184"/>
      <c r="M184"/>
      <c r="N184"/>
      <c r="O184"/>
      <c r="P184"/>
      <c r="Q184"/>
      <c r="R184"/>
    </row>
    <row r="185" spans="2:18" x14ac:dyDescent="0.25">
      <c r="B185"/>
      <c r="C185"/>
      <c r="D185"/>
      <c r="E185"/>
      <c r="F185"/>
      <c r="G185"/>
      <c r="H185"/>
      <c r="I185"/>
      <c r="J185"/>
      <c r="K185"/>
      <c r="L185"/>
      <c r="M185"/>
      <c r="N185"/>
      <c r="O185"/>
      <c r="P185"/>
      <c r="Q185"/>
      <c r="R185"/>
    </row>
    <row r="186" spans="2:18" x14ac:dyDescent="0.25">
      <c r="B186"/>
      <c r="C186"/>
      <c r="D186"/>
      <c r="E186"/>
      <c r="F186"/>
      <c r="G186"/>
      <c r="H186"/>
      <c r="I186"/>
      <c r="J186"/>
      <c r="K186"/>
      <c r="L186"/>
      <c r="M186"/>
      <c r="N186"/>
      <c r="O186"/>
      <c r="P186"/>
      <c r="Q186"/>
      <c r="R186"/>
    </row>
    <row r="187" spans="2:18" x14ac:dyDescent="0.25">
      <c r="B187"/>
      <c r="C187"/>
      <c r="D187"/>
      <c r="E187"/>
      <c r="F187"/>
      <c r="G187"/>
      <c r="H187"/>
      <c r="I187"/>
      <c r="J187"/>
      <c r="K187"/>
      <c r="L187"/>
      <c r="M187"/>
      <c r="N187"/>
      <c r="O187"/>
      <c r="P187"/>
      <c r="Q187"/>
      <c r="R187"/>
    </row>
    <row r="188" spans="2:18" x14ac:dyDescent="0.25">
      <c r="B188"/>
      <c r="C188"/>
      <c r="D188"/>
      <c r="E188"/>
      <c r="F188"/>
      <c r="G188"/>
      <c r="H188"/>
      <c r="I188"/>
      <c r="J188"/>
      <c r="K188"/>
      <c r="L188"/>
      <c r="M188"/>
      <c r="N188"/>
      <c r="O188"/>
      <c r="P188"/>
      <c r="Q188"/>
      <c r="R188"/>
    </row>
    <row r="189" spans="2:18" x14ac:dyDescent="0.25">
      <c r="B189"/>
      <c r="C189"/>
      <c r="D189"/>
      <c r="E189"/>
      <c r="F189"/>
      <c r="G189"/>
      <c r="H189"/>
      <c r="I189"/>
      <c r="J189"/>
      <c r="K189"/>
      <c r="L189"/>
      <c r="M189"/>
      <c r="N189"/>
      <c r="O189"/>
      <c r="P189"/>
      <c r="Q189"/>
      <c r="R189"/>
    </row>
    <row r="190" spans="2:18" x14ac:dyDescent="0.25">
      <c r="B190"/>
      <c r="C190"/>
      <c r="D190"/>
      <c r="E190"/>
      <c r="F190"/>
      <c r="G190"/>
      <c r="H190"/>
      <c r="I190"/>
      <c r="J190"/>
      <c r="K190"/>
      <c r="L190"/>
      <c r="M190"/>
      <c r="N190"/>
      <c r="O190"/>
      <c r="P190"/>
      <c r="Q190"/>
      <c r="R190"/>
    </row>
    <row r="191" spans="2:18" x14ac:dyDescent="0.25">
      <c r="B191"/>
      <c r="C191"/>
      <c r="D191"/>
      <c r="E191"/>
      <c r="F191"/>
      <c r="G191"/>
      <c r="H191"/>
      <c r="I191"/>
      <c r="J191"/>
      <c r="K191"/>
      <c r="L191"/>
      <c r="M191"/>
      <c r="N191"/>
      <c r="O191"/>
      <c r="P191"/>
      <c r="Q191"/>
      <c r="R191"/>
    </row>
    <row r="192" spans="2:18" x14ac:dyDescent="0.25">
      <c r="B192"/>
      <c r="C192"/>
      <c r="D192"/>
      <c r="E192"/>
      <c r="F192"/>
      <c r="G192"/>
      <c r="H192"/>
      <c r="I192"/>
      <c r="J192"/>
      <c r="K192"/>
      <c r="L192"/>
      <c r="M192"/>
      <c r="N192"/>
      <c r="O192"/>
      <c r="P192"/>
      <c r="Q192"/>
      <c r="R192"/>
    </row>
    <row r="193" spans="2:18" x14ac:dyDescent="0.25">
      <c r="B193"/>
      <c r="C193"/>
      <c r="D193"/>
      <c r="E193"/>
      <c r="F193"/>
      <c r="G193"/>
      <c r="H193"/>
      <c r="I193"/>
      <c r="J193"/>
      <c r="K193"/>
      <c r="L193"/>
      <c r="M193"/>
      <c r="N193"/>
      <c r="O193"/>
      <c r="P193"/>
      <c r="Q193"/>
      <c r="R193"/>
    </row>
    <row r="194" spans="2:18" x14ac:dyDescent="0.25">
      <c r="B194"/>
      <c r="C194"/>
      <c r="D194"/>
      <c r="E194"/>
      <c r="F194"/>
      <c r="G194"/>
      <c r="H194"/>
      <c r="I194"/>
      <c r="J194"/>
      <c r="K194"/>
      <c r="L194"/>
      <c r="M194"/>
      <c r="N194"/>
      <c r="O194"/>
      <c r="P194"/>
      <c r="Q194"/>
      <c r="R194"/>
    </row>
    <row r="195" spans="2:18" x14ac:dyDescent="0.25">
      <c r="B195"/>
      <c r="C195"/>
      <c r="D195"/>
      <c r="E195"/>
      <c r="F195"/>
      <c r="G195"/>
      <c r="H195"/>
      <c r="I195"/>
      <c r="J195"/>
      <c r="K195"/>
      <c r="L195"/>
      <c r="M195"/>
      <c r="N195"/>
      <c r="O195"/>
      <c r="P195"/>
      <c r="Q195"/>
      <c r="R195"/>
    </row>
    <row r="196" spans="2:18" x14ac:dyDescent="0.25">
      <c r="B196"/>
      <c r="C196"/>
      <c r="D196"/>
      <c r="E196"/>
      <c r="F196"/>
      <c r="G196"/>
      <c r="H196"/>
      <c r="I196"/>
      <c r="J196"/>
      <c r="K196"/>
      <c r="L196"/>
      <c r="M196"/>
      <c r="N196"/>
      <c r="O196"/>
      <c r="P196"/>
      <c r="Q196"/>
      <c r="R196"/>
    </row>
    <row r="197" spans="2:18" x14ac:dyDescent="0.25">
      <c r="B197"/>
      <c r="C197"/>
      <c r="D197"/>
      <c r="E197"/>
      <c r="F197"/>
      <c r="G197"/>
      <c r="H197"/>
      <c r="I197"/>
      <c r="J197"/>
      <c r="K197"/>
      <c r="L197"/>
      <c r="M197"/>
      <c r="N197"/>
      <c r="O197"/>
      <c r="P197"/>
      <c r="Q197"/>
      <c r="R197"/>
    </row>
    <row r="198" spans="2:18" x14ac:dyDescent="0.25">
      <c r="B198"/>
      <c r="C198"/>
      <c r="D198"/>
      <c r="E198"/>
      <c r="F198"/>
      <c r="G198"/>
      <c r="H198"/>
      <c r="I198"/>
      <c r="J198"/>
      <c r="K198"/>
      <c r="L198"/>
      <c r="M198"/>
      <c r="N198"/>
      <c r="O198"/>
      <c r="P198"/>
      <c r="Q198"/>
      <c r="R198"/>
    </row>
    <row r="199" spans="2:18" x14ac:dyDescent="0.25">
      <c r="B199"/>
      <c r="C199"/>
      <c r="D199"/>
      <c r="E199"/>
      <c r="F199"/>
      <c r="G199"/>
      <c r="H199"/>
      <c r="I199"/>
      <c r="J199"/>
      <c r="K199"/>
      <c r="L199"/>
      <c r="M199"/>
      <c r="N199"/>
      <c r="O199"/>
      <c r="P199"/>
      <c r="Q199"/>
      <c r="R199"/>
    </row>
    <row r="200" spans="2:18" x14ac:dyDescent="0.25">
      <c r="B200"/>
      <c r="C200"/>
      <c r="D200"/>
      <c r="E200"/>
      <c r="F200"/>
      <c r="G200"/>
      <c r="H200"/>
      <c r="I200"/>
      <c r="J200"/>
      <c r="K200"/>
      <c r="L200"/>
      <c r="M200"/>
      <c r="N200"/>
      <c r="O200"/>
      <c r="P200"/>
      <c r="Q200"/>
      <c r="R200"/>
    </row>
    <row r="201" spans="2:18" x14ac:dyDescent="0.25">
      <c r="B201"/>
      <c r="C201"/>
      <c r="D201"/>
      <c r="E201"/>
      <c r="F201"/>
      <c r="G201"/>
      <c r="H201"/>
      <c r="I201"/>
      <c r="J201"/>
      <c r="K201"/>
      <c r="L201"/>
      <c r="M201"/>
      <c r="N201"/>
      <c r="O201"/>
      <c r="P201"/>
      <c r="Q201"/>
      <c r="R201"/>
    </row>
    <row r="202" spans="2:18" x14ac:dyDescent="0.25">
      <c r="B202"/>
      <c r="C202"/>
      <c r="D202"/>
      <c r="E202"/>
      <c r="F202"/>
      <c r="G202"/>
      <c r="H202"/>
      <c r="I202"/>
      <c r="J202"/>
      <c r="K202"/>
      <c r="L202"/>
      <c r="M202"/>
      <c r="N202"/>
      <c r="O202"/>
      <c r="P202"/>
      <c r="Q202"/>
      <c r="R202"/>
    </row>
    <row r="203" spans="2:18" x14ac:dyDescent="0.25">
      <c r="B203"/>
      <c r="C203"/>
      <c r="D203"/>
      <c r="E203"/>
      <c r="F203"/>
      <c r="G203"/>
      <c r="H203"/>
      <c r="I203"/>
      <c r="J203"/>
      <c r="K203"/>
      <c r="L203"/>
      <c r="M203"/>
      <c r="N203"/>
      <c r="O203"/>
      <c r="P203"/>
      <c r="Q203"/>
      <c r="R203"/>
    </row>
    <row r="204" spans="2:18" x14ac:dyDescent="0.25">
      <c r="B204"/>
      <c r="C204"/>
      <c r="D204"/>
      <c r="E204"/>
      <c r="F204"/>
      <c r="G204"/>
      <c r="H204"/>
      <c r="I204"/>
      <c r="J204"/>
      <c r="K204"/>
      <c r="L204"/>
      <c r="M204"/>
      <c r="N204"/>
      <c r="O204"/>
      <c r="P204"/>
      <c r="Q204"/>
      <c r="R204"/>
    </row>
    <row r="205" spans="2:18" x14ac:dyDescent="0.25">
      <c r="B205"/>
      <c r="C205"/>
      <c r="D205"/>
      <c r="E205"/>
      <c r="F205"/>
      <c r="G205"/>
      <c r="H205"/>
      <c r="I205"/>
      <c r="J205"/>
      <c r="K205"/>
      <c r="L205"/>
      <c r="M205"/>
      <c r="N205"/>
      <c r="O205"/>
      <c r="P205"/>
      <c r="Q205"/>
      <c r="R205"/>
    </row>
    <row r="206" spans="2:18" x14ac:dyDescent="0.25">
      <c r="B206"/>
      <c r="C206"/>
      <c r="D206"/>
      <c r="E206"/>
      <c r="F206"/>
      <c r="G206"/>
      <c r="H206"/>
      <c r="I206"/>
      <c r="J206"/>
      <c r="K206"/>
      <c r="L206"/>
      <c r="M206"/>
      <c r="N206"/>
      <c r="O206"/>
      <c r="P206"/>
      <c r="Q206"/>
      <c r="R206"/>
    </row>
    <row r="207" spans="2:18" x14ac:dyDescent="0.25">
      <c r="B207"/>
      <c r="C207"/>
      <c r="D207"/>
      <c r="E207"/>
      <c r="F207"/>
      <c r="G207"/>
      <c r="H207"/>
      <c r="I207"/>
      <c r="J207"/>
      <c r="K207"/>
      <c r="L207"/>
      <c r="M207"/>
      <c r="N207"/>
      <c r="O207"/>
      <c r="P207"/>
      <c r="Q207"/>
      <c r="R207"/>
    </row>
    <row r="208" spans="2:18" x14ac:dyDescent="0.25">
      <c r="B208"/>
      <c r="C208"/>
      <c r="D208"/>
      <c r="E208"/>
      <c r="F208"/>
      <c r="G208"/>
      <c r="H208"/>
      <c r="I208"/>
      <c r="J208"/>
      <c r="K208"/>
      <c r="L208"/>
      <c r="M208"/>
      <c r="N208"/>
      <c r="O208"/>
      <c r="P208"/>
      <c r="Q208"/>
      <c r="R208"/>
    </row>
    <row r="209" spans="2:18" x14ac:dyDescent="0.25">
      <c r="B209"/>
      <c r="C209"/>
      <c r="D209"/>
      <c r="E209"/>
      <c r="F209"/>
      <c r="G209"/>
      <c r="H209"/>
      <c r="I209"/>
      <c r="J209"/>
      <c r="K209"/>
      <c r="L209"/>
      <c r="M209"/>
      <c r="N209"/>
      <c r="O209"/>
      <c r="P209"/>
      <c r="Q209"/>
      <c r="R209"/>
    </row>
    <row r="210" spans="2:18" x14ac:dyDescent="0.25">
      <c r="B210"/>
      <c r="C210"/>
      <c r="D210"/>
      <c r="E210"/>
      <c r="F210"/>
      <c r="G210"/>
      <c r="H210"/>
      <c r="I210"/>
      <c r="J210"/>
      <c r="K210"/>
      <c r="L210"/>
      <c r="M210"/>
      <c r="N210"/>
      <c r="O210"/>
      <c r="P210"/>
      <c r="Q210"/>
      <c r="R210"/>
    </row>
    <row r="211" spans="2:18" x14ac:dyDescent="0.25">
      <c r="B211"/>
      <c r="C211"/>
      <c r="D211"/>
      <c r="E211"/>
      <c r="F211"/>
      <c r="G211"/>
      <c r="H211"/>
      <c r="I211"/>
      <c r="J211"/>
      <c r="K211"/>
      <c r="L211"/>
      <c r="M211"/>
      <c r="N211"/>
      <c r="O211"/>
      <c r="P211"/>
      <c r="Q211"/>
      <c r="R211"/>
    </row>
    <row r="212" spans="2:18" x14ac:dyDescent="0.25">
      <c r="B212"/>
      <c r="C212"/>
      <c r="D212"/>
      <c r="E212"/>
      <c r="F212"/>
      <c r="G212"/>
      <c r="H212"/>
      <c r="I212"/>
      <c r="J212"/>
      <c r="K212"/>
      <c r="L212"/>
      <c r="M212"/>
      <c r="N212"/>
      <c r="O212"/>
      <c r="P212"/>
      <c r="Q212"/>
      <c r="R212"/>
    </row>
    <row r="213" spans="2:18" x14ac:dyDescent="0.25">
      <c r="B213"/>
      <c r="C213"/>
      <c r="D213"/>
      <c r="E213"/>
      <c r="F213"/>
      <c r="G213"/>
      <c r="H213"/>
      <c r="I213"/>
      <c r="J213"/>
      <c r="K213"/>
      <c r="L213"/>
      <c r="M213"/>
      <c r="N213"/>
      <c r="O213"/>
      <c r="P213"/>
      <c r="Q213"/>
      <c r="R213"/>
    </row>
    <row r="214" spans="2:18" x14ac:dyDescent="0.25">
      <c r="B214"/>
      <c r="C214"/>
      <c r="D214"/>
      <c r="E214"/>
      <c r="F214"/>
      <c r="G214"/>
      <c r="H214"/>
      <c r="I214"/>
      <c r="J214"/>
      <c r="K214"/>
      <c r="L214"/>
      <c r="M214"/>
      <c r="N214"/>
      <c r="O214"/>
      <c r="P214"/>
      <c r="Q214"/>
      <c r="R214"/>
    </row>
    <row r="215" spans="2:18" x14ac:dyDescent="0.25">
      <c r="B215"/>
      <c r="C215"/>
      <c r="D215"/>
      <c r="E215"/>
      <c r="F215"/>
      <c r="G215"/>
      <c r="H215"/>
      <c r="I215"/>
      <c r="J215"/>
      <c r="K215"/>
      <c r="L215"/>
      <c r="M215"/>
      <c r="N215"/>
      <c r="O215"/>
      <c r="P215"/>
      <c r="Q215"/>
      <c r="R215"/>
    </row>
    <row r="216" spans="2:18" x14ac:dyDescent="0.25">
      <c r="B216"/>
      <c r="C216"/>
      <c r="D216"/>
      <c r="E216"/>
      <c r="F216"/>
      <c r="G216"/>
      <c r="H216"/>
      <c r="I216"/>
      <c r="J216"/>
      <c r="K216"/>
      <c r="L216"/>
      <c r="M216"/>
      <c r="N216"/>
      <c r="O216"/>
      <c r="P216"/>
      <c r="Q216"/>
      <c r="R216"/>
    </row>
    <row r="217" spans="2:18" x14ac:dyDescent="0.25">
      <c r="B217"/>
      <c r="C217"/>
      <c r="D217"/>
      <c r="E217"/>
      <c r="F217"/>
      <c r="G217"/>
      <c r="H217"/>
      <c r="I217"/>
      <c r="J217"/>
      <c r="K217"/>
      <c r="L217"/>
      <c r="M217"/>
      <c r="N217"/>
      <c r="O217"/>
      <c r="P217"/>
      <c r="Q217"/>
      <c r="R217"/>
    </row>
    <row r="218" spans="2:18" x14ac:dyDescent="0.25">
      <c r="B218"/>
      <c r="C218"/>
      <c r="D218"/>
      <c r="E218"/>
      <c r="F218"/>
      <c r="G218"/>
      <c r="H218"/>
      <c r="I218"/>
      <c r="J218"/>
      <c r="K218"/>
      <c r="L218"/>
      <c r="M218"/>
      <c r="N218"/>
      <c r="O218"/>
      <c r="P218"/>
      <c r="Q218"/>
      <c r="R218"/>
    </row>
    <row r="219" spans="2:18" x14ac:dyDescent="0.25">
      <c r="B219"/>
      <c r="C219"/>
      <c r="D219"/>
      <c r="E219"/>
      <c r="F219"/>
      <c r="G219"/>
      <c r="H219"/>
      <c r="I219"/>
      <c r="J219"/>
      <c r="K219"/>
      <c r="L219"/>
      <c r="M219"/>
      <c r="N219"/>
      <c r="O219"/>
      <c r="P219"/>
      <c r="Q219"/>
      <c r="R219"/>
    </row>
    <row r="220" spans="2:18" x14ac:dyDescent="0.25">
      <c r="B220"/>
      <c r="C220"/>
      <c r="D220"/>
      <c r="E220"/>
      <c r="F220"/>
      <c r="G220"/>
      <c r="H220"/>
      <c r="I220"/>
      <c r="J220"/>
      <c r="K220"/>
      <c r="L220"/>
      <c r="M220"/>
      <c r="N220"/>
      <c r="O220"/>
      <c r="P220"/>
      <c r="Q220"/>
      <c r="R220"/>
    </row>
    <row r="221" spans="2:18" x14ac:dyDescent="0.25">
      <c r="B221"/>
      <c r="C221"/>
      <c r="D221"/>
      <c r="E221"/>
      <c r="F221"/>
      <c r="G221"/>
      <c r="H221"/>
      <c r="I221"/>
      <c r="J221"/>
      <c r="K221"/>
      <c r="L221"/>
      <c r="M221"/>
      <c r="N221"/>
      <c r="O221"/>
      <c r="P221"/>
      <c r="Q221"/>
      <c r="R221"/>
    </row>
    <row r="222" spans="2:18" x14ac:dyDescent="0.25">
      <c r="B222"/>
      <c r="C222"/>
      <c r="D222"/>
      <c r="E222"/>
      <c r="F222"/>
      <c r="G222"/>
      <c r="H222"/>
      <c r="I222"/>
      <c r="J222"/>
      <c r="K222"/>
      <c r="L222"/>
      <c r="M222"/>
      <c r="N222"/>
      <c r="O222"/>
      <c r="P222"/>
      <c r="Q222"/>
      <c r="R222"/>
    </row>
    <row r="223" spans="2:18" x14ac:dyDescent="0.25">
      <c r="B223"/>
      <c r="C223"/>
      <c r="D223"/>
      <c r="E223"/>
      <c r="F223"/>
      <c r="G223"/>
      <c r="H223"/>
      <c r="I223"/>
      <c r="J223"/>
      <c r="K223"/>
      <c r="L223"/>
      <c r="M223"/>
      <c r="N223"/>
      <c r="O223"/>
      <c r="P223"/>
      <c r="Q223"/>
      <c r="R223"/>
    </row>
    <row r="224" spans="2:18" x14ac:dyDescent="0.25">
      <c r="B224"/>
      <c r="C224"/>
      <c r="D224"/>
      <c r="E224"/>
      <c r="F224"/>
      <c r="G224"/>
      <c r="H224"/>
      <c r="I224"/>
      <c r="J224"/>
      <c r="K224"/>
      <c r="L224"/>
      <c r="M224"/>
      <c r="N224"/>
      <c r="O224"/>
      <c r="P224"/>
      <c r="Q224"/>
      <c r="R224"/>
    </row>
    <row r="225" spans="2:18" x14ac:dyDescent="0.25">
      <c r="B225"/>
      <c r="C225"/>
      <c r="D225"/>
      <c r="E225"/>
      <c r="F225"/>
      <c r="G225"/>
      <c r="H225"/>
      <c r="I225"/>
      <c r="J225"/>
      <c r="K225"/>
      <c r="L225"/>
      <c r="M225"/>
      <c r="N225"/>
      <c r="O225"/>
      <c r="P225"/>
      <c r="Q225"/>
      <c r="R225"/>
    </row>
    <row r="226" spans="2:18" x14ac:dyDescent="0.25">
      <c r="B226"/>
      <c r="C226"/>
      <c r="D226"/>
      <c r="E226"/>
      <c r="F226"/>
      <c r="G226"/>
      <c r="H226"/>
      <c r="I226"/>
      <c r="J226"/>
      <c r="K226"/>
      <c r="L226"/>
      <c r="M226"/>
      <c r="N226"/>
      <c r="O226"/>
      <c r="P226"/>
      <c r="Q226"/>
      <c r="R226"/>
    </row>
    <row r="227" spans="2:18" x14ac:dyDescent="0.25">
      <c r="B227"/>
      <c r="C227"/>
      <c r="D227"/>
      <c r="E227"/>
      <c r="F227"/>
      <c r="G227"/>
      <c r="H227"/>
      <c r="I227"/>
      <c r="J227"/>
      <c r="K227"/>
      <c r="L227"/>
      <c r="M227"/>
      <c r="N227"/>
      <c r="O227"/>
      <c r="P227"/>
      <c r="Q227"/>
      <c r="R227"/>
    </row>
    <row r="228" spans="2:18" x14ac:dyDescent="0.25">
      <c r="B228"/>
      <c r="C228"/>
      <c r="D228"/>
      <c r="E228"/>
      <c r="F228"/>
      <c r="G228"/>
      <c r="H228"/>
      <c r="I228"/>
      <c r="J228"/>
      <c r="K228"/>
      <c r="L228"/>
      <c r="M228"/>
      <c r="N228"/>
      <c r="O228"/>
      <c r="P228"/>
      <c r="Q228"/>
      <c r="R228"/>
    </row>
    <row r="229" spans="2:18" x14ac:dyDescent="0.25">
      <c r="B229"/>
      <c r="C229"/>
      <c r="D229"/>
      <c r="E229"/>
      <c r="F229"/>
      <c r="G229"/>
      <c r="H229"/>
      <c r="I229"/>
      <c r="J229"/>
      <c r="K229"/>
      <c r="L229"/>
      <c r="M229"/>
      <c r="N229"/>
      <c r="O229"/>
      <c r="P229"/>
      <c r="Q229"/>
      <c r="R229"/>
    </row>
    <row r="230" spans="2:18" x14ac:dyDescent="0.25">
      <c r="B230"/>
      <c r="C230"/>
      <c r="D230"/>
      <c r="E230"/>
      <c r="F230"/>
      <c r="G230"/>
      <c r="H230"/>
      <c r="I230"/>
      <c r="J230"/>
      <c r="K230"/>
      <c r="L230"/>
      <c r="M230"/>
      <c r="N230"/>
      <c r="O230"/>
      <c r="P230"/>
      <c r="Q230"/>
      <c r="R230"/>
    </row>
    <row r="231" spans="2:18" x14ac:dyDescent="0.25">
      <c r="B231"/>
      <c r="C231"/>
      <c r="D231"/>
      <c r="E231"/>
      <c r="F231"/>
      <c r="G231"/>
      <c r="H231"/>
      <c r="I231"/>
      <c r="J231"/>
      <c r="K231"/>
      <c r="L231"/>
      <c r="M231"/>
      <c r="N231"/>
      <c r="O231"/>
      <c r="P231"/>
      <c r="Q231"/>
      <c r="R231"/>
    </row>
    <row r="232" spans="2:18" x14ac:dyDescent="0.25">
      <c r="B232"/>
      <c r="C232"/>
      <c r="D232"/>
      <c r="E232"/>
      <c r="F232"/>
      <c r="G232"/>
      <c r="H232"/>
      <c r="I232"/>
      <c r="J232"/>
      <c r="K232"/>
      <c r="L232"/>
      <c r="M232"/>
      <c r="N232"/>
      <c r="O232"/>
      <c r="P232"/>
      <c r="Q232"/>
      <c r="R232"/>
    </row>
    <row r="233" spans="2:18" x14ac:dyDescent="0.25">
      <c r="B233"/>
      <c r="C233"/>
      <c r="D233"/>
      <c r="E233"/>
      <c r="F233"/>
      <c r="G233"/>
      <c r="H233"/>
      <c r="I233"/>
      <c r="J233"/>
      <c r="K233"/>
      <c r="L233"/>
      <c r="M233"/>
      <c r="N233"/>
      <c r="O233"/>
      <c r="P233"/>
      <c r="Q233"/>
      <c r="R233"/>
    </row>
    <row r="234" spans="2:18" x14ac:dyDescent="0.25">
      <c r="B234"/>
      <c r="C234"/>
      <c r="D234"/>
      <c r="E234"/>
      <c r="F234"/>
      <c r="G234"/>
      <c r="H234"/>
      <c r="I234"/>
      <c r="J234"/>
      <c r="K234"/>
      <c r="L234"/>
      <c r="M234"/>
      <c r="N234"/>
      <c r="O234"/>
      <c r="P234"/>
      <c r="Q234"/>
      <c r="R234"/>
    </row>
    <row r="235" spans="2:18" x14ac:dyDescent="0.25">
      <c r="B235"/>
      <c r="C235"/>
      <c r="D235"/>
      <c r="E235"/>
      <c r="F235"/>
      <c r="G235"/>
      <c r="H235"/>
      <c r="I235"/>
      <c r="J235"/>
      <c r="K235"/>
      <c r="L235"/>
      <c r="M235"/>
      <c r="N235"/>
      <c r="O235"/>
      <c r="P235"/>
      <c r="Q235"/>
      <c r="R235"/>
    </row>
    <row r="236" spans="2:18" x14ac:dyDescent="0.25">
      <c r="B236"/>
      <c r="C236"/>
      <c r="D236"/>
      <c r="E236"/>
      <c r="F236"/>
      <c r="G236"/>
      <c r="H236"/>
      <c r="I236"/>
      <c r="J236"/>
      <c r="K236"/>
      <c r="L236"/>
      <c r="M236"/>
      <c r="N236"/>
      <c r="O236"/>
      <c r="P236"/>
      <c r="Q236"/>
      <c r="R236"/>
    </row>
    <row r="237" spans="2:18" x14ac:dyDescent="0.25">
      <c r="B237"/>
      <c r="C237"/>
      <c r="D237"/>
      <c r="E237"/>
      <c r="F237"/>
      <c r="G237"/>
      <c r="H237"/>
      <c r="I237"/>
      <c r="J237"/>
      <c r="K237"/>
      <c r="L237"/>
      <c r="M237"/>
      <c r="N237"/>
      <c r="O237"/>
      <c r="P237"/>
      <c r="Q237"/>
      <c r="R237"/>
    </row>
    <row r="238" spans="2:18" x14ac:dyDescent="0.25">
      <c r="B238"/>
      <c r="C238"/>
      <c r="D238"/>
      <c r="E238"/>
      <c r="F238"/>
      <c r="G238"/>
      <c r="H238"/>
      <c r="I238"/>
      <c r="J238"/>
      <c r="K238"/>
      <c r="L238"/>
      <c r="M238"/>
      <c r="N238"/>
      <c r="O238"/>
      <c r="P238"/>
      <c r="Q238"/>
      <c r="R238"/>
    </row>
    <row r="239" spans="2:18" x14ac:dyDescent="0.25">
      <c r="B239"/>
      <c r="C239"/>
      <c r="D239"/>
      <c r="E239"/>
      <c r="F239"/>
      <c r="G239"/>
      <c r="H239"/>
      <c r="I239"/>
      <c r="J239"/>
      <c r="K239"/>
      <c r="L239"/>
      <c r="M239"/>
      <c r="N239"/>
      <c r="O239"/>
      <c r="P239"/>
      <c r="Q239"/>
      <c r="R239"/>
    </row>
    <row r="240" spans="2:18" x14ac:dyDescent="0.25">
      <c r="B240"/>
      <c r="C240"/>
      <c r="D240"/>
      <c r="E240"/>
      <c r="F240"/>
      <c r="G240"/>
      <c r="H240"/>
      <c r="I240"/>
      <c r="J240"/>
      <c r="K240"/>
      <c r="L240"/>
      <c r="M240"/>
      <c r="N240"/>
      <c r="O240"/>
      <c r="P240"/>
      <c r="Q240"/>
      <c r="R240"/>
    </row>
    <row r="241" spans="2:18" x14ac:dyDescent="0.25">
      <c r="B241"/>
      <c r="C241"/>
      <c r="D241"/>
      <c r="E241"/>
      <c r="F241"/>
      <c r="G241"/>
      <c r="H241"/>
      <c r="I241"/>
      <c r="J241"/>
      <c r="K241"/>
      <c r="L241"/>
      <c r="M241"/>
      <c r="N241"/>
      <c r="O241"/>
      <c r="P241"/>
      <c r="Q241"/>
      <c r="R241"/>
    </row>
    <row r="242" spans="2:18" x14ac:dyDescent="0.25">
      <c r="B242"/>
      <c r="C242"/>
      <c r="D242"/>
      <c r="E242"/>
      <c r="F242"/>
      <c r="G242"/>
      <c r="H242"/>
      <c r="I242"/>
      <c r="J242"/>
      <c r="K242"/>
      <c r="L242"/>
      <c r="M242"/>
      <c r="N242"/>
      <c r="O242"/>
      <c r="P242"/>
      <c r="Q242"/>
      <c r="R242"/>
    </row>
    <row r="243" spans="2:18" x14ac:dyDescent="0.25">
      <c r="B243"/>
      <c r="C243"/>
      <c r="D243"/>
      <c r="E243"/>
      <c r="F243"/>
      <c r="G243"/>
      <c r="H243"/>
      <c r="I243"/>
      <c r="J243"/>
      <c r="K243"/>
      <c r="L243"/>
      <c r="M243"/>
      <c r="N243"/>
      <c r="O243"/>
      <c r="P243"/>
      <c r="Q243"/>
      <c r="R243"/>
    </row>
    <row r="244" spans="2:18" x14ac:dyDescent="0.25">
      <c r="B244"/>
      <c r="C244"/>
      <c r="D244"/>
      <c r="E244"/>
      <c r="F244"/>
      <c r="G244"/>
      <c r="H244"/>
      <c r="I244"/>
      <c r="J244"/>
      <c r="K244"/>
      <c r="L244"/>
      <c r="M244"/>
      <c r="N244"/>
      <c r="O244"/>
      <c r="P244"/>
      <c r="Q244"/>
      <c r="R244"/>
    </row>
    <row r="245" spans="2:18" x14ac:dyDescent="0.25">
      <c r="B245"/>
      <c r="C245"/>
      <c r="D245"/>
      <c r="E245"/>
      <c r="F245"/>
      <c r="G245"/>
      <c r="H245"/>
      <c r="I245"/>
      <c r="J245"/>
      <c r="K245"/>
      <c r="L245"/>
      <c r="M245"/>
      <c r="N245"/>
      <c r="O245"/>
      <c r="P245"/>
      <c r="Q245"/>
      <c r="R245"/>
    </row>
    <row r="246" spans="2:18" x14ac:dyDescent="0.25">
      <c r="B246"/>
      <c r="C246"/>
      <c r="D246"/>
      <c r="E246"/>
      <c r="F246"/>
      <c r="G246"/>
      <c r="H246"/>
      <c r="I246"/>
      <c r="J246"/>
      <c r="K246"/>
      <c r="L246"/>
      <c r="M246"/>
      <c r="N246"/>
      <c r="O246"/>
      <c r="P246"/>
      <c r="Q246"/>
      <c r="R246"/>
    </row>
    <row r="247" spans="2:18" x14ac:dyDescent="0.25">
      <c r="B247"/>
      <c r="C247"/>
      <c r="D247"/>
      <c r="E247"/>
      <c r="F247"/>
      <c r="G247"/>
      <c r="H247"/>
      <c r="I247"/>
      <c r="J247"/>
      <c r="K247"/>
      <c r="L247"/>
      <c r="M247"/>
      <c r="N247"/>
      <c r="O247"/>
      <c r="P247"/>
      <c r="Q247"/>
      <c r="R247"/>
    </row>
    <row r="248" spans="2:18" x14ac:dyDescent="0.25">
      <c r="B248"/>
      <c r="C248"/>
      <c r="D248"/>
      <c r="E248"/>
      <c r="F248"/>
      <c r="G248"/>
      <c r="H248"/>
      <c r="I248"/>
      <c r="J248"/>
      <c r="K248"/>
      <c r="L248"/>
      <c r="M248"/>
      <c r="N248"/>
      <c r="O248"/>
      <c r="P248"/>
      <c r="Q248"/>
      <c r="R248"/>
    </row>
    <row r="249" spans="2:18" x14ac:dyDescent="0.25">
      <c r="B249"/>
      <c r="C249"/>
      <c r="D249"/>
      <c r="E249"/>
      <c r="F249"/>
      <c r="G249"/>
      <c r="H249"/>
      <c r="I249"/>
      <c r="J249"/>
      <c r="K249"/>
      <c r="L249"/>
      <c r="M249"/>
      <c r="N249"/>
      <c r="O249"/>
      <c r="P249"/>
      <c r="Q249"/>
      <c r="R249"/>
    </row>
    <row r="250" spans="2:18" x14ac:dyDescent="0.25">
      <c r="B250"/>
      <c r="C250"/>
      <c r="D250"/>
      <c r="E250"/>
      <c r="F250"/>
      <c r="G250"/>
      <c r="H250"/>
      <c r="I250"/>
      <c r="J250"/>
      <c r="K250"/>
      <c r="L250"/>
      <c r="M250"/>
      <c r="N250"/>
      <c r="O250"/>
      <c r="P250"/>
      <c r="Q250"/>
      <c r="R250"/>
    </row>
    <row r="251" spans="2:18" x14ac:dyDescent="0.25">
      <c r="B251"/>
      <c r="C251"/>
      <c r="D251"/>
      <c r="E251"/>
      <c r="F251"/>
      <c r="G251"/>
      <c r="H251"/>
      <c r="I251"/>
      <c r="J251"/>
      <c r="K251"/>
      <c r="L251"/>
      <c r="M251"/>
      <c r="N251"/>
      <c r="O251"/>
      <c r="P251"/>
      <c r="Q251"/>
      <c r="R251"/>
    </row>
    <row r="252" spans="2:18" x14ac:dyDescent="0.25">
      <c r="B252"/>
      <c r="C252"/>
      <c r="D252"/>
      <c r="E252"/>
      <c r="F252"/>
      <c r="G252"/>
      <c r="H252"/>
      <c r="I252"/>
      <c r="J252"/>
      <c r="K252"/>
      <c r="L252"/>
      <c r="M252"/>
      <c r="N252"/>
      <c r="O252"/>
      <c r="P252"/>
      <c r="Q252"/>
      <c r="R252"/>
    </row>
    <row r="253" spans="2:18" x14ac:dyDescent="0.25">
      <c r="B253"/>
      <c r="C253"/>
      <c r="D253"/>
      <c r="E253"/>
      <c r="F253"/>
      <c r="G253"/>
      <c r="H253"/>
      <c r="I253"/>
      <c r="J253"/>
      <c r="K253"/>
      <c r="L253"/>
      <c r="M253"/>
      <c r="N253"/>
      <c r="O253"/>
      <c r="P253"/>
      <c r="Q253"/>
      <c r="R253"/>
    </row>
    <row r="254" spans="2:18" x14ac:dyDescent="0.25">
      <c r="B254"/>
      <c r="C254"/>
      <c r="D254"/>
      <c r="E254"/>
      <c r="F254"/>
      <c r="G254"/>
      <c r="H254"/>
      <c r="I254"/>
      <c r="J254"/>
      <c r="K254"/>
      <c r="L254"/>
      <c r="M254"/>
      <c r="N254"/>
      <c r="O254"/>
      <c r="P254"/>
      <c r="Q254"/>
      <c r="R254"/>
    </row>
    <row r="255" spans="2:18" x14ac:dyDescent="0.25">
      <c r="B255"/>
      <c r="C255"/>
      <c r="D255"/>
      <c r="E255"/>
      <c r="F255"/>
      <c r="G255"/>
      <c r="H255"/>
      <c r="I255"/>
      <c r="J255"/>
      <c r="K255"/>
      <c r="L255"/>
      <c r="M255"/>
      <c r="N255"/>
      <c r="O255"/>
      <c r="P255"/>
      <c r="Q255"/>
      <c r="R255"/>
    </row>
    <row r="256" spans="2:18" x14ac:dyDescent="0.25">
      <c r="B256"/>
      <c r="C256"/>
      <c r="D256"/>
      <c r="E256"/>
      <c r="F256"/>
      <c r="G256"/>
      <c r="H256"/>
      <c r="I256"/>
      <c r="J256"/>
      <c r="K256"/>
      <c r="L256"/>
      <c r="M256"/>
      <c r="N256"/>
      <c r="O256"/>
      <c r="P256"/>
      <c r="Q256"/>
      <c r="R256"/>
    </row>
    <row r="257" spans="2:18" x14ac:dyDescent="0.25">
      <c r="B257"/>
      <c r="C257"/>
      <c r="D257"/>
      <c r="E257"/>
      <c r="F257"/>
      <c r="G257"/>
      <c r="H257"/>
      <c r="I257"/>
      <c r="J257"/>
      <c r="K257"/>
      <c r="L257"/>
      <c r="M257"/>
      <c r="N257"/>
      <c r="O257"/>
      <c r="P257"/>
      <c r="Q257"/>
      <c r="R257"/>
    </row>
    <row r="258" spans="2:18" x14ac:dyDescent="0.25">
      <c r="B258"/>
      <c r="C258"/>
      <c r="D258"/>
      <c r="E258"/>
      <c r="F258"/>
      <c r="G258"/>
      <c r="H258"/>
      <c r="I258"/>
      <c r="J258"/>
      <c r="K258"/>
      <c r="L258"/>
      <c r="M258"/>
      <c r="N258"/>
      <c r="O258"/>
      <c r="P258"/>
      <c r="Q258"/>
      <c r="R258"/>
    </row>
    <row r="259" spans="2:18" x14ac:dyDescent="0.25">
      <c r="B259"/>
      <c r="C259"/>
      <c r="D259"/>
      <c r="E259"/>
      <c r="F259"/>
      <c r="G259"/>
      <c r="H259"/>
      <c r="I259"/>
      <c r="J259"/>
      <c r="K259"/>
      <c r="L259"/>
      <c r="M259"/>
      <c r="N259"/>
      <c r="O259"/>
      <c r="P259"/>
      <c r="Q259"/>
      <c r="R259"/>
    </row>
    <row r="260" spans="2:18" x14ac:dyDescent="0.25">
      <c r="B260"/>
      <c r="C260"/>
      <c r="D260"/>
      <c r="E260"/>
      <c r="F260"/>
      <c r="G260"/>
      <c r="H260"/>
      <c r="I260"/>
      <c r="J260"/>
      <c r="K260"/>
      <c r="L260"/>
      <c r="M260"/>
      <c r="N260"/>
      <c r="O260"/>
      <c r="P260"/>
      <c r="Q260"/>
      <c r="R260"/>
    </row>
    <row r="261" spans="2:18" x14ac:dyDescent="0.25">
      <c r="B261"/>
      <c r="C261"/>
      <c r="D261"/>
      <c r="E261"/>
      <c r="F261"/>
      <c r="G261"/>
      <c r="H261"/>
      <c r="I261"/>
      <c r="J261"/>
      <c r="K261"/>
      <c r="L261"/>
      <c r="M261"/>
      <c r="N261"/>
      <c r="O261"/>
      <c r="P261"/>
      <c r="Q261"/>
      <c r="R261"/>
    </row>
    <row r="262" spans="2:18" x14ac:dyDescent="0.25">
      <c r="B262"/>
      <c r="C262"/>
      <c r="D262"/>
      <c r="E262"/>
      <c r="F262"/>
      <c r="G262"/>
      <c r="H262"/>
      <c r="I262"/>
      <c r="J262"/>
      <c r="K262"/>
      <c r="L262"/>
      <c r="M262"/>
      <c r="N262"/>
      <c r="O262"/>
      <c r="P262"/>
      <c r="Q262"/>
      <c r="R262"/>
    </row>
    <row r="263" spans="2:18" x14ac:dyDescent="0.25">
      <c r="B263"/>
      <c r="C263"/>
      <c r="D263"/>
      <c r="E263"/>
      <c r="F263"/>
      <c r="G263"/>
      <c r="H263"/>
      <c r="I263"/>
      <c r="J263"/>
      <c r="K263"/>
      <c r="L263"/>
      <c r="M263"/>
      <c r="N263"/>
      <c r="O263"/>
      <c r="P263"/>
      <c r="Q263"/>
      <c r="R263"/>
    </row>
    <row r="264" spans="2:18" x14ac:dyDescent="0.25">
      <c r="B264"/>
      <c r="C264"/>
      <c r="D264"/>
      <c r="E264"/>
      <c r="F264"/>
      <c r="G264"/>
      <c r="H264"/>
      <c r="I264"/>
      <c r="J264"/>
      <c r="K264"/>
      <c r="L264"/>
      <c r="M264"/>
      <c r="N264"/>
      <c r="O264"/>
      <c r="P264"/>
      <c r="Q264"/>
      <c r="R264"/>
    </row>
    <row r="265" spans="2:18" x14ac:dyDescent="0.25">
      <c r="B265"/>
      <c r="C265"/>
      <c r="D265"/>
      <c r="E265"/>
      <c r="F265"/>
      <c r="G265"/>
      <c r="H265"/>
      <c r="I265"/>
      <c r="J265"/>
      <c r="K265"/>
      <c r="L265"/>
      <c r="M265"/>
      <c r="N265"/>
      <c r="O265"/>
      <c r="P265"/>
      <c r="Q265"/>
      <c r="R265"/>
    </row>
    <row r="266" spans="2:18" x14ac:dyDescent="0.25">
      <c r="B266"/>
      <c r="C266"/>
      <c r="D266"/>
      <c r="E266"/>
      <c r="F266"/>
      <c r="G266"/>
      <c r="H266"/>
      <c r="I266"/>
      <c r="J266"/>
      <c r="K266"/>
      <c r="L266"/>
      <c r="M266"/>
      <c r="N266"/>
      <c r="O266"/>
      <c r="P266"/>
      <c r="Q266"/>
      <c r="R266"/>
    </row>
    <row r="267" spans="2:18" x14ac:dyDescent="0.25">
      <c r="B267"/>
      <c r="C267"/>
      <c r="D267"/>
      <c r="E267"/>
      <c r="F267"/>
      <c r="G267"/>
      <c r="H267"/>
      <c r="I267"/>
      <c r="J267"/>
      <c r="K267"/>
      <c r="L267"/>
      <c r="M267"/>
      <c r="N267"/>
      <c r="O267"/>
      <c r="P267"/>
      <c r="Q267"/>
      <c r="R267"/>
    </row>
    <row r="268" spans="2:18" x14ac:dyDescent="0.25">
      <c r="B268"/>
      <c r="C268"/>
      <c r="D268"/>
      <c r="E268"/>
      <c r="F268"/>
      <c r="G268"/>
      <c r="H268"/>
      <c r="I268"/>
      <c r="J268"/>
      <c r="K268"/>
      <c r="L268"/>
      <c r="M268"/>
      <c r="N268"/>
      <c r="O268"/>
      <c r="P268"/>
      <c r="Q268"/>
      <c r="R268"/>
    </row>
    <row r="269" spans="2:18" x14ac:dyDescent="0.25">
      <c r="B269"/>
      <c r="C269"/>
      <c r="D269"/>
      <c r="E269"/>
      <c r="F269"/>
      <c r="G269"/>
      <c r="H269"/>
      <c r="I269"/>
      <c r="J269"/>
      <c r="K269"/>
      <c r="L269"/>
      <c r="M269"/>
      <c r="N269"/>
      <c r="O269"/>
      <c r="P269"/>
      <c r="Q269"/>
      <c r="R269"/>
    </row>
    <row r="270" spans="2:18" x14ac:dyDescent="0.25">
      <c r="B270"/>
      <c r="C270"/>
      <c r="D270"/>
      <c r="E270"/>
      <c r="F270"/>
      <c r="G270"/>
      <c r="H270"/>
      <c r="I270"/>
      <c r="J270"/>
      <c r="K270"/>
      <c r="L270"/>
      <c r="M270"/>
      <c r="N270"/>
      <c r="O270"/>
      <c r="P270"/>
      <c r="Q270"/>
      <c r="R270"/>
    </row>
    <row r="271" spans="2:18" x14ac:dyDescent="0.25">
      <c r="B271"/>
      <c r="C271"/>
      <c r="D271"/>
      <c r="E271"/>
      <c r="F271"/>
      <c r="G271"/>
      <c r="H271"/>
      <c r="I271"/>
      <c r="J271"/>
      <c r="K271"/>
      <c r="L271"/>
      <c r="M271"/>
      <c r="N271"/>
      <c r="O271"/>
      <c r="P271"/>
      <c r="Q271"/>
      <c r="R271"/>
    </row>
    <row r="272" spans="2:18" x14ac:dyDescent="0.25">
      <c r="B272"/>
      <c r="C272"/>
      <c r="D272"/>
      <c r="E272"/>
      <c r="F272"/>
      <c r="G272"/>
      <c r="H272"/>
      <c r="I272"/>
      <c r="J272"/>
      <c r="K272"/>
      <c r="L272"/>
      <c r="M272"/>
      <c r="N272"/>
      <c r="O272"/>
      <c r="P272"/>
      <c r="Q272"/>
      <c r="R272"/>
    </row>
    <row r="273" spans="2:18" x14ac:dyDescent="0.25">
      <c r="B273"/>
      <c r="C273"/>
      <c r="D273"/>
      <c r="E273"/>
      <c r="F273"/>
      <c r="G273"/>
      <c r="H273"/>
      <c r="I273"/>
      <c r="J273"/>
      <c r="K273"/>
      <c r="L273"/>
      <c r="M273"/>
      <c r="N273"/>
      <c r="O273"/>
      <c r="P273"/>
      <c r="Q273"/>
      <c r="R273"/>
    </row>
    <row r="274" spans="2:18" x14ac:dyDescent="0.25">
      <c r="B274"/>
      <c r="C274"/>
      <c r="D274"/>
      <c r="E274"/>
      <c r="F274"/>
      <c r="G274"/>
      <c r="H274"/>
      <c r="I274"/>
      <c r="J274"/>
      <c r="K274"/>
      <c r="L274"/>
      <c r="M274"/>
      <c r="N274"/>
      <c r="O274"/>
      <c r="P274"/>
      <c r="Q274"/>
      <c r="R274"/>
    </row>
    <row r="275" spans="2:18" x14ac:dyDescent="0.25">
      <c r="B275"/>
      <c r="C275"/>
      <c r="D275"/>
      <c r="E275"/>
      <c r="F275"/>
      <c r="G275"/>
      <c r="H275"/>
      <c r="I275"/>
      <c r="J275"/>
      <c r="K275"/>
      <c r="L275"/>
      <c r="M275"/>
      <c r="N275"/>
      <c r="O275"/>
      <c r="P275"/>
      <c r="Q275"/>
      <c r="R275"/>
    </row>
    <row r="276" spans="2:18" x14ac:dyDescent="0.25">
      <c r="B276"/>
      <c r="C276"/>
      <c r="D276"/>
      <c r="E276"/>
      <c r="F276"/>
      <c r="G276"/>
      <c r="H276"/>
      <c r="I276"/>
      <c r="J276"/>
      <c r="K276"/>
      <c r="L276"/>
      <c r="M276"/>
      <c r="N276"/>
      <c r="O276"/>
      <c r="P276"/>
      <c r="Q276"/>
      <c r="R276"/>
    </row>
    <row r="277" spans="2:18" x14ac:dyDescent="0.25">
      <c r="B277"/>
      <c r="C277"/>
      <c r="D277"/>
      <c r="E277"/>
      <c r="F277"/>
      <c r="G277"/>
      <c r="H277"/>
      <c r="I277"/>
      <c r="J277"/>
      <c r="K277"/>
      <c r="L277"/>
      <c r="M277"/>
      <c r="N277"/>
      <c r="O277"/>
      <c r="P277"/>
      <c r="Q277"/>
      <c r="R277"/>
    </row>
    <row r="278" spans="2:18" x14ac:dyDescent="0.25">
      <c r="B278"/>
      <c r="C278"/>
      <c r="D278"/>
      <c r="E278"/>
      <c r="F278"/>
      <c r="G278"/>
      <c r="H278"/>
      <c r="I278"/>
      <c r="J278"/>
      <c r="K278"/>
      <c r="L278"/>
      <c r="M278"/>
      <c r="N278"/>
      <c r="O278"/>
      <c r="P278"/>
      <c r="Q278"/>
      <c r="R278"/>
    </row>
    <row r="279" spans="2:18" x14ac:dyDescent="0.25">
      <c r="B279"/>
      <c r="C279"/>
      <c r="D279"/>
      <c r="E279"/>
      <c r="F279"/>
      <c r="G279"/>
      <c r="H279"/>
      <c r="I279"/>
      <c r="J279"/>
      <c r="K279"/>
      <c r="L279"/>
      <c r="M279"/>
      <c r="N279"/>
      <c r="O279"/>
      <c r="P279"/>
      <c r="Q279"/>
      <c r="R279"/>
    </row>
    <row r="280" spans="2:18" x14ac:dyDescent="0.25">
      <c r="B280"/>
      <c r="C280"/>
      <c r="D280"/>
      <c r="E280"/>
      <c r="F280"/>
      <c r="G280"/>
      <c r="H280"/>
      <c r="I280"/>
      <c r="J280"/>
      <c r="K280"/>
      <c r="L280"/>
      <c r="M280"/>
      <c r="N280"/>
      <c r="O280"/>
      <c r="P280"/>
      <c r="Q280"/>
      <c r="R280"/>
    </row>
    <row r="281" spans="2:18" x14ac:dyDescent="0.25">
      <c r="B281"/>
      <c r="C281"/>
      <c r="D281"/>
      <c r="E281"/>
      <c r="F281"/>
      <c r="G281"/>
      <c r="H281"/>
      <c r="I281"/>
      <c r="J281"/>
      <c r="K281"/>
      <c r="L281"/>
      <c r="M281"/>
      <c r="N281"/>
      <c r="O281"/>
      <c r="P281"/>
      <c r="Q281"/>
      <c r="R281"/>
    </row>
    <row r="282" spans="2:18" x14ac:dyDescent="0.25">
      <c r="B282"/>
      <c r="C282"/>
      <c r="D282"/>
      <c r="E282"/>
      <c r="F282"/>
      <c r="G282"/>
      <c r="H282"/>
      <c r="I282"/>
      <c r="J282"/>
      <c r="K282"/>
      <c r="L282"/>
      <c r="M282"/>
      <c r="N282"/>
      <c r="O282"/>
      <c r="P282"/>
      <c r="Q282"/>
      <c r="R282"/>
    </row>
    <row r="283" spans="2:18" x14ac:dyDescent="0.25">
      <c r="B283"/>
      <c r="C283"/>
      <c r="D283"/>
      <c r="E283"/>
      <c r="F283"/>
      <c r="G283"/>
      <c r="H283"/>
      <c r="I283"/>
      <c r="J283"/>
      <c r="K283"/>
      <c r="L283"/>
      <c r="M283"/>
      <c r="N283"/>
      <c r="O283"/>
      <c r="P283"/>
      <c r="Q283"/>
      <c r="R283"/>
    </row>
    <row r="284" spans="2:18" x14ac:dyDescent="0.25">
      <c r="B284"/>
      <c r="C284"/>
      <c r="D284"/>
      <c r="E284"/>
      <c r="F284"/>
      <c r="G284"/>
      <c r="H284"/>
      <c r="I284"/>
      <c r="J284"/>
      <c r="K284"/>
      <c r="L284"/>
      <c r="M284"/>
      <c r="N284"/>
      <c r="O284"/>
      <c r="P284"/>
      <c r="Q284"/>
      <c r="R284"/>
    </row>
    <row r="285" spans="2:18" x14ac:dyDescent="0.25">
      <c r="B285"/>
      <c r="C285"/>
      <c r="D285"/>
      <c r="E285"/>
      <c r="F285"/>
      <c r="G285"/>
      <c r="H285"/>
      <c r="I285"/>
      <c r="J285"/>
      <c r="K285"/>
      <c r="L285"/>
      <c r="M285"/>
      <c r="N285"/>
      <c r="O285"/>
      <c r="P285"/>
      <c r="Q285"/>
      <c r="R285"/>
    </row>
    <row r="286" spans="2:18" x14ac:dyDescent="0.25">
      <c r="B286"/>
      <c r="C286"/>
      <c r="D286"/>
      <c r="E286"/>
      <c r="F286"/>
      <c r="G286"/>
      <c r="H286"/>
      <c r="I286"/>
      <c r="J286"/>
      <c r="K286"/>
      <c r="L286"/>
      <c r="M286"/>
      <c r="N286"/>
      <c r="O286"/>
      <c r="P286"/>
      <c r="Q286"/>
      <c r="R286"/>
    </row>
    <row r="287" spans="2:18" x14ac:dyDescent="0.25">
      <c r="B287"/>
      <c r="C287"/>
      <c r="D287"/>
      <c r="E287"/>
      <c r="F287"/>
      <c r="G287"/>
      <c r="H287"/>
      <c r="I287"/>
      <c r="J287"/>
      <c r="K287"/>
      <c r="L287"/>
      <c r="M287"/>
      <c r="N287"/>
      <c r="O287"/>
      <c r="P287"/>
      <c r="Q287"/>
      <c r="R287"/>
    </row>
    <row r="288" spans="2:18" x14ac:dyDescent="0.25">
      <c r="B288"/>
      <c r="C288"/>
      <c r="D288"/>
      <c r="E288"/>
      <c r="F288"/>
      <c r="G288"/>
      <c r="H288"/>
      <c r="I288"/>
      <c r="J288"/>
      <c r="K288"/>
      <c r="L288"/>
      <c r="M288"/>
      <c r="N288"/>
      <c r="O288"/>
      <c r="P288"/>
      <c r="Q288"/>
      <c r="R288"/>
    </row>
    <row r="289" spans="2:18" x14ac:dyDescent="0.25">
      <c r="B289"/>
      <c r="C289"/>
      <c r="D289"/>
      <c r="E289"/>
      <c r="F289"/>
      <c r="G289"/>
      <c r="H289"/>
      <c r="I289"/>
      <c r="J289"/>
      <c r="K289"/>
      <c r="L289"/>
      <c r="M289"/>
      <c r="N289"/>
      <c r="O289"/>
      <c r="P289"/>
      <c r="Q289"/>
      <c r="R289"/>
    </row>
    <row r="290" spans="2:18" x14ac:dyDescent="0.25">
      <c r="B290"/>
      <c r="C290"/>
      <c r="D290"/>
      <c r="E290"/>
      <c r="F290"/>
      <c r="G290"/>
      <c r="H290"/>
      <c r="I290"/>
      <c r="J290"/>
      <c r="K290"/>
      <c r="L290"/>
      <c r="M290"/>
      <c r="N290"/>
      <c r="O290"/>
      <c r="P290"/>
      <c r="Q290"/>
      <c r="R290"/>
    </row>
    <row r="291" spans="2:18" x14ac:dyDescent="0.25">
      <c r="B291"/>
      <c r="C291"/>
      <c r="D291"/>
      <c r="E291"/>
      <c r="F291"/>
      <c r="G291"/>
      <c r="H291"/>
      <c r="I291"/>
      <c r="J291"/>
      <c r="K291"/>
      <c r="L291"/>
      <c r="M291"/>
      <c r="N291"/>
      <c r="O291"/>
      <c r="P291"/>
      <c r="Q291"/>
      <c r="R291"/>
    </row>
    <row r="292" spans="2:18" x14ac:dyDescent="0.25">
      <c r="B292"/>
      <c r="C292"/>
      <c r="D292"/>
      <c r="E292"/>
      <c r="F292"/>
      <c r="G292"/>
      <c r="H292"/>
      <c r="I292"/>
      <c r="J292"/>
      <c r="K292"/>
      <c r="L292"/>
      <c r="M292"/>
      <c r="N292"/>
      <c r="O292"/>
      <c r="P292"/>
      <c r="Q292"/>
      <c r="R292"/>
    </row>
    <row r="293" spans="2:18" x14ac:dyDescent="0.25">
      <c r="B293"/>
      <c r="C293"/>
      <c r="D293"/>
      <c r="E293"/>
      <c r="F293"/>
      <c r="G293"/>
      <c r="H293"/>
      <c r="I293"/>
      <c r="J293"/>
      <c r="K293"/>
      <c r="L293"/>
      <c r="M293"/>
      <c r="N293"/>
      <c r="O293"/>
      <c r="P293"/>
      <c r="Q293"/>
      <c r="R293"/>
    </row>
    <row r="294" spans="2:18" x14ac:dyDescent="0.25">
      <c r="B294"/>
      <c r="C294"/>
      <c r="D294"/>
      <c r="E294"/>
      <c r="F294"/>
      <c r="G294"/>
      <c r="H294"/>
      <c r="I294"/>
      <c r="J294"/>
      <c r="K294"/>
      <c r="L294"/>
      <c r="M294"/>
      <c r="N294"/>
      <c r="O294"/>
      <c r="P294"/>
      <c r="Q294"/>
      <c r="R294"/>
    </row>
  </sheetData>
  <mergeCells count="7">
    <mergeCell ref="B10:B12"/>
    <mergeCell ref="B13:B15"/>
    <mergeCell ref="J4:K4"/>
    <mergeCell ref="A6:Q6"/>
    <mergeCell ref="B8:B9"/>
    <mergeCell ref="C8:C9"/>
    <mergeCell ref="D8:G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Q54"/>
  <sheetViews>
    <sheetView showGridLines="0" topLeftCell="A13" zoomScale="98" zoomScaleNormal="98" workbookViewId="0">
      <pane xSplit="2" topLeftCell="C1" activePane="topRight" state="frozen"/>
      <selection activeCell="A13" sqref="A13"/>
      <selection pane="topRight" activeCell="C26" sqref="C26"/>
    </sheetView>
  </sheetViews>
  <sheetFormatPr baseColWidth="10" defaultRowHeight="15" x14ac:dyDescent="0.25"/>
  <cols>
    <col min="1" max="1" width="11.42578125" style="385"/>
    <col min="2" max="2" width="53.5703125" style="385" bestFit="1" customWidth="1"/>
    <col min="3" max="3" width="12" style="385" bestFit="1" customWidth="1"/>
    <col min="4" max="4" width="15.28515625" style="385" customWidth="1"/>
    <col min="5" max="14" width="12" style="385" bestFit="1" customWidth="1"/>
    <col min="15" max="15" width="13" style="385" bestFit="1" customWidth="1"/>
    <col min="16" max="16" width="12.28515625" bestFit="1" customWidth="1"/>
    <col min="17" max="17" width="26.42578125" bestFit="1" customWidth="1"/>
  </cols>
  <sheetData>
    <row r="1" spans="2:17" x14ac:dyDescent="0.25">
      <c r="B1"/>
      <c r="C1"/>
      <c r="D1" s="2"/>
      <c r="E1" s="3"/>
      <c r="F1" s="2"/>
      <c r="G1"/>
    </row>
    <row r="2" spans="2:17" x14ac:dyDescent="0.25">
      <c r="B2"/>
      <c r="C2"/>
      <c r="D2" s="2"/>
      <c r="E2" s="3"/>
      <c r="F2" s="2"/>
      <c r="G2"/>
    </row>
    <row r="3" spans="2:17" x14ac:dyDescent="0.25">
      <c r="B3"/>
      <c r="C3"/>
      <c r="D3"/>
      <c r="E3"/>
      <c r="F3"/>
      <c r="G3"/>
    </row>
    <row r="4" spans="2:17" ht="15.75" x14ac:dyDescent="0.25">
      <c r="B4" s="8" t="s">
        <v>185</v>
      </c>
      <c r="C4" s="1127" t="s">
        <v>33</v>
      </c>
      <c r="D4" s="1128"/>
      <c r="E4" s="1129"/>
      <c r="F4" s="1129"/>
      <c r="G4"/>
    </row>
    <row r="6" spans="2:17" x14ac:dyDescent="0.25">
      <c r="B6" s="386" t="s">
        <v>186</v>
      </c>
      <c r="C6"/>
      <c r="D6"/>
      <c r="E6"/>
      <c r="F6"/>
      <c r="G6"/>
      <c r="H6"/>
      <c r="I6"/>
      <c r="J6"/>
      <c r="K6"/>
    </row>
    <row r="7" spans="2:17" ht="15.75" thickBot="1" x14ac:dyDescent="0.3">
      <c r="L7" s="387"/>
      <c r="M7" s="387"/>
      <c r="N7" s="387"/>
    </row>
    <row r="8" spans="2:17" ht="15.75" thickBot="1" x14ac:dyDescent="0.3">
      <c r="B8" s="565" t="s">
        <v>187</v>
      </c>
      <c r="C8" s="567" t="s">
        <v>188</v>
      </c>
      <c r="D8" s="566" t="s">
        <v>189</v>
      </c>
      <c r="E8" s="567" t="s">
        <v>190</v>
      </c>
      <c r="F8" s="566" t="s">
        <v>191</v>
      </c>
      <c r="G8" s="567" t="s">
        <v>192</v>
      </c>
      <c r="H8" s="566" t="s">
        <v>193</v>
      </c>
      <c r="I8" s="567" t="s">
        <v>194</v>
      </c>
      <c r="J8" s="568" t="s">
        <v>195</v>
      </c>
      <c r="K8" s="567" t="s">
        <v>196</v>
      </c>
      <c r="L8" s="566" t="s">
        <v>197</v>
      </c>
      <c r="M8" s="566" t="s">
        <v>198</v>
      </c>
      <c r="N8" s="570" t="s">
        <v>199</v>
      </c>
      <c r="O8" s="512" t="s">
        <v>307</v>
      </c>
      <c r="P8" s="514"/>
      <c r="Q8" s="518"/>
    </row>
    <row r="9" spans="2:17" x14ac:dyDescent="0.25">
      <c r="B9" s="600" t="s">
        <v>201</v>
      </c>
      <c r="C9" s="597">
        <f>'A) Resumen Ingresos y Egresos'!$D$9*C16</f>
        <v>5397093.5190860964</v>
      </c>
      <c r="D9" s="515">
        <f>'A) Resumen Ingresos y Egresos'!$D$9*D16</f>
        <v>10811749.958034165</v>
      </c>
      <c r="E9" s="515">
        <f>'A) Resumen Ingresos y Egresos'!$D$9*E16</f>
        <v>7923164.9846325312</v>
      </c>
      <c r="F9" s="515">
        <f>'A) Resumen Ingresos y Egresos'!$D$9*F16</f>
        <v>4331218.052768073</v>
      </c>
      <c r="G9" s="515">
        <f>'A) Resumen Ingresos y Egresos'!$D$9*G16</f>
        <v>3951125.134046338</v>
      </c>
      <c r="H9" s="515">
        <f>'A) Resumen Ingresos y Egresos'!$D$9*H16</f>
        <v>3044177.6014745911</v>
      </c>
      <c r="I9" s="515">
        <f>'A) Resumen Ingresos y Egresos'!$D$9*I16</f>
        <v>4134006.2519236123</v>
      </c>
      <c r="J9" s="515">
        <f>'A) Resumen Ingresos y Egresos'!$D$9*J16</f>
        <v>4476153.3691407507</v>
      </c>
      <c r="K9" s="515">
        <f>'A) Resumen Ingresos y Egresos'!$D$9*K16</f>
        <v>3900369.9447456975</v>
      </c>
      <c r="L9" s="515">
        <f>'A) Resumen Ingresos y Egresos'!$D$9*L16</f>
        <v>2448440.0615556082</v>
      </c>
      <c r="M9" s="515">
        <f>'A) Resumen Ingresos y Egresos'!$D$9*M16</f>
        <v>1854289.7808260282</v>
      </c>
      <c r="N9" s="571">
        <f>'A) Resumen Ingresos y Egresos'!$D$9*N16</f>
        <v>7839211.3417665092</v>
      </c>
      <c r="O9" s="513">
        <f>SUM(C9:N9)</f>
        <v>60111000</v>
      </c>
      <c r="P9" s="514"/>
      <c r="Q9" s="519"/>
    </row>
    <row r="10" spans="2:17" x14ac:dyDescent="0.25">
      <c r="B10" s="601" t="s">
        <v>202</v>
      </c>
      <c r="C10" s="598">
        <f>SUM('F) Remuneraciones'!$I$11:$I$18)/12</f>
        <v>0</v>
      </c>
      <c r="D10" s="516">
        <f>SUM('F) Remuneraciones'!$I$11:$I$18)/12</f>
        <v>0</v>
      </c>
      <c r="E10" s="516">
        <f>SUM('F) Remuneraciones'!$I$11:$I$18)/12</f>
        <v>0</v>
      </c>
      <c r="F10" s="516">
        <f>SUM('F) Remuneraciones'!$I$11:$I$18)/12</f>
        <v>0</v>
      </c>
      <c r="G10" s="516">
        <f>SUM('F) Remuneraciones'!$I$11:$I$18)/12</f>
        <v>0</v>
      </c>
      <c r="H10" s="516">
        <f>SUM('F) Remuneraciones'!$I$11:$I$18)/12</f>
        <v>0</v>
      </c>
      <c r="I10" s="516">
        <f>SUM('F) Remuneraciones'!$I$11:$I$18)/12</f>
        <v>0</v>
      </c>
      <c r="J10" s="516">
        <f>SUM('F) Remuneraciones'!$I$11:$I$18)/12</f>
        <v>0</v>
      </c>
      <c r="K10" s="516">
        <f>SUM('F) Remuneraciones'!$I$11:$I$18)/12</f>
        <v>0</v>
      </c>
      <c r="L10" s="516">
        <f>SUM('F) Remuneraciones'!$I$11:$I$18)/12</f>
        <v>0</v>
      </c>
      <c r="M10" s="516">
        <f>SUM('F) Remuneraciones'!$I$11:$I$18)/12</f>
        <v>0</v>
      </c>
      <c r="N10" s="517">
        <f>SUM('F) Remuneraciones'!$I$11:$I$18)/12</f>
        <v>0</v>
      </c>
      <c r="O10" s="572">
        <f t="shared" ref="O10:O15" si="0">SUM(C10:N10)</f>
        <v>0</v>
      </c>
      <c r="P10" s="564"/>
      <c r="Q10" s="1126"/>
    </row>
    <row r="11" spans="2:17" x14ac:dyDescent="0.25">
      <c r="B11" s="601" t="s">
        <v>203</v>
      </c>
      <c r="C11" s="598">
        <f>SUM('F) Remuneraciones'!$I$19:$I$27)/4</f>
        <v>0</v>
      </c>
      <c r="D11" s="516">
        <f>SUM('F) Remuneraciones'!$I$19:$I$27)/4</f>
        <v>0</v>
      </c>
      <c r="E11" s="516">
        <f>SUM('F) Remuneraciones'!$I$19:$I$27)/4</f>
        <v>0</v>
      </c>
      <c r="F11" s="516">
        <v>0</v>
      </c>
      <c r="G11" s="516">
        <v>0</v>
      </c>
      <c r="H11" s="516">
        <v>0</v>
      </c>
      <c r="I11" s="516">
        <v>0</v>
      </c>
      <c r="J11" s="516">
        <v>0</v>
      </c>
      <c r="K11" s="516">
        <v>0</v>
      </c>
      <c r="L11" s="516">
        <v>0</v>
      </c>
      <c r="M11" s="516">
        <v>0</v>
      </c>
      <c r="N11" s="517">
        <f>SUM('F) Remuneraciones'!$I$19:$I$27)/4</f>
        <v>0</v>
      </c>
      <c r="O11" s="572">
        <f t="shared" si="0"/>
        <v>0</v>
      </c>
      <c r="P11" s="564"/>
      <c r="Q11" s="1126"/>
    </row>
    <row r="12" spans="2:17" x14ac:dyDescent="0.25">
      <c r="B12" s="601" t="s">
        <v>204</v>
      </c>
      <c r="C12" s="598">
        <f>SUM('F) Remuneraciones'!$J$11:$K$18)/2</f>
        <v>0</v>
      </c>
      <c r="D12" s="516">
        <v>0</v>
      </c>
      <c r="E12" s="516">
        <v>0</v>
      </c>
      <c r="F12" s="516">
        <v>0</v>
      </c>
      <c r="G12" s="516">
        <v>0</v>
      </c>
      <c r="H12" s="516">
        <v>0</v>
      </c>
      <c r="I12" s="516">
        <v>0</v>
      </c>
      <c r="J12" s="516">
        <v>0</v>
      </c>
      <c r="K12" s="516">
        <f>SUM('F) Remuneraciones'!$J$11:$K$18)/2</f>
        <v>0</v>
      </c>
      <c r="L12" s="516">
        <v>0</v>
      </c>
      <c r="M12" s="516">
        <v>0</v>
      </c>
      <c r="N12" s="517">
        <f>+C12+K12</f>
        <v>0</v>
      </c>
      <c r="O12" s="572">
        <f t="shared" si="0"/>
        <v>0</v>
      </c>
      <c r="P12" s="514"/>
      <c r="Q12" s="519"/>
    </row>
    <row r="13" spans="2:17" x14ac:dyDescent="0.25">
      <c r="B13" s="601" t="s">
        <v>205</v>
      </c>
      <c r="C13" s="598">
        <f>('C) Estimación Costos Directos'!$H$11-'C) Estimación Costos Directos'!$H$12)*C17</f>
        <v>3355496.03104993</v>
      </c>
      <c r="D13" s="516">
        <f>('C) Estimación Costos Directos'!$H$11-'C) Estimación Costos Directos'!$H$12)*D17</f>
        <v>1311642.6836026921</v>
      </c>
      <c r="E13" s="516">
        <f>('C) Estimación Costos Directos'!$H$11-'C) Estimación Costos Directos'!$H$12)*E17</f>
        <v>5329059.0749230366</v>
      </c>
      <c r="F13" s="516">
        <f>('C) Estimación Costos Directos'!$H$11-'C) Estimación Costos Directos'!$H$12)*F17</f>
        <v>0</v>
      </c>
      <c r="G13" s="516">
        <f>('C) Estimación Costos Directos'!$H$11-'C) Estimación Costos Directos'!$H$12)*G17</f>
        <v>2047860.4076344555</v>
      </c>
      <c r="H13" s="516">
        <f>('C) Estimación Costos Directos'!$H$11-'C) Estimación Costos Directos'!$H$12)*H17</f>
        <v>507272.09163260116</v>
      </c>
      <c r="I13" s="516">
        <f>('C) Estimación Costos Directos'!$H$11-'C) Estimación Costos Directos'!$H$12)*I17</f>
        <v>1375060.8536905495</v>
      </c>
      <c r="J13" s="516">
        <f>('C) Estimación Costos Directos'!$H$11-'C) Estimación Costos Directos'!$H$12)*J17</f>
        <v>515460.54186385672</v>
      </c>
      <c r="K13" s="516">
        <f>('C) Estimación Costos Directos'!$H$11-'C) Estimación Costos Directos'!$H$12)*K17</f>
        <v>1547667.6241005827</v>
      </c>
      <c r="L13" s="516">
        <f>('C) Estimación Costos Directos'!$H$11-'C) Estimación Costos Directos'!$H$12)*L17</f>
        <v>3298361.3153666188</v>
      </c>
      <c r="M13" s="516">
        <f>('C) Estimación Costos Directos'!$H$11-'C) Estimación Costos Directos'!$H$12)*M17</f>
        <v>1292868.1159789772</v>
      </c>
      <c r="N13" s="517">
        <f>('C) Estimación Costos Directos'!$H$11-'C) Estimación Costos Directos'!$H$12)*N17</f>
        <v>2368238.2601566995</v>
      </c>
      <c r="O13" s="572">
        <f t="shared" si="0"/>
        <v>22948987</v>
      </c>
      <c r="P13" s="514"/>
      <c r="Q13" s="519"/>
    </row>
    <row r="14" spans="2:17" ht="15.75" thickBot="1" x14ac:dyDescent="0.3">
      <c r="B14" s="395" t="s">
        <v>258</v>
      </c>
      <c r="C14" s="599">
        <f>'C) Estimación Costos Directos'!$H$39*C18</f>
        <v>594289.84223913029</v>
      </c>
      <c r="D14" s="594">
        <f>'C) Estimación Costos Directos'!$H$39*D18</f>
        <v>232304.23052190294</v>
      </c>
      <c r="E14" s="594">
        <f>'C) Estimación Costos Directos'!$H$39*E18</f>
        <v>943826.38143906998</v>
      </c>
      <c r="F14" s="594">
        <f>'C) Estimación Costos Directos'!$H$39*F18</f>
        <v>0</v>
      </c>
      <c r="G14" s="594">
        <f>'C) Estimación Costos Directos'!$H$39*G18</f>
        <v>362695.29968719312</v>
      </c>
      <c r="H14" s="594">
        <f>'C) Estimación Costos Directos'!$H$39*H18</f>
        <v>89842.648752686393</v>
      </c>
      <c r="I14" s="594">
        <f>'C) Estimación Costos Directos'!$H$39*I18</f>
        <v>243536.18369599574</v>
      </c>
      <c r="J14" s="594">
        <f>'C) Estimación Costos Directos'!$H$39*J18</f>
        <v>91292.900146544605</v>
      </c>
      <c r="K14" s="594">
        <f>'C) Estimación Costos Directos'!$H$39*K18</f>
        <v>274106.46284613613</v>
      </c>
      <c r="L14" s="594">
        <f>'C) Estimación Costos Directos'!$H$39*L18</f>
        <v>584170.74781743658</v>
      </c>
      <c r="M14" s="594">
        <f>'C) Estimación Costos Directos'!$H$39*M18</f>
        <v>228979.07837510863</v>
      </c>
      <c r="N14" s="595">
        <f>'C) Estimación Costos Directos'!$H$39*N18</f>
        <v>419437.2244787956</v>
      </c>
      <c r="O14" s="596">
        <f t="shared" si="0"/>
        <v>4064481</v>
      </c>
      <c r="P14" s="514"/>
      <c r="Q14" s="519"/>
    </row>
    <row r="15" spans="2:17" ht="15.75" thickBot="1" x14ac:dyDescent="0.3">
      <c r="B15" s="603" t="s">
        <v>206</v>
      </c>
      <c r="C15" s="605">
        <f>C9-(C10+C11+C12+C13+C14)</f>
        <v>1447307.6457970361</v>
      </c>
      <c r="D15" s="606">
        <f t="shared" ref="D15:N15" si="1">D9-(D10+D11+D12+D13+D14)</f>
        <v>9267803.0439095702</v>
      </c>
      <c r="E15" s="606">
        <f t="shared" si="1"/>
        <v>1650279.5282704243</v>
      </c>
      <c r="F15" s="606">
        <f t="shared" si="1"/>
        <v>4331218.052768073</v>
      </c>
      <c r="G15" s="606">
        <f t="shared" si="1"/>
        <v>1540569.4267246895</v>
      </c>
      <c r="H15" s="606">
        <f t="shared" si="1"/>
        <v>2447062.8610893036</v>
      </c>
      <c r="I15" s="606">
        <f t="shared" si="1"/>
        <v>2515409.2145370673</v>
      </c>
      <c r="J15" s="606">
        <f t="shared" si="1"/>
        <v>3869399.9271303494</v>
      </c>
      <c r="K15" s="606">
        <f t="shared" si="1"/>
        <v>2078595.8577989787</v>
      </c>
      <c r="L15" s="606">
        <f t="shared" si="1"/>
        <v>-1434092.0016284473</v>
      </c>
      <c r="M15" s="606">
        <f t="shared" si="1"/>
        <v>332442.58647194249</v>
      </c>
      <c r="N15" s="606">
        <f t="shared" si="1"/>
        <v>5051535.8571310136</v>
      </c>
      <c r="O15" s="607">
        <f t="shared" si="0"/>
        <v>33097532</v>
      </c>
      <c r="P15" s="514"/>
      <c r="Q15" s="519"/>
    </row>
    <row r="16" spans="2:17" x14ac:dyDescent="0.25">
      <c r="B16" s="509" t="s">
        <v>207</v>
      </c>
      <c r="C16" s="403">
        <v>8.9785455558651431E-2</v>
      </c>
      <c r="D16" s="403">
        <v>0.1798630859249416</v>
      </c>
      <c r="E16" s="403">
        <v>0.1318089032728208</v>
      </c>
      <c r="F16" s="403">
        <v>7.205366825985382E-2</v>
      </c>
      <c r="G16" s="403">
        <v>6.5730484171721282E-2</v>
      </c>
      <c r="H16" s="403">
        <v>5.0642604539511756E-2</v>
      </c>
      <c r="I16" s="403">
        <v>6.8772874381121799E-2</v>
      </c>
      <c r="J16" s="403">
        <v>7.4464796279229264E-2</v>
      </c>
      <c r="K16" s="403">
        <v>6.4886126411899614E-2</v>
      </c>
      <c r="L16" s="403">
        <v>4.0731980195897723E-2</v>
      </c>
      <c r="M16" s="403">
        <v>3.0847761321988125E-2</v>
      </c>
      <c r="N16" s="403">
        <v>0.13041225968236278</v>
      </c>
      <c r="O16" s="602">
        <f>SUM(C16:N16)</f>
        <v>1</v>
      </c>
    </row>
    <row r="17" spans="2:17" x14ac:dyDescent="0.25">
      <c r="B17" s="510" t="s">
        <v>208</v>
      </c>
      <c r="C17" s="406">
        <v>0.14621543125410852</v>
      </c>
      <c r="D17" s="406">
        <v>5.7154709425853614E-2</v>
      </c>
      <c r="E17" s="406">
        <v>0.23221325956230821</v>
      </c>
      <c r="F17" s="406">
        <v>0</v>
      </c>
      <c r="G17" s="406">
        <v>8.923532910774909E-2</v>
      </c>
      <c r="H17" s="406">
        <v>2.2104334785348092E-2</v>
      </c>
      <c r="I17" s="406">
        <v>5.9918150360647703E-2</v>
      </c>
      <c r="J17" s="406">
        <v>2.2461145751830211E-2</v>
      </c>
      <c r="K17" s="406">
        <v>6.7439474522364873E-2</v>
      </c>
      <c r="L17" s="406">
        <v>0.14372579126767637</v>
      </c>
      <c r="M17" s="406">
        <v>5.6336609366634663E-2</v>
      </c>
      <c r="N17" s="406">
        <v>0.10319576459547863</v>
      </c>
      <c r="O17" s="602">
        <f t="shared" ref="O17:O18" si="2">SUM(C17:N17)</f>
        <v>1</v>
      </c>
    </row>
    <row r="18" spans="2:17" x14ac:dyDescent="0.25">
      <c r="B18" s="510" t="s">
        <v>259</v>
      </c>
      <c r="C18" s="406">
        <v>0.14621543125410852</v>
      </c>
      <c r="D18" s="406">
        <v>5.7154709425853614E-2</v>
      </c>
      <c r="E18" s="406">
        <v>0.23221325956230821</v>
      </c>
      <c r="F18" s="406">
        <v>0</v>
      </c>
      <c r="G18" s="406">
        <v>8.923532910774909E-2</v>
      </c>
      <c r="H18" s="406">
        <v>2.2104334785348092E-2</v>
      </c>
      <c r="I18" s="406">
        <v>5.9918150360647703E-2</v>
      </c>
      <c r="J18" s="406">
        <v>2.2461145751830211E-2</v>
      </c>
      <c r="K18" s="406">
        <v>6.7439474522364873E-2</v>
      </c>
      <c r="L18" s="406">
        <v>0.14372579126767637</v>
      </c>
      <c r="M18" s="406">
        <v>5.6336609366634663E-2</v>
      </c>
      <c r="N18" s="406">
        <v>0.10319576459547863</v>
      </c>
      <c r="O18" s="602">
        <f t="shared" si="2"/>
        <v>1</v>
      </c>
    </row>
    <row r="19" spans="2:17" ht="15.75" thickBot="1" x14ac:dyDescent="0.3">
      <c r="B19" s="510"/>
      <c r="C19" s="406"/>
      <c r="D19" s="406"/>
      <c r="E19" s="406"/>
      <c r="F19" s="406"/>
      <c r="G19" s="406"/>
      <c r="H19" s="406"/>
      <c r="I19" s="406"/>
      <c r="J19" s="406"/>
      <c r="K19" s="406"/>
      <c r="L19" s="406"/>
      <c r="M19" s="406"/>
      <c r="N19" s="406"/>
    </row>
    <row r="20" spans="2:17" x14ac:dyDescent="0.25">
      <c r="B20" s="573" t="s">
        <v>209</v>
      </c>
      <c r="C20" s="574" t="s">
        <v>188</v>
      </c>
      <c r="D20" s="574" t="s">
        <v>189</v>
      </c>
      <c r="E20" s="574" t="s">
        <v>190</v>
      </c>
      <c r="F20" s="574" t="s">
        <v>191</v>
      </c>
      <c r="G20" s="574" t="s">
        <v>192</v>
      </c>
      <c r="H20" s="574" t="s">
        <v>193</v>
      </c>
      <c r="I20" s="574" t="s">
        <v>194</v>
      </c>
      <c r="J20" s="575" t="s">
        <v>195</v>
      </c>
      <c r="K20" s="574" t="s">
        <v>196</v>
      </c>
      <c r="L20" s="574" t="s">
        <v>197</v>
      </c>
      <c r="M20" s="574" t="s">
        <v>198</v>
      </c>
      <c r="N20" s="578" t="s">
        <v>199</v>
      </c>
      <c r="O20" s="580" t="s">
        <v>307</v>
      </c>
      <c r="P20" s="514"/>
      <c r="Q20" s="518"/>
    </row>
    <row r="21" spans="2:17" x14ac:dyDescent="0.25">
      <c r="B21" s="569" t="s">
        <v>201</v>
      </c>
      <c r="C21" s="516">
        <f>'A) Resumen Ingresos y Egresos'!$D$10*C28</f>
        <v>2341910.3549127774</v>
      </c>
      <c r="D21" s="516">
        <f>+'A) Resumen Ingresos y Egresos'!$D$10*D28</f>
        <v>3187195.1630732389</v>
      </c>
      <c r="E21" s="516">
        <f>+'A) Resumen Ingresos y Egresos'!$D$10*E28</f>
        <v>2287870.0591757284</v>
      </c>
      <c r="F21" s="516">
        <f>+'A) Resumen Ingresos y Egresos'!$D$10*F28</f>
        <v>1132987.3950792374</v>
      </c>
      <c r="G21" s="516">
        <f>+'A) Resumen Ingresos y Egresos'!$D$10*G28</f>
        <v>1933573.6043257455</v>
      </c>
      <c r="H21" s="516">
        <f>+'A) Resumen Ingresos y Egresos'!$D$10*H28</f>
        <v>2602062.4075904042</v>
      </c>
      <c r="I21" s="516">
        <f>+'A) Resumen Ingresos y Egresos'!$D$10*I28</f>
        <v>2346393.187102451</v>
      </c>
      <c r="J21" s="516">
        <f>+'A) Resumen Ingresos y Egresos'!$D$10*J28</f>
        <v>1689781.4260458162</v>
      </c>
      <c r="K21" s="516">
        <f>+'A) Resumen Ingresos y Egresos'!$D$10*K28</f>
        <v>1704559.9937040792</v>
      </c>
      <c r="L21" s="516">
        <f>+'A) Resumen Ingresos y Egresos'!$D$10*L28</f>
        <v>2197458.0663686204</v>
      </c>
      <c r="M21" s="516">
        <f>+'A) Resumen Ingresos y Egresos'!$D$10*M28</f>
        <v>1390761.7404269569</v>
      </c>
      <c r="N21" s="517">
        <f>+'A) Resumen Ingresos y Egresos'!$D$10*N28</f>
        <v>2119246.6021949453</v>
      </c>
      <c r="O21" s="572">
        <f>SUM(C21:N21)</f>
        <v>24933800.000000004</v>
      </c>
      <c r="P21" s="514"/>
      <c r="Q21" s="519"/>
    </row>
    <row r="22" spans="2:17" x14ac:dyDescent="0.25">
      <c r="B22" s="569" t="s">
        <v>202</v>
      </c>
      <c r="C22" s="516">
        <f>SUM('F) Remuneraciones'!$I$28:$I$35)/12</f>
        <v>0</v>
      </c>
      <c r="D22" s="516">
        <f>SUM('F) Remuneraciones'!$I$28:$I$35)/12</f>
        <v>0</v>
      </c>
      <c r="E22" s="516">
        <f>SUM('F) Remuneraciones'!$I$28:$I$35)/12</f>
        <v>0</v>
      </c>
      <c r="F22" s="516">
        <f>SUM('F) Remuneraciones'!$I$28:$I$35)/12</f>
        <v>0</v>
      </c>
      <c r="G22" s="516">
        <f>SUM('F) Remuneraciones'!$I$28:$I$35)/12</f>
        <v>0</v>
      </c>
      <c r="H22" s="516">
        <f>SUM('F) Remuneraciones'!$I$28:$I$35)/12</f>
        <v>0</v>
      </c>
      <c r="I22" s="516">
        <f>SUM('F) Remuneraciones'!$I$28:$I$35)/12</f>
        <v>0</v>
      </c>
      <c r="J22" s="516">
        <f>SUM('F) Remuneraciones'!$I$28:$I$35)/12</f>
        <v>0</v>
      </c>
      <c r="K22" s="516">
        <f>SUM('F) Remuneraciones'!$I$28:$I$35)/12</f>
        <v>0</v>
      </c>
      <c r="L22" s="516">
        <f>SUM('F) Remuneraciones'!$I$28:$I$35)/12</f>
        <v>0</v>
      </c>
      <c r="M22" s="516">
        <f>SUM('F) Remuneraciones'!$I$28:$I$35)/12</f>
        <v>0</v>
      </c>
      <c r="N22" s="517">
        <f>SUM('F) Remuneraciones'!$I$28:$I$35)/12</f>
        <v>0</v>
      </c>
      <c r="O22" s="572">
        <f t="shared" ref="O22:O27" si="3">SUM(C22:N22)</f>
        <v>0</v>
      </c>
      <c r="P22" s="564"/>
      <c r="Q22" s="1126"/>
    </row>
    <row r="23" spans="2:17" x14ac:dyDescent="0.25">
      <c r="B23" s="569" t="s">
        <v>203</v>
      </c>
      <c r="C23" s="516">
        <f>SUM('F) Remuneraciones'!$I$36:$I$44)/4</f>
        <v>0</v>
      </c>
      <c r="D23" s="516">
        <f>SUM('F) Remuneraciones'!$I$36:$I$44)/4</f>
        <v>0</v>
      </c>
      <c r="E23" s="516">
        <f>SUM('F) Remuneraciones'!$I$36:$I$44)/4</f>
        <v>0</v>
      </c>
      <c r="F23" s="516">
        <v>0</v>
      </c>
      <c r="G23" s="516">
        <v>0</v>
      </c>
      <c r="H23" s="516">
        <v>0</v>
      </c>
      <c r="I23" s="516">
        <v>0</v>
      </c>
      <c r="J23" s="516">
        <v>0</v>
      </c>
      <c r="K23" s="516">
        <v>0</v>
      </c>
      <c r="L23" s="516">
        <v>0</v>
      </c>
      <c r="M23" s="516">
        <v>0</v>
      </c>
      <c r="N23" s="517">
        <f>SUM('F) Remuneraciones'!$I$36:$I$44)/4</f>
        <v>0</v>
      </c>
      <c r="O23" s="572">
        <f t="shared" si="3"/>
        <v>0</v>
      </c>
      <c r="P23" s="564"/>
      <c r="Q23" s="1126"/>
    </row>
    <row r="24" spans="2:17" x14ac:dyDescent="0.25">
      <c r="B24" s="569" t="s">
        <v>204</v>
      </c>
      <c r="C24" s="516">
        <f>SUM('F) Remuneraciones'!$J$28:$K$35)/2</f>
        <v>0</v>
      </c>
      <c r="D24" s="516">
        <v>0</v>
      </c>
      <c r="E24" s="516">
        <v>0</v>
      </c>
      <c r="F24" s="516">
        <v>0</v>
      </c>
      <c r="G24" s="516">
        <v>0</v>
      </c>
      <c r="H24" s="516">
        <v>0</v>
      </c>
      <c r="I24" s="516">
        <v>0</v>
      </c>
      <c r="J24" s="516">
        <v>0</v>
      </c>
      <c r="K24" s="516">
        <f>SUM('F) Remuneraciones'!$J$28:$K$35)/2</f>
        <v>0</v>
      </c>
      <c r="L24" s="516">
        <v>0</v>
      </c>
      <c r="M24" s="516">
        <v>0</v>
      </c>
      <c r="N24" s="517">
        <f>+C24+K24</f>
        <v>0</v>
      </c>
      <c r="O24" s="572">
        <f t="shared" si="3"/>
        <v>0</v>
      </c>
      <c r="P24" s="514"/>
      <c r="Q24" s="519"/>
    </row>
    <row r="25" spans="2:17" x14ac:dyDescent="0.25">
      <c r="B25" s="569" t="s">
        <v>205</v>
      </c>
      <c r="C25" s="516">
        <f>('C) Estimación Costos Directos'!$H$83-'C) Estimación Costos Directos'!$H$84)*C29</f>
        <v>1279684.8264557533</v>
      </c>
      <c r="D25" s="516">
        <f>('C) Estimación Costos Directos'!$H$83-'C) Estimación Costos Directos'!$H$84)*D29</f>
        <v>0</v>
      </c>
      <c r="E25" s="516">
        <f>('C) Estimación Costos Directos'!$H$83-'C) Estimación Costos Directos'!$H$84)*E29</f>
        <v>323315.6391375949</v>
      </c>
      <c r="F25" s="516">
        <f>('C) Estimación Costos Directos'!$H$83-'C) Estimación Costos Directos'!$H$84)*F29</f>
        <v>0</v>
      </c>
      <c r="G25" s="516">
        <f>('C) Estimación Costos Directos'!$H$83-'C) Estimación Costos Directos'!$H$84)*G29</f>
        <v>417506.25461394311</v>
      </c>
      <c r="H25" s="516">
        <f>('C) Estimación Costos Directos'!$H$83-'C) Estimación Costos Directos'!$H$84)*H29</f>
        <v>0</v>
      </c>
      <c r="I25" s="516">
        <f>('C) Estimación Costos Directos'!$H$83-'C) Estimación Costos Directos'!$H$84)*I29</f>
        <v>295040.29784244089</v>
      </c>
      <c r="J25" s="516">
        <f>('C) Estimación Costos Directos'!$H$83-'C) Estimación Costos Directos'!$H$84)*J29</f>
        <v>198795.46258603697</v>
      </c>
      <c r="K25" s="516">
        <f>('C) Estimación Costos Directos'!$H$83-'C) Estimación Costos Directos'!$H$84)*K29</f>
        <v>382465.24107544433</v>
      </c>
      <c r="L25" s="516">
        <f>('C) Estimación Costos Directos'!$H$83-'C) Estimación Costos Directos'!$H$84)*L29</f>
        <v>820538.87424853875</v>
      </c>
      <c r="M25" s="516">
        <f>('C) Estimación Costos Directos'!$H$83-'C) Estimación Costos Directos'!$H$84)*M29</f>
        <v>511215.78507083305</v>
      </c>
      <c r="N25" s="517">
        <f>('C) Estimación Costos Directos'!$H$83-'C) Estimación Costos Directos'!$H$84)*N29</f>
        <v>742462.61896941473</v>
      </c>
      <c r="O25" s="572">
        <f t="shared" si="3"/>
        <v>4971025</v>
      </c>
      <c r="P25" s="514"/>
      <c r="Q25" s="519"/>
    </row>
    <row r="26" spans="2:17" ht="15.75" thickBot="1" x14ac:dyDescent="0.3">
      <c r="B26" s="576" t="s">
        <v>258</v>
      </c>
      <c r="C26" s="577">
        <f>('C) Estimación Costos Directos'!$H$111)*C30</f>
        <v>326600.64642179298</v>
      </c>
      <c r="D26" s="577">
        <f>('C) Estimación Costos Directos'!$H$111)*D30</f>
        <v>0</v>
      </c>
      <c r="E26" s="577">
        <f>('C) Estimación Costos Directos'!$H$111)*E30</f>
        <v>82516.487308107302</v>
      </c>
      <c r="F26" s="577">
        <f>('C) Estimación Costos Directos'!$H$111)*F30</f>
        <v>0</v>
      </c>
      <c r="G26" s="577">
        <f>('C) Estimación Costos Directos'!$H$111)*G30</f>
        <v>106555.77828465427</v>
      </c>
      <c r="H26" s="577">
        <f>('C) Estimación Costos Directos'!$H$111)*H30</f>
        <v>0</v>
      </c>
      <c r="I26" s="577">
        <f>('C) Estimación Costos Directos'!$H$111)*I30</f>
        <v>75300.066081662895</v>
      </c>
      <c r="J26" s="577">
        <f>('C) Estimación Costos Directos'!$H$111)*J30</f>
        <v>50736.49795953407</v>
      </c>
      <c r="K26" s="577">
        <f>('C) Estimación Costos Directos'!$H$111)*K30</f>
        <v>97612.624910987055</v>
      </c>
      <c r="L26" s="577">
        <f>('C) Estimación Costos Directos'!$H$111)*L30</f>
        <v>209417.60127453471</v>
      </c>
      <c r="M26" s="577">
        <f>('C) Estimación Costos Directos'!$H$111)*M30</f>
        <v>130472.28693613915</v>
      </c>
      <c r="N26" s="579">
        <f>('C) Estimación Costos Directos'!$H$111)*N30</f>
        <v>189491.01082258756</v>
      </c>
      <c r="O26" s="581">
        <f t="shared" si="3"/>
        <v>1268703</v>
      </c>
      <c r="P26" s="514"/>
      <c r="Q26" s="519"/>
    </row>
    <row r="27" spans="2:17" ht="15.75" thickBot="1" x14ac:dyDescent="0.3">
      <c r="B27" s="604" t="s">
        <v>206</v>
      </c>
      <c r="C27" s="605">
        <f>C21-(C22+C23+C24+C25+C26)</f>
        <v>735624.88203523122</v>
      </c>
      <c r="D27" s="606">
        <f t="shared" ref="D27:N27" si="4">D21-(D22+D23+D24+D25+D26)</f>
        <v>3187195.1630732389</v>
      </c>
      <c r="E27" s="606">
        <f t="shared" si="4"/>
        <v>1882037.9327300261</v>
      </c>
      <c r="F27" s="606">
        <f t="shared" si="4"/>
        <v>1132987.3950792374</v>
      </c>
      <c r="G27" s="606">
        <f t="shared" si="4"/>
        <v>1409511.5714271481</v>
      </c>
      <c r="H27" s="606">
        <f t="shared" si="4"/>
        <v>2602062.4075904042</v>
      </c>
      <c r="I27" s="606">
        <f t="shared" si="4"/>
        <v>1976052.8231783472</v>
      </c>
      <c r="J27" s="606">
        <f t="shared" si="4"/>
        <v>1440249.4655002451</v>
      </c>
      <c r="K27" s="606">
        <f t="shared" si="4"/>
        <v>1224482.1277176477</v>
      </c>
      <c r="L27" s="606">
        <f t="shared" si="4"/>
        <v>1167501.5908455469</v>
      </c>
      <c r="M27" s="606">
        <f t="shared" si="4"/>
        <v>749073.66841998475</v>
      </c>
      <c r="N27" s="606">
        <f t="shared" si="4"/>
        <v>1187292.9724029431</v>
      </c>
      <c r="O27" s="607">
        <f t="shared" si="3"/>
        <v>18694072</v>
      </c>
      <c r="P27" s="514"/>
      <c r="Q27" s="519"/>
    </row>
    <row r="28" spans="2:17" x14ac:dyDescent="0.25">
      <c r="B28" s="509" t="s">
        <v>207</v>
      </c>
      <c r="C28" s="403">
        <v>9.3925127935283736E-2</v>
      </c>
      <c r="D28" s="403">
        <v>0.12782629054028022</v>
      </c>
      <c r="E28" s="403">
        <v>9.1757776960420326E-2</v>
      </c>
      <c r="F28" s="403">
        <v>4.5439820447715044E-2</v>
      </c>
      <c r="G28" s="403">
        <v>7.7548292050379219E-2</v>
      </c>
      <c r="H28" s="403">
        <v>0.10435883850798532</v>
      </c>
      <c r="I28" s="403">
        <v>9.4104917305121993E-2</v>
      </c>
      <c r="J28" s="403">
        <v>6.7770713892219239E-2</v>
      </c>
      <c r="K28" s="403">
        <v>6.8363426100477229E-2</v>
      </c>
      <c r="L28" s="403">
        <v>8.8131695384121966E-2</v>
      </c>
      <c r="M28" s="403">
        <v>5.5778170211799122E-2</v>
      </c>
      <c r="N28" s="403">
        <v>8.4994930664196597E-2</v>
      </c>
      <c r="O28" s="602">
        <f>SUM(C28:N28)</f>
        <v>0.99999999999999989</v>
      </c>
    </row>
    <row r="29" spans="2:17" x14ac:dyDescent="0.25">
      <c r="B29" s="510" t="s">
        <v>208</v>
      </c>
      <c r="C29" s="406">
        <v>0.25742876498423428</v>
      </c>
      <c r="D29" s="406">
        <v>0</v>
      </c>
      <c r="E29" s="406">
        <v>6.5040034829355095E-2</v>
      </c>
      <c r="F29" s="406">
        <v>0</v>
      </c>
      <c r="G29" s="406">
        <v>8.398796115769748E-2</v>
      </c>
      <c r="H29" s="406">
        <v>0</v>
      </c>
      <c r="I29" s="406">
        <v>5.9352004434184279E-2</v>
      </c>
      <c r="J29" s="406">
        <v>3.9990839431714179E-2</v>
      </c>
      <c r="K29" s="406">
        <v>7.6938909193867325E-2</v>
      </c>
      <c r="L29" s="406">
        <v>0.16506432259916995</v>
      </c>
      <c r="M29" s="406">
        <v>0.10283910965461511</v>
      </c>
      <c r="N29" s="406">
        <v>0.14935805371516231</v>
      </c>
      <c r="O29" s="602">
        <f t="shared" ref="O29:O30" si="5">SUM(C29:N29)</f>
        <v>1</v>
      </c>
    </row>
    <row r="30" spans="2:17" x14ac:dyDescent="0.25">
      <c r="B30" s="510" t="s">
        <v>260</v>
      </c>
      <c r="C30" s="406">
        <v>0.25742876498423428</v>
      </c>
      <c r="D30" s="406">
        <v>0</v>
      </c>
      <c r="E30" s="406">
        <v>6.5040034829355095E-2</v>
      </c>
      <c r="F30" s="406">
        <v>0</v>
      </c>
      <c r="G30" s="406">
        <v>8.398796115769748E-2</v>
      </c>
      <c r="H30" s="406">
        <v>0</v>
      </c>
      <c r="I30" s="406">
        <v>5.9352004434184279E-2</v>
      </c>
      <c r="J30" s="406">
        <v>3.9990839431714179E-2</v>
      </c>
      <c r="K30" s="406">
        <v>7.6938909193867325E-2</v>
      </c>
      <c r="L30" s="406">
        <v>0.16506432259916995</v>
      </c>
      <c r="M30" s="406">
        <v>0.10283910965461511</v>
      </c>
      <c r="N30" s="406">
        <v>0.14935805371516231</v>
      </c>
      <c r="O30" s="602">
        <f t="shared" si="5"/>
        <v>1</v>
      </c>
    </row>
    <row r="31" spans="2:17" ht="15.75" thickBot="1" x14ac:dyDescent="0.3">
      <c r="B31" s="510"/>
      <c r="C31" s="406"/>
      <c r="D31" s="406"/>
      <c r="E31" s="406"/>
      <c r="F31" s="406"/>
      <c r="G31" s="406"/>
      <c r="H31" s="406"/>
      <c r="I31" s="406"/>
      <c r="J31" s="406"/>
      <c r="K31" s="406"/>
      <c r="L31" s="406"/>
      <c r="M31" s="406"/>
      <c r="N31" s="406"/>
    </row>
    <row r="32" spans="2:17" x14ac:dyDescent="0.25">
      <c r="B32" s="573" t="s">
        <v>210</v>
      </c>
      <c r="C32" s="574" t="s">
        <v>188</v>
      </c>
      <c r="D32" s="574" t="s">
        <v>189</v>
      </c>
      <c r="E32" s="574" t="s">
        <v>190</v>
      </c>
      <c r="F32" s="574" t="s">
        <v>191</v>
      </c>
      <c r="G32" s="574" t="s">
        <v>192</v>
      </c>
      <c r="H32" s="574" t="s">
        <v>193</v>
      </c>
      <c r="I32" s="574" t="s">
        <v>194</v>
      </c>
      <c r="J32" s="575" t="s">
        <v>195</v>
      </c>
      <c r="K32" s="574" t="s">
        <v>196</v>
      </c>
      <c r="L32" s="574" t="s">
        <v>197</v>
      </c>
      <c r="M32" s="574" t="s">
        <v>198</v>
      </c>
      <c r="N32" s="578" t="s">
        <v>199</v>
      </c>
      <c r="O32" s="580" t="s">
        <v>307</v>
      </c>
      <c r="P32" s="514"/>
      <c r="Q32" s="518"/>
    </row>
    <row r="33" spans="2:17" x14ac:dyDescent="0.25">
      <c r="B33" s="569" t="s">
        <v>201</v>
      </c>
      <c r="C33" s="516">
        <f>'A) Resumen Ingresos y Egresos'!$D$11*C40</f>
        <v>357153.13022746256</v>
      </c>
      <c r="D33" s="516">
        <f>'A) Resumen Ingresos y Egresos'!$D$11*D40</f>
        <v>474529.89778309857</v>
      </c>
      <c r="E33" s="516">
        <f>'A) Resumen Ingresos y Egresos'!$D$11*E40</f>
        <v>278871.08962932398</v>
      </c>
      <c r="F33" s="516">
        <f>'A) Resumen Ingresos y Egresos'!$D$11*F40</f>
        <v>240956.84288191094</v>
      </c>
      <c r="G33" s="516">
        <f>'A) Resumen Ingresos y Egresos'!$D$11*G40</f>
        <v>372997.02638045663</v>
      </c>
      <c r="H33" s="516">
        <f>'A) Resumen Ingresos y Egresos'!$D$11*H40</f>
        <v>160637.89525460728</v>
      </c>
      <c r="I33" s="516">
        <f>'A) Resumen Ingresos y Egresos'!$D$11*I40</f>
        <v>895104.90596410923</v>
      </c>
      <c r="J33" s="516">
        <f>'A) Resumen Ingresos y Egresos'!$D$11*J40</f>
        <v>203690.7029165049</v>
      </c>
      <c r="K33" s="516">
        <f>'A) Resumen Ingresos y Egresos'!$D$11*K40</f>
        <v>668985.0790560029</v>
      </c>
      <c r="L33" s="516">
        <f>'A) Resumen Ingresos y Egresos'!$D$11*L40</f>
        <v>1318202.9012607904</v>
      </c>
      <c r="M33" s="516">
        <f>'A) Resumen Ingresos y Egresos'!$D$11*M40</f>
        <v>240956.84288191094</v>
      </c>
      <c r="N33" s="517">
        <f>'A) Resumen Ingresos y Egresos'!$D$11*N40</f>
        <v>481913.68576382188</v>
      </c>
      <c r="O33" s="572">
        <f>SUM(C33:N33)</f>
        <v>5694000</v>
      </c>
      <c r="P33" s="514"/>
      <c r="Q33" s="519"/>
    </row>
    <row r="34" spans="2:17" x14ac:dyDescent="0.25">
      <c r="B34" s="569" t="s">
        <v>202</v>
      </c>
      <c r="C34" s="516">
        <f>SUM('F) Remuneraciones'!$I$45:$I$52)/12</f>
        <v>0</v>
      </c>
      <c r="D34" s="516">
        <f>SUM('F) Remuneraciones'!$I$45:$I$52)/12</f>
        <v>0</v>
      </c>
      <c r="E34" s="516">
        <f>SUM('F) Remuneraciones'!$I$45:$I$52)/12</f>
        <v>0</v>
      </c>
      <c r="F34" s="516">
        <f>SUM('F) Remuneraciones'!$I$45:$I$52)/12</f>
        <v>0</v>
      </c>
      <c r="G34" s="516">
        <f>SUM('F) Remuneraciones'!$I$45:$I$52)/12</f>
        <v>0</v>
      </c>
      <c r="H34" s="516">
        <f>SUM('F) Remuneraciones'!$I$45:$I$52)/12</f>
        <v>0</v>
      </c>
      <c r="I34" s="516">
        <f>SUM('F) Remuneraciones'!$I$45:$I$52)/12</f>
        <v>0</v>
      </c>
      <c r="J34" s="516">
        <f>SUM('F) Remuneraciones'!$I$45:$I$52)/12</f>
        <v>0</v>
      </c>
      <c r="K34" s="516">
        <f>SUM('F) Remuneraciones'!$I$45:$I$52)/12</f>
        <v>0</v>
      </c>
      <c r="L34" s="516">
        <f>SUM('F) Remuneraciones'!$I$45:$I$52)/12</f>
        <v>0</v>
      </c>
      <c r="M34" s="516">
        <f>SUM('F) Remuneraciones'!$I$45:$I$52)/12</f>
        <v>0</v>
      </c>
      <c r="N34" s="517">
        <f>SUM('F) Remuneraciones'!$I$45:$I$52)/12</f>
        <v>0</v>
      </c>
      <c r="O34" s="572">
        <f t="shared" ref="O34:O39" si="6">SUM(C34:N34)</f>
        <v>0</v>
      </c>
      <c r="P34" s="564"/>
      <c r="Q34" s="1126"/>
    </row>
    <row r="35" spans="2:17" x14ac:dyDescent="0.25">
      <c r="B35" s="569" t="s">
        <v>203</v>
      </c>
      <c r="C35" s="516">
        <f>SUM('F) Remuneraciones'!$I$53:$I$61)/12</f>
        <v>0</v>
      </c>
      <c r="D35" s="516">
        <f t="shared" ref="D35:N35" si="7">C35</f>
        <v>0</v>
      </c>
      <c r="E35" s="516">
        <f t="shared" si="7"/>
        <v>0</v>
      </c>
      <c r="F35" s="516">
        <f t="shared" si="7"/>
        <v>0</v>
      </c>
      <c r="G35" s="516">
        <f t="shared" si="7"/>
        <v>0</v>
      </c>
      <c r="H35" s="516">
        <f t="shared" si="7"/>
        <v>0</v>
      </c>
      <c r="I35" s="516">
        <f t="shared" si="7"/>
        <v>0</v>
      </c>
      <c r="J35" s="516">
        <f t="shared" si="7"/>
        <v>0</v>
      </c>
      <c r="K35" s="516">
        <f t="shared" si="7"/>
        <v>0</v>
      </c>
      <c r="L35" s="516">
        <f t="shared" si="7"/>
        <v>0</v>
      </c>
      <c r="M35" s="516">
        <f t="shared" si="7"/>
        <v>0</v>
      </c>
      <c r="N35" s="517">
        <f t="shared" si="7"/>
        <v>0</v>
      </c>
      <c r="O35" s="572">
        <f t="shared" si="6"/>
        <v>0</v>
      </c>
      <c r="P35" s="564"/>
      <c r="Q35" s="1126"/>
    </row>
    <row r="36" spans="2:17" x14ac:dyDescent="0.25">
      <c r="B36" s="569" t="s">
        <v>204</v>
      </c>
      <c r="C36" s="516">
        <f>SUM('F) Remuneraciones'!$J$45:$K$52)/2</f>
        <v>0</v>
      </c>
      <c r="D36" s="516">
        <v>0</v>
      </c>
      <c r="E36" s="516">
        <v>0</v>
      </c>
      <c r="F36" s="516">
        <v>0</v>
      </c>
      <c r="G36" s="516">
        <v>0</v>
      </c>
      <c r="H36" s="516">
        <v>0</v>
      </c>
      <c r="I36" s="516">
        <v>0</v>
      </c>
      <c r="J36" s="516">
        <v>0</v>
      </c>
      <c r="K36" s="516">
        <f>SUM('F) Remuneraciones'!$J$45:$K$52)/2</f>
        <v>0</v>
      </c>
      <c r="L36" s="516">
        <v>0</v>
      </c>
      <c r="M36" s="516">
        <v>0</v>
      </c>
      <c r="N36" s="517">
        <f>+C36+K36</f>
        <v>0</v>
      </c>
      <c r="O36" s="572">
        <f t="shared" si="6"/>
        <v>0</v>
      </c>
      <c r="P36" s="514"/>
      <c r="Q36" s="519"/>
    </row>
    <row r="37" spans="2:17" x14ac:dyDescent="0.25">
      <c r="B37" s="569" t="s">
        <v>205</v>
      </c>
      <c r="C37" s="516">
        <f>('C) Estimación Costos Directos'!$H$155-'C) Estimación Costos Directos'!$H$156)*C41</f>
        <v>0</v>
      </c>
      <c r="D37" s="516">
        <f>('C) Estimación Costos Directos'!$H$155-'C) Estimación Costos Directos'!$H$156)*D41</f>
        <v>0</v>
      </c>
      <c r="E37" s="516">
        <f>('C) Estimación Costos Directos'!$H$155-'C) Estimación Costos Directos'!$H$156)*E41</f>
        <v>0</v>
      </c>
      <c r="F37" s="516">
        <f>('C) Estimación Costos Directos'!$H$155-'C) Estimación Costos Directos'!$H$156)*F41</f>
        <v>0</v>
      </c>
      <c r="G37" s="516">
        <f>('C) Estimación Costos Directos'!$H$155-'C) Estimación Costos Directos'!$H$156)*G41</f>
        <v>270256.59193279012</v>
      </c>
      <c r="H37" s="516">
        <f>('C) Estimación Costos Directos'!$H$155-'C) Estimación Costos Directos'!$H$156)*H41</f>
        <v>135478.67184184812</v>
      </c>
      <c r="I37" s="516">
        <f>('C) Estimación Costos Directos'!$H$155-'C) Estimación Costos Directos'!$H$156)*I41</f>
        <v>125644.7889374657</v>
      </c>
      <c r="J37" s="516">
        <f>('C) Estimación Costos Directos'!$H$155-'C) Estimación Costos Directos'!$H$156)*J41</f>
        <v>0</v>
      </c>
      <c r="K37" s="516">
        <f>('C) Estimación Costos Directos'!$H$155-'C) Estimación Costos Directos'!$H$156)*K41</f>
        <v>41889.382443054186</v>
      </c>
      <c r="L37" s="516">
        <f>('C) Estimación Costos Directos'!$H$155-'C) Estimación Costos Directos'!$H$156)*L41</f>
        <v>134075.61111392276</v>
      </c>
      <c r="M37" s="516">
        <f>('C) Estimación Costos Directos'!$H$155-'C) Estimación Costos Directos'!$H$156)*M41</f>
        <v>92654.953730919107</v>
      </c>
      <c r="N37" s="517">
        <f>('C) Estimación Costos Directos'!$H$155-'C) Estimación Costos Directos'!$H$156)*N41</f>
        <v>0</v>
      </c>
      <c r="O37" s="572">
        <f t="shared" si="6"/>
        <v>800000</v>
      </c>
      <c r="P37" s="514"/>
      <c r="Q37" s="519"/>
    </row>
    <row r="38" spans="2:17" ht="15.75" thickBot="1" x14ac:dyDescent="0.3">
      <c r="B38" s="576" t="s">
        <v>258</v>
      </c>
      <c r="C38" s="577">
        <f>'C) Estimación Costos Directos'!$H$183*C42</f>
        <v>0</v>
      </c>
      <c r="D38" s="577">
        <f>'C) Estimación Costos Directos'!$H$183*D42</f>
        <v>0</v>
      </c>
      <c r="E38" s="577">
        <f>'C) Estimación Costos Directos'!$H$183*E42</f>
        <v>0</v>
      </c>
      <c r="F38" s="577">
        <f>'C) Estimación Costos Directos'!$H$183*F42</f>
        <v>0</v>
      </c>
      <c r="G38" s="577">
        <f>'C) Estimación Costos Directos'!$H$183*G42</f>
        <v>0</v>
      </c>
      <c r="H38" s="577">
        <f>'C) Estimación Costos Directos'!$H$183*H42</f>
        <v>0</v>
      </c>
      <c r="I38" s="577">
        <f>'C) Estimación Costos Directos'!$H$183*I42</f>
        <v>0</v>
      </c>
      <c r="J38" s="577">
        <f>'C) Estimación Costos Directos'!$H$183*J42</f>
        <v>0</v>
      </c>
      <c r="K38" s="577">
        <f>'C) Estimación Costos Directos'!$H$183*K42</f>
        <v>0</v>
      </c>
      <c r="L38" s="577">
        <f>'C) Estimación Costos Directos'!$H$183*L42</f>
        <v>0</v>
      </c>
      <c r="M38" s="577">
        <f>'C) Estimación Costos Directos'!$H$183*M42</f>
        <v>0</v>
      </c>
      <c r="N38" s="579">
        <f>'C) Estimación Costos Directos'!$H$183*N42</f>
        <v>0</v>
      </c>
      <c r="O38" s="581">
        <f t="shared" si="6"/>
        <v>0</v>
      </c>
      <c r="P38" s="514"/>
      <c r="Q38" s="519"/>
    </row>
    <row r="39" spans="2:17" ht="15.75" thickBot="1" x14ac:dyDescent="0.3">
      <c r="B39" s="604" t="s">
        <v>206</v>
      </c>
      <c r="C39" s="605">
        <f>C33-(C34+C35+C36+C37+C38)</f>
        <v>357153.13022746256</v>
      </c>
      <c r="D39" s="606">
        <f t="shared" ref="D39:N39" si="8">D33-(D34+D35+D36+D37+D38)</f>
        <v>474529.89778309857</v>
      </c>
      <c r="E39" s="606">
        <f t="shared" si="8"/>
        <v>278871.08962932398</v>
      </c>
      <c r="F39" s="606">
        <f t="shared" si="8"/>
        <v>240956.84288191094</v>
      </c>
      <c r="G39" s="606">
        <f t="shared" si="8"/>
        <v>102740.43444766651</v>
      </c>
      <c r="H39" s="606">
        <f t="shared" si="8"/>
        <v>25159.223412759166</v>
      </c>
      <c r="I39" s="606">
        <f t="shared" si="8"/>
        <v>769460.11702664359</v>
      </c>
      <c r="J39" s="606">
        <f t="shared" si="8"/>
        <v>203690.7029165049</v>
      </c>
      <c r="K39" s="606">
        <f t="shared" si="8"/>
        <v>627095.69661294867</v>
      </c>
      <c r="L39" s="606">
        <f t="shared" si="8"/>
        <v>1184127.2901468677</v>
      </c>
      <c r="M39" s="606">
        <f t="shared" si="8"/>
        <v>148301.88915099183</v>
      </c>
      <c r="N39" s="606">
        <f t="shared" si="8"/>
        <v>481913.68576382188</v>
      </c>
      <c r="O39" s="607">
        <f t="shared" si="6"/>
        <v>4894000</v>
      </c>
      <c r="P39" s="514"/>
      <c r="Q39" s="519"/>
    </row>
    <row r="40" spans="2:17" x14ac:dyDescent="0.25">
      <c r="B40" s="509" t="s">
        <v>207</v>
      </c>
      <c r="C40" s="403">
        <v>6.2724469657088611E-2</v>
      </c>
      <c r="D40" s="403">
        <v>8.3338584085545939E-2</v>
      </c>
      <c r="E40" s="403">
        <v>4.8976306573467507E-2</v>
      </c>
      <c r="F40" s="403">
        <v>4.2317675251477158E-2</v>
      </c>
      <c r="G40" s="403">
        <v>6.5507029571558947E-2</v>
      </c>
      <c r="H40" s="403">
        <v>2.8211783500984772E-2</v>
      </c>
      <c r="I40" s="403">
        <v>0.1572014235974902</v>
      </c>
      <c r="J40" s="403">
        <v>3.5772866687127661E-2</v>
      </c>
      <c r="K40" s="403">
        <v>0.11748947647629134</v>
      </c>
      <c r="L40" s="403">
        <v>0.23150735884453641</v>
      </c>
      <c r="M40" s="403">
        <v>4.2317675251477158E-2</v>
      </c>
      <c r="N40" s="403">
        <v>8.4635350502954315E-2</v>
      </c>
      <c r="O40" s="602">
        <f>SUM(C40:N40)</f>
        <v>1</v>
      </c>
    </row>
    <row r="41" spans="2:17" x14ac:dyDescent="0.25">
      <c r="B41" s="510" t="s">
        <v>208</v>
      </c>
      <c r="C41" s="406">
        <v>0</v>
      </c>
      <c r="D41" s="406">
        <v>0</v>
      </c>
      <c r="E41" s="406">
        <v>0</v>
      </c>
      <c r="F41" s="406">
        <v>0</v>
      </c>
      <c r="G41" s="406">
        <v>0.33782073991598766</v>
      </c>
      <c r="H41" s="406">
        <v>0.16934833980231015</v>
      </c>
      <c r="I41" s="406">
        <v>0.15705598617183211</v>
      </c>
      <c r="J41" s="406">
        <v>0</v>
      </c>
      <c r="K41" s="406">
        <v>5.2361728053817731E-2</v>
      </c>
      <c r="L41" s="406">
        <v>0.16759451389240346</v>
      </c>
      <c r="M41" s="406">
        <v>0.11581869216364889</v>
      </c>
      <c r="N41" s="406">
        <v>0</v>
      </c>
      <c r="O41" s="602">
        <f t="shared" ref="O41:O42" si="9">SUM(C41:N41)</f>
        <v>1</v>
      </c>
    </row>
    <row r="42" spans="2:17" x14ac:dyDescent="0.25">
      <c r="B42" s="510" t="s">
        <v>260</v>
      </c>
      <c r="C42" s="406">
        <v>0</v>
      </c>
      <c r="D42" s="406">
        <v>0</v>
      </c>
      <c r="E42" s="406">
        <v>0</v>
      </c>
      <c r="F42" s="406">
        <v>0</v>
      </c>
      <c r="G42" s="406">
        <v>0.33782073991598766</v>
      </c>
      <c r="H42" s="406">
        <v>0.16934833980231015</v>
      </c>
      <c r="I42" s="406">
        <v>0.15705598617183211</v>
      </c>
      <c r="J42" s="406">
        <v>0</v>
      </c>
      <c r="K42" s="406">
        <v>5.2361728053817731E-2</v>
      </c>
      <c r="L42" s="406">
        <v>0.16759451389240346</v>
      </c>
      <c r="M42" s="406">
        <v>0.11581869216364889</v>
      </c>
      <c r="N42" s="406">
        <v>0</v>
      </c>
      <c r="O42" s="602">
        <f t="shared" si="9"/>
        <v>1</v>
      </c>
    </row>
    <row r="43" spans="2:17" ht="15.75" thickBot="1" x14ac:dyDescent="0.3">
      <c r="B43" s="510"/>
      <c r="C43" s="406"/>
      <c r="D43" s="406"/>
      <c r="E43" s="406"/>
      <c r="F43" s="406"/>
      <c r="G43" s="406"/>
      <c r="H43" s="406"/>
      <c r="I43" s="406"/>
      <c r="J43" s="406"/>
      <c r="K43" s="406"/>
      <c r="L43" s="406"/>
      <c r="M43" s="406"/>
      <c r="N43" s="406"/>
    </row>
    <row r="44" spans="2:17" x14ac:dyDescent="0.25">
      <c r="B44" s="573" t="s">
        <v>211</v>
      </c>
      <c r="C44" s="574" t="s">
        <v>188</v>
      </c>
      <c r="D44" s="574" t="s">
        <v>189</v>
      </c>
      <c r="E44" s="574" t="s">
        <v>190</v>
      </c>
      <c r="F44" s="574" t="s">
        <v>191</v>
      </c>
      <c r="G44" s="574" t="s">
        <v>192</v>
      </c>
      <c r="H44" s="574" t="s">
        <v>193</v>
      </c>
      <c r="I44" s="574" t="s">
        <v>194</v>
      </c>
      <c r="J44" s="575" t="s">
        <v>195</v>
      </c>
      <c r="K44" s="574" t="s">
        <v>196</v>
      </c>
      <c r="L44" s="574" t="s">
        <v>197</v>
      </c>
      <c r="M44" s="574" t="s">
        <v>198</v>
      </c>
      <c r="N44" s="578" t="s">
        <v>199</v>
      </c>
      <c r="O44" s="580" t="s">
        <v>307</v>
      </c>
      <c r="P44" s="514"/>
      <c r="Q44" s="518"/>
    </row>
    <row r="45" spans="2:17" x14ac:dyDescent="0.25">
      <c r="B45" s="569" t="s">
        <v>201</v>
      </c>
      <c r="C45" s="516">
        <f>'A) Resumen Ingresos y Egresos'!$D$12*C52</f>
        <v>48632.8125</v>
      </c>
      <c r="D45" s="516">
        <f>'A) Resumen Ingresos y Egresos'!$D$12*D52</f>
        <v>32097.65625</v>
      </c>
      <c r="E45" s="516">
        <f>'A) Resumen Ingresos y Egresos'!$D$12*E52</f>
        <v>64195.3125</v>
      </c>
      <c r="F45" s="516">
        <f>'A) Resumen Ingresos y Egresos'!$D$12*F52</f>
        <v>128390.625</v>
      </c>
      <c r="G45" s="516">
        <f>'A) Resumen Ingresos y Egresos'!$D$12*G52</f>
        <v>0</v>
      </c>
      <c r="H45" s="516">
        <f>'A) Resumen Ingresos y Egresos'!$D$12*H52</f>
        <v>0</v>
      </c>
      <c r="I45" s="516">
        <f>'A) Resumen Ingresos y Egresos'!$D$12*I52</f>
        <v>64195.3125</v>
      </c>
      <c r="J45" s="516">
        <f>'A) Resumen Ingresos y Egresos'!$D$12*J52</f>
        <v>0</v>
      </c>
      <c r="K45" s="516">
        <f>'A) Resumen Ingresos y Egresos'!$D$12*K52</f>
        <v>32097.65625</v>
      </c>
      <c r="L45" s="516">
        <f>'A) Resumen Ingresos y Egresos'!$D$12*L52</f>
        <v>32097.65625</v>
      </c>
      <c r="M45" s="516">
        <f>'A) Resumen Ingresos y Egresos'!$D$12*M52</f>
        <v>64195.3125</v>
      </c>
      <c r="N45" s="517">
        <f>'A) Resumen Ingresos y Egresos'!$D$12*N52</f>
        <v>32097.65625</v>
      </c>
      <c r="O45" s="572">
        <f>SUM(C45:N45)</f>
        <v>498000</v>
      </c>
      <c r="P45" s="514"/>
      <c r="Q45" s="519"/>
    </row>
    <row r="46" spans="2:17" x14ac:dyDescent="0.25">
      <c r="B46" s="569" t="s">
        <v>202</v>
      </c>
      <c r="C46" s="516">
        <f>SUM('F) Remuneraciones'!$I$62:$I$69)/12</f>
        <v>0</v>
      </c>
      <c r="D46" s="516">
        <f>SUM('F) Remuneraciones'!$I$62:$I$69)/12</f>
        <v>0</v>
      </c>
      <c r="E46" s="516">
        <f>SUM('F) Remuneraciones'!$I$62:$I$69)/12</f>
        <v>0</v>
      </c>
      <c r="F46" s="516">
        <f>SUM('F) Remuneraciones'!$I$62:$I$69)/12</f>
        <v>0</v>
      </c>
      <c r="G46" s="516">
        <f>SUM('F) Remuneraciones'!$I$62:$I$69)/12</f>
        <v>0</v>
      </c>
      <c r="H46" s="516">
        <f>SUM('F) Remuneraciones'!$I$62:$I$69)/12</f>
        <v>0</v>
      </c>
      <c r="I46" s="516">
        <f>SUM('F) Remuneraciones'!$I$62:$I$69)/12</f>
        <v>0</v>
      </c>
      <c r="J46" s="516">
        <f>SUM('F) Remuneraciones'!$I$62:$I$69)/12</f>
        <v>0</v>
      </c>
      <c r="K46" s="516">
        <f>SUM('F) Remuneraciones'!$I$62:$I$69)/12</f>
        <v>0</v>
      </c>
      <c r="L46" s="516">
        <f>SUM('F) Remuneraciones'!$I$62:$I$69)/12</f>
        <v>0</v>
      </c>
      <c r="M46" s="516">
        <f>SUM('F) Remuneraciones'!$I$62:$I$69)/12</f>
        <v>0</v>
      </c>
      <c r="N46" s="517">
        <f>SUM('F) Remuneraciones'!$I$62:$I$69)/12</f>
        <v>0</v>
      </c>
      <c r="O46" s="572">
        <f t="shared" ref="O46:O51" si="10">SUM(C46:N46)</f>
        <v>0</v>
      </c>
      <c r="P46" s="564"/>
      <c r="Q46" s="1126"/>
    </row>
    <row r="47" spans="2:17" x14ac:dyDescent="0.25">
      <c r="B47" s="569" t="s">
        <v>203</v>
      </c>
      <c r="C47" s="516">
        <f>SUM('F) Remuneraciones'!$I$70:$I$78)/4</f>
        <v>0</v>
      </c>
      <c r="D47" s="516">
        <f>SUM('F) Remuneraciones'!$I$70:$I$78)/4</f>
        <v>0</v>
      </c>
      <c r="E47" s="516">
        <f>SUM('F) Remuneraciones'!$I$70:$I$78)/4</f>
        <v>0</v>
      </c>
      <c r="F47" s="516">
        <v>0</v>
      </c>
      <c r="G47" s="516">
        <v>0</v>
      </c>
      <c r="H47" s="516">
        <v>0</v>
      </c>
      <c r="I47" s="516">
        <v>0</v>
      </c>
      <c r="J47" s="516">
        <v>0</v>
      </c>
      <c r="K47" s="516">
        <v>0</v>
      </c>
      <c r="L47" s="516">
        <v>0</v>
      </c>
      <c r="M47" s="516">
        <v>0</v>
      </c>
      <c r="N47" s="517">
        <f>SUM('F) Remuneraciones'!$I$70:$I$78)/4</f>
        <v>0</v>
      </c>
      <c r="O47" s="572">
        <f t="shared" si="10"/>
        <v>0</v>
      </c>
      <c r="P47" s="564"/>
      <c r="Q47" s="1126"/>
    </row>
    <row r="48" spans="2:17" x14ac:dyDescent="0.25">
      <c r="B48" s="569" t="s">
        <v>204</v>
      </c>
      <c r="C48" s="516">
        <f>SUM('F) Remuneraciones'!$J$62:$K$69)/2</f>
        <v>0</v>
      </c>
      <c r="D48" s="516">
        <v>0</v>
      </c>
      <c r="E48" s="516">
        <v>0</v>
      </c>
      <c r="F48" s="516">
        <v>0</v>
      </c>
      <c r="G48" s="516">
        <v>0</v>
      </c>
      <c r="H48" s="516">
        <v>0</v>
      </c>
      <c r="I48" s="516">
        <v>0</v>
      </c>
      <c r="J48" s="516">
        <v>0</v>
      </c>
      <c r="K48" s="516">
        <f>SUM('F) Remuneraciones'!$J$62:$K$69)/2</f>
        <v>0</v>
      </c>
      <c r="L48" s="516"/>
      <c r="M48" s="516"/>
      <c r="N48" s="517">
        <f>+C48+K48</f>
        <v>0</v>
      </c>
      <c r="O48" s="572">
        <f t="shared" si="10"/>
        <v>0</v>
      </c>
      <c r="P48" s="514"/>
      <c r="Q48" s="519"/>
    </row>
    <row r="49" spans="2:17" x14ac:dyDescent="0.25">
      <c r="B49" s="569" t="s">
        <v>205</v>
      </c>
      <c r="C49" s="516">
        <f>('C) Estimación Costos Directos'!$H$227-'C) Estimación Costos Directos'!$H$228)*C53</f>
        <v>0</v>
      </c>
      <c r="D49" s="516">
        <f>('C) Estimación Costos Directos'!$H$227-'C) Estimación Costos Directos'!$H$228)*D53</f>
        <v>0</v>
      </c>
      <c r="E49" s="516">
        <f>('C) Estimación Costos Directos'!$H$227-'C) Estimación Costos Directos'!$H$228)*E53</f>
        <v>0</v>
      </c>
      <c r="F49" s="516">
        <f>('C) Estimación Costos Directos'!$H$227-'C) Estimación Costos Directos'!$H$228)*F53</f>
        <v>0</v>
      </c>
      <c r="G49" s="516">
        <f>('C) Estimación Costos Directos'!$H$227-'C) Estimación Costos Directos'!$H$228)*G53</f>
        <v>0</v>
      </c>
      <c r="H49" s="516">
        <f>('C) Estimación Costos Directos'!$H$227-'C) Estimación Costos Directos'!$H$228)*H53</f>
        <v>0</v>
      </c>
      <c r="I49" s="516">
        <f>('C) Estimación Costos Directos'!$H$227-'C) Estimación Costos Directos'!$H$228)*I53</f>
        <v>0</v>
      </c>
      <c r="J49" s="516">
        <f>('C) Estimación Costos Directos'!$H$227-'C) Estimación Costos Directos'!$H$228)*J53</f>
        <v>0</v>
      </c>
      <c r="K49" s="516">
        <f>('C) Estimación Costos Directos'!$H$227-'C) Estimación Costos Directos'!$H$228)*K53</f>
        <v>0</v>
      </c>
      <c r="L49" s="516">
        <f>('C) Estimación Costos Directos'!$H$227-'C) Estimación Costos Directos'!$H$228)*L53</f>
        <v>0</v>
      </c>
      <c r="M49" s="516">
        <f>('C) Estimación Costos Directos'!$H$227-'C) Estimación Costos Directos'!$H$228)*M53</f>
        <v>0</v>
      </c>
      <c r="N49" s="517">
        <f>('C) Estimación Costos Directos'!$H$227-'C) Estimación Costos Directos'!$H$228)*N53</f>
        <v>0</v>
      </c>
      <c r="O49" s="572">
        <f t="shared" si="10"/>
        <v>0</v>
      </c>
      <c r="P49" s="514"/>
      <c r="Q49" s="519"/>
    </row>
    <row r="50" spans="2:17" ht="15.75" thickBot="1" x14ac:dyDescent="0.3">
      <c r="B50" s="576" t="s">
        <v>258</v>
      </c>
      <c r="C50" s="577">
        <f>'C) Estimación Costos Directos'!$H$255*C54</f>
        <v>0</v>
      </c>
      <c r="D50" s="577">
        <f>'C) Estimación Costos Directos'!$H$255*D54</f>
        <v>0</v>
      </c>
      <c r="E50" s="577">
        <f>'C) Estimación Costos Directos'!$H$255*E54</f>
        <v>0</v>
      </c>
      <c r="F50" s="577">
        <f>'C) Estimación Costos Directos'!$H$255*F54</f>
        <v>0</v>
      </c>
      <c r="G50" s="577">
        <f>'C) Estimación Costos Directos'!$H$255*G54</f>
        <v>0</v>
      </c>
      <c r="H50" s="577">
        <f>'C) Estimación Costos Directos'!$H$255*H54</f>
        <v>0</v>
      </c>
      <c r="I50" s="577">
        <f>'C) Estimación Costos Directos'!$H$255*I54</f>
        <v>0</v>
      </c>
      <c r="J50" s="577">
        <f>'C) Estimación Costos Directos'!$H$255*J54</f>
        <v>0</v>
      </c>
      <c r="K50" s="577">
        <f>'C) Estimación Costos Directos'!$H$255*K54</f>
        <v>0</v>
      </c>
      <c r="L50" s="577">
        <f>'C) Estimación Costos Directos'!$H$255*L54</f>
        <v>0</v>
      </c>
      <c r="M50" s="577">
        <f>'C) Estimación Costos Directos'!$H$255*M54</f>
        <v>0</v>
      </c>
      <c r="N50" s="579">
        <f>'C) Estimación Costos Directos'!$H$255*N54</f>
        <v>0</v>
      </c>
      <c r="O50" s="581">
        <f t="shared" si="10"/>
        <v>0</v>
      </c>
      <c r="P50" s="514"/>
      <c r="Q50" s="519"/>
    </row>
    <row r="51" spans="2:17" ht="15.75" thickBot="1" x14ac:dyDescent="0.3">
      <c r="B51" s="603" t="s">
        <v>206</v>
      </c>
      <c r="C51" s="605">
        <f t="shared" ref="C51:N51" si="11">C45-C49-C50</f>
        <v>48632.8125</v>
      </c>
      <c r="D51" s="606">
        <f t="shared" si="11"/>
        <v>32097.65625</v>
      </c>
      <c r="E51" s="606">
        <f t="shared" si="11"/>
        <v>64195.3125</v>
      </c>
      <c r="F51" s="606">
        <f t="shared" si="11"/>
        <v>128390.625</v>
      </c>
      <c r="G51" s="606">
        <f t="shared" si="11"/>
        <v>0</v>
      </c>
      <c r="H51" s="606">
        <f t="shared" si="11"/>
        <v>0</v>
      </c>
      <c r="I51" s="606">
        <f t="shared" si="11"/>
        <v>64195.3125</v>
      </c>
      <c r="J51" s="606">
        <f t="shared" si="11"/>
        <v>0</v>
      </c>
      <c r="K51" s="606">
        <f t="shared" si="11"/>
        <v>32097.65625</v>
      </c>
      <c r="L51" s="606">
        <f t="shared" si="11"/>
        <v>32097.65625</v>
      </c>
      <c r="M51" s="606">
        <f t="shared" si="11"/>
        <v>64195.3125</v>
      </c>
      <c r="N51" s="606">
        <f t="shared" si="11"/>
        <v>32097.65625</v>
      </c>
      <c r="O51" s="607">
        <f t="shared" si="10"/>
        <v>498000</v>
      </c>
      <c r="P51" s="514"/>
      <c r="Q51" s="519"/>
    </row>
    <row r="52" spans="2:17" x14ac:dyDescent="0.25">
      <c r="B52" s="509" t="s">
        <v>207</v>
      </c>
      <c r="C52" s="403">
        <v>9.765625E-2</v>
      </c>
      <c r="D52" s="403">
        <v>6.4453125E-2</v>
      </c>
      <c r="E52" s="403">
        <v>0.12890625</v>
      </c>
      <c r="F52" s="403">
        <v>0.2578125</v>
      </c>
      <c r="G52" s="403">
        <v>0</v>
      </c>
      <c r="H52" s="403">
        <v>0</v>
      </c>
      <c r="I52" s="403">
        <v>0.12890625</v>
      </c>
      <c r="J52" s="403">
        <v>0</v>
      </c>
      <c r="K52" s="403">
        <v>6.4453125E-2</v>
      </c>
      <c r="L52" s="403">
        <v>6.4453125E-2</v>
      </c>
      <c r="M52" s="403">
        <v>0.12890625</v>
      </c>
      <c r="N52" s="403">
        <v>6.4453125E-2</v>
      </c>
      <c r="O52" s="602">
        <f>SUM(C52:N52)</f>
        <v>1</v>
      </c>
    </row>
    <row r="53" spans="2:17" x14ac:dyDescent="0.25">
      <c r="B53" s="510" t="s">
        <v>208</v>
      </c>
      <c r="C53" s="406">
        <v>8.3333333333333343E-2</v>
      </c>
      <c r="D53" s="406">
        <v>8.3333333333333343E-2</v>
      </c>
      <c r="E53" s="406">
        <v>8.3333333333333343E-2</v>
      </c>
      <c r="F53" s="406">
        <v>8.3333333333333343E-2</v>
      </c>
      <c r="G53" s="406">
        <v>8.3333333333333343E-2</v>
      </c>
      <c r="H53" s="406">
        <v>8.3333333333333343E-2</v>
      </c>
      <c r="I53" s="406">
        <v>8.3333333333333343E-2</v>
      </c>
      <c r="J53" s="406">
        <v>8.3333333333333343E-2</v>
      </c>
      <c r="K53" s="406">
        <v>8.3333333333333343E-2</v>
      </c>
      <c r="L53" s="406">
        <v>8.3333333333333343E-2</v>
      </c>
      <c r="M53" s="406">
        <v>8.3333333333333343E-2</v>
      </c>
      <c r="N53" s="406">
        <v>8.3333333333333343E-2</v>
      </c>
      <c r="O53" s="602">
        <f t="shared" ref="O53:O54" si="12">SUM(C53:N53)</f>
        <v>1.0000000000000002</v>
      </c>
    </row>
    <row r="54" spans="2:17" x14ac:dyDescent="0.25">
      <c r="B54" s="511" t="s">
        <v>260</v>
      </c>
      <c r="C54" s="406">
        <v>8.3333333333333343E-2</v>
      </c>
      <c r="D54" s="406">
        <v>8.3333333333333343E-2</v>
      </c>
      <c r="E54" s="406">
        <v>8.3333333333333343E-2</v>
      </c>
      <c r="F54" s="406">
        <v>8.3333333333333343E-2</v>
      </c>
      <c r="G54" s="406">
        <v>8.3333333333333343E-2</v>
      </c>
      <c r="H54" s="406">
        <v>8.3333333333333343E-2</v>
      </c>
      <c r="I54" s="406">
        <v>8.3333333333333343E-2</v>
      </c>
      <c r="J54" s="406">
        <v>8.3333333333333343E-2</v>
      </c>
      <c r="K54" s="406">
        <v>8.3333333333333343E-2</v>
      </c>
      <c r="L54" s="406">
        <v>8.3333333333333343E-2</v>
      </c>
      <c r="M54" s="406">
        <v>8.3333333333333343E-2</v>
      </c>
      <c r="N54" s="406">
        <v>8.3333333333333343E-2</v>
      </c>
      <c r="O54" s="602">
        <f t="shared" si="12"/>
        <v>1.0000000000000002</v>
      </c>
    </row>
  </sheetData>
  <sheetProtection algorithmName="SHA-512" hashValue="OWtRcz5ZqsxrEB85/w3SBqE7F33Oq0SThPBZI9pgqZCPFM+ADkS337w6HdOook5ZrzgVdH55SoFC345azADepA==" saltValue="q+1A5VUh97a39c7h7GdN1g==" spinCount="100000" sheet="1" objects="1" scenarios="1"/>
  <mergeCells count="6">
    <mergeCell ref="Q46:Q47"/>
    <mergeCell ref="C4:D4"/>
    <mergeCell ref="E4:F4"/>
    <mergeCell ref="Q10:Q11"/>
    <mergeCell ref="Q22:Q23"/>
    <mergeCell ref="Q34:Q35"/>
  </mergeCells>
  <conditionalFormatting sqref="C15:N15">
    <cfRule type="cellIs" dxfId="10" priority="18" operator="lessThan">
      <formula>0</formula>
    </cfRule>
  </conditionalFormatting>
  <conditionalFormatting sqref="C15:O15">
    <cfRule type="cellIs" dxfId="9" priority="1" operator="greaterThan">
      <formula>0</formula>
    </cfRule>
    <cfRule type="cellIs" dxfId="8" priority="6" operator="greaterThan">
      <formula>0</formula>
    </cfRule>
  </conditionalFormatting>
  <conditionalFormatting sqref="C27:O27">
    <cfRule type="cellIs" dxfId="7" priority="2" operator="greaterThan">
      <formula>0</formula>
    </cfRule>
    <cfRule type="cellIs" dxfId="6" priority="9" operator="greaterThan">
      <formula>0</formula>
    </cfRule>
    <cfRule type="cellIs" dxfId="5" priority="17" operator="lessThan">
      <formula>0</formula>
    </cfRule>
  </conditionalFormatting>
  <conditionalFormatting sqref="C39:O39">
    <cfRule type="cellIs" dxfId="4" priority="3" operator="greaterThan">
      <formula>0</formula>
    </cfRule>
    <cfRule type="cellIs" dxfId="3" priority="8" operator="greaterThan">
      <formula>0</formula>
    </cfRule>
    <cfRule type="cellIs" dxfId="2" priority="15" operator="lessThan">
      <formula>0</formula>
    </cfRule>
  </conditionalFormatting>
  <conditionalFormatting sqref="C51:O51">
    <cfRule type="cellIs" dxfId="1" priority="4" operator="greaterThan">
      <formula>0</formula>
    </cfRule>
    <cfRule type="cellIs" dxfId="0" priority="5" operator="lessThan">
      <formula>0</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B5:AF51"/>
  <sheetViews>
    <sheetView showGridLines="0" zoomScale="80" zoomScaleNormal="80" workbookViewId="0">
      <selection activeCell="I42" sqref="I42"/>
    </sheetView>
  </sheetViews>
  <sheetFormatPr baseColWidth="10" defaultRowHeight="15" x14ac:dyDescent="0.25"/>
  <cols>
    <col min="2" max="2" width="60.7109375" style="385" customWidth="1"/>
    <col min="3" max="3" width="12.85546875" bestFit="1" customWidth="1"/>
    <col min="4" max="4" width="13.85546875" bestFit="1" customWidth="1"/>
    <col min="5" max="5" width="12.85546875" bestFit="1" customWidth="1"/>
    <col min="6" max="6" width="14.5703125" bestFit="1" customWidth="1"/>
    <col min="7" max="7" width="12.85546875" bestFit="1" customWidth="1"/>
    <col min="8" max="8" width="13" bestFit="1" customWidth="1"/>
    <col min="9" max="13" width="12.85546875" bestFit="1" customWidth="1"/>
    <col min="14" max="14" width="11.7109375" bestFit="1" customWidth="1"/>
    <col min="15" max="15" width="12.85546875" bestFit="1" customWidth="1"/>
    <col min="16" max="16" width="11.28515625" bestFit="1" customWidth="1"/>
    <col min="17" max="17" width="12.85546875" bestFit="1" customWidth="1"/>
    <col min="18" max="18" width="13.85546875" bestFit="1" customWidth="1"/>
    <col min="19" max="19" width="12.85546875" bestFit="1" customWidth="1"/>
    <col min="20" max="20" width="17.7109375" bestFit="1" customWidth="1"/>
    <col min="21" max="21" width="12.85546875" bestFit="1" customWidth="1"/>
    <col min="22" max="22" width="14.85546875" bestFit="1" customWidth="1"/>
    <col min="23" max="23" width="12.85546875" bestFit="1" customWidth="1"/>
    <col min="24" max="24" width="17.42578125" bestFit="1" customWidth="1"/>
    <col min="25" max="25" width="12.85546875" bestFit="1" customWidth="1"/>
    <col min="26" max="26" width="16.28515625" bestFit="1" customWidth="1"/>
    <col min="27" max="28" width="14.140625" customWidth="1"/>
    <col min="29" max="29" width="15.85546875" customWidth="1"/>
    <col min="30" max="32" width="13.28515625" customWidth="1"/>
    <col min="33" max="34" width="13.42578125" customWidth="1"/>
    <col min="35" max="36" width="15" customWidth="1"/>
    <col min="37" max="38" width="14" customWidth="1"/>
    <col min="39" max="40" width="15.7109375" customWidth="1"/>
    <col min="41" max="41" width="15" customWidth="1"/>
  </cols>
  <sheetData>
    <row r="5" spans="2:29" x14ac:dyDescent="0.25">
      <c r="C5" s="430"/>
      <c r="E5" s="431"/>
    </row>
    <row r="6" spans="2:29" x14ac:dyDescent="0.25">
      <c r="B6" s="386" t="s">
        <v>186</v>
      </c>
    </row>
    <row r="7" spans="2:29" ht="15.75" thickBot="1" x14ac:dyDescent="0.3"/>
    <row r="8" spans="2:29" ht="30.75" thickBot="1" x14ac:dyDescent="0.3">
      <c r="B8" s="408" t="s">
        <v>187</v>
      </c>
      <c r="C8" s="448" t="s">
        <v>188</v>
      </c>
      <c r="D8" s="449" t="s">
        <v>214</v>
      </c>
      <c r="E8" s="450" t="s">
        <v>189</v>
      </c>
      <c r="F8" s="449" t="s">
        <v>215</v>
      </c>
      <c r="G8" s="450" t="s">
        <v>190</v>
      </c>
      <c r="H8" s="449" t="s">
        <v>216</v>
      </c>
      <c r="I8" s="450" t="s">
        <v>191</v>
      </c>
      <c r="J8" s="449" t="s">
        <v>217</v>
      </c>
      <c r="K8" s="450" t="s">
        <v>192</v>
      </c>
      <c r="L8" s="449" t="s">
        <v>218</v>
      </c>
      <c r="M8" s="450" t="s">
        <v>193</v>
      </c>
      <c r="N8" s="449" t="s">
        <v>219</v>
      </c>
      <c r="O8" s="450" t="s">
        <v>194</v>
      </c>
      <c r="P8" s="449" t="s">
        <v>220</v>
      </c>
      <c r="Q8" s="450" t="s">
        <v>195</v>
      </c>
      <c r="R8" s="449" t="s">
        <v>221</v>
      </c>
      <c r="S8" s="450" t="s">
        <v>196</v>
      </c>
      <c r="T8" s="449" t="s">
        <v>222</v>
      </c>
      <c r="U8" s="450" t="s">
        <v>197</v>
      </c>
      <c r="V8" s="449" t="s">
        <v>223</v>
      </c>
      <c r="W8" s="450" t="s">
        <v>198</v>
      </c>
      <c r="X8" s="449" t="s">
        <v>224</v>
      </c>
      <c r="Y8" s="450" t="s">
        <v>199</v>
      </c>
      <c r="Z8" s="451" t="s">
        <v>225</v>
      </c>
      <c r="AA8" s="423" t="s">
        <v>200</v>
      </c>
    </row>
    <row r="9" spans="2:29" x14ac:dyDescent="0.25">
      <c r="B9" s="409" t="s">
        <v>201</v>
      </c>
      <c r="C9" s="416">
        <f>+'A) Resumen Ingresos y Egresos'!$D$9*'I)Estructua Económica Mensual'!C16</f>
        <v>5397093.5190860964</v>
      </c>
      <c r="D9" s="416">
        <v>0</v>
      </c>
      <c r="E9" s="417">
        <f>+'A) Resumen Ingresos y Egresos'!$D$9*'I)Estructua Económica Mensual'!D16</f>
        <v>10811749.958034165</v>
      </c>
      <c r="F9" s="417">
        <v>0</v>
      </c>
      <c r="G9" s="417">
        <f>+'A) Resumen Ingresos y Egresos'!$D$9*'I)Estructua Económica Mensual'!E16</f>
        <v>7923164.9846325312</v>
      </c>
      <c r="H9" s="417">
        <v>0</v>
      </c>
      <c r="I9" s="417">
        <f>+'A) Resumen Ingresos y Egresos'!$D$9*'I)Estructua Económica Mensual'!F16</f>
        <v>4331218.052768073</v>
      </c>
      <c r="J9" s="417">
        <v>0</v>
      </c>
      <c r="K9" s="417">
        <f>+'A) Resumen Ingresos y Egresos'!$D$9*'I)Estructua Económica Mensual'!G16</f>
        <v>3951125.134046338</v>
      </c>
      <c r="L9" s="417">
        <v>0</v>
      </c>
      <c r="M9" s="417">
        <f>+'A) Resumen Ingresos y Egresos'!$D$9*'I)Estructua Económica Mensual'!H16</f>
        <v>3044177.6014745911</v>
      </c>
      <c r="N9" s="417"/>
      <c r="O9" s="417">
        <f>+'A) Resumen Ingresos y Egresos'!$D$9*'I)Estructua Económica Mensual'!I16</f>
        <v>4134006.2519236123</v>
      </c>
      <c r="P9" s="417"/>
      <c r="Q9" s="417">
        <f>+'A) Resumen Ingresos y Egresos'!$D$9*'I)Estructua Económica Mensual'!J16</f>
        <v>4476153.3691407507</v>
      </c>
      <c r="R9" s="417"/>
      <c r="S9" s="417">
        <f>+'A) Resumen Ingresos y Egresos'!$D$9*'I)Estructua Económica Mensual'!K16</f>
        <v>3900369.9447456975</v>
      </c>
      <c r="T9" s="417"/>
      <c r="U9" s="417">
        <f>+'A) Resumen Ingresos y Egresos'!$D$9*'I)Estructua Económica Mensual'!L16</f>
        <v>2448440.0615556082</v>
      </c>
      <c r="V9" s="417"/>
      <c r="W9" s="417">
        <f>+'A) Resumen Ingresos y Egresos'!$D$9*'I)Estructua Económica Mensual'!M16</f>
        <v>1854289.7808260282</v>
      </c>
      <c r="X9" s="417"/>
      <c r="Y9" s="417">
        <f>+'A) Resumen Ingresos y Egresos'!$D$9*'I)Estructua Económica Mensual'!N16</f>
        <v>7839211.3417665092</v>
      </c>
      <c r="Z9" s="417"/>
      <c r="AA9" s="413">
        <f>SUM(C9,E9,G9,I9,K9,M9,O9,Q9,S9,U9,W9,Y9)</f>
        <v>60111000</v>
      </c>
    </row>
    <row r="10" spans="2:29" x14ac:dyDescent="0.25">
      <c r="B10" s="410" t="s">
        <v>202</v>
      </c>
      <c r="C10" s="417">
        <f>SUM('F) Remuneraciones'!$I$11:$I$18)/12</f>
        <v>0</v>
      </c>
      <c r="D10" s="1136">
        <v>0</v>
      </c>
      <c r="E10" s="417">
        <f>SUM('F) Remuneraciones'!$I$11:$I$18)/12</f>
        <v>0</v>
      </c>
      <c r="F10" s="1139">
        <v>0</v>
      </c>
      <c r="G10" s="417">
        <f>SUM('F) Remuneraciones'!$I$11:$I$18)/12</f>
        <v>0</v>
      </c>
      <c r="H10" s="1139">
        <v>0</v>
      </c>
      <c r="I10" s="417">
        <f>SUM('F) Remuneraciones'!$I$11:$I$18)/12</f>
        <v>0</v>
      </c>
      <c r="J10" s="1133">
        <v>0</v>
      </c>
      <c r="K10" s="417">
        <f>SUM('F) Remuneraciones'!$I$11:$I$18)/12</f>
        <v>0</v>
      </c>
      <c r="L10" s="1133">
        <v>0</v>
      </c>
      <c r="M10" s="417">
        <f>SUM('F) Remuneraciones'!$I$11:$I$18)/12</f>
        <v>0</v>
      </c>
      <c r="N10" s="1130"/>
      <c r="O10" s="417">
        <f>SUM('F) Remuneraciones'!$I$11:$I$18)/12</f>
        <v>0</v>
      </c>
      <c r="P10" s="1130"/>
      <c r="Q10" s="417">
        <f>SUM('F) Remuneraciones'!$I$11:$I$18)/12</f>
        <v>0</v>
      </c>
      <c r="R10" s="1130"/>
      <c r="S10" s="417">
        <f>SUM('F) Remuneraciones'!$I$11:$I$18)/12</f>
        <v>0</v>
      </c>
      <c r="T10" s="1130"/>
      <c r="U10" s="417">
        <f>SUM('F) Remuneraciones'!$I$11:$I$18)/12</f>
        <v>0</v>
      </c>
      <c r="V10" s="1130"/>
      <c r="W10" s="417">
        <f>SUM('F) Remuneraciones'!$I$11:$I$18)/12</f>
        <v>0</v>
      </c>
      <c r="X10" s="1130"/>
      <c r="Y10" s="417">
        <f>SUM('F) Remuneraciones'!$I$11:$I$18)/12</f>
        <v>0</v>
      </c>
      <c r="Z10" s="1130"/>
      <c r="AA10" s="413">
        <f>SUM(C10,E10,G10,I10,K10,M10,O10,Q10,S10,U10,W10,Y10)</f>
        <v>0</v>
      </c>
    </row>
    <row r="11" spans="2:29" x14ac:dyDescent="0.25">
      <c r="B11" s="410" t="s">
        <v>203</v>
      </c>
      <c r="C11" s="417">
        <f>SUM('F) Remuneraciones'!$I$19:$I$27)/4</f>
        <v>0</v>
      </c>
      <c r="D11" s="1137"/>
      <c r="E11" s="417">
        <f>SUM('F) Remuneraciones'!$I$19:$I$27)/4</f>
        <v>0</v>
      </c>
      <c r="F11" s="1134"/>
      <c r="G11" s="417">
        <f>SUM('F) Remuneraciones'!$I$19:$I$27)/4</f>
        <v>0</v>
      </c>
      <c r="H11" s="1134"/>
      <c r="I11" s="417">
        <v>0</v>
      </c>
      <c r="J11" s="1134"/>
      <c r="K11" s="417">
        <v>0</v>
      </c>
      <c r="L11" s="1134"/>
      <c r="M11" s="417">
        <v>0</v>
      </c>
      <c r="N11" s="1131"/>
      <c r="O11" s="417">
        <v>0</v>
      </c>
      <c r="P11" s="1131"/>
      <c r="Q11" s="417">
        <v>0</v>
      </c>
      <c r="R11" s="1131"/>
      <c r="S11" s="417">
        <v>0</v>
      </c>
      <c r="T11" s="1131"/>
      <c r="U11" s="417">
        <v>0</v>
      </c>
      <c r="V11" s="1131"/>
      <c r="W11" s="417">
        <v>0</v>
      </c>
      <c r="X11" s="1131"/>
      <c r="Y11" s="417">
        <f>SUM('F) Remuneraciones'!$I$19:$I$27)/4</f>
        <v>0</v>
      </c>
      <c r="Z11" s="1131"/>
      <c r="AA11" s="413">
        <f>SUM(C11,E11,G11,I11,K11,M11,O11,Q11,S11,U11,W11,Y11)</f>
        <v>0</v>
      </c>
    </row>
    <row r="12" spans="2:29" x14ac:dyDescent="0.25">
      <c r="B12" s="410" t="s">
        <v>204</v>
      </c>
      <c r="C12" s="417">
        <f>SUM('F) Remuneraciones'!J11:J27)*0.5</f>
        <v>0</v>
      </c>
      <c r="D12" s="1137"/>
      <c r="E12" s="417">
        <v>0</v>
      </c>
      <c r="F12" s="1134"/>
      <c r="G12" s="417">
        <v>0</v>
      </c>
      <c r="H12" s="1134"/>
      <c r="I12" s="417">
        <v>0</v>
      </c>
      <c r="J12" s="1135"/>
      <c r="K12" s="417">
        <v>0</v>
      </c>
      <c r="L12" s="1135"/>
      <c r="M12" s="417">
        <v>0</v>
      </c>
      <c r="N12" s="1132"/>
      <c r="O12" s="417">
        <v>0</v>
      </c>
      <c r="P12" s="1132"/>
      <c r="Q12" s="417">
        <v>0</v>
      </c>
      <c r="R12" s="1132"/>
      <c r="S12" s="417">
        <f>SUM('F) Remuneraciones'!K11:K27)*0.5</f>
        <v>0</v>
      </c>
      <c r="T12" s="1132"/>
      <c r="U12" s="417">
        <v>0</v>
      </c>
      <c r="V12" s="1132"/>
      <c r="W12" s="417">
        <v>0</v>
      </c>
      <c r="X12" s="1132"/>
      <c r="Y12" s="417">
        <f>+C12+S12</f>
        <v>0</v>
      </c>
      <c r="Z12" s="1132"/>
      <c r="AA12" s="413">
        <f>SUM(C12,E12,G12,I12,K12,M12,O12,Q12,S12,U12,W12,Y12)</f>
        <v>0</v>
      </c>
    </row>
    <row r="13" spans="2:29" x14ac:dyDescent="0.25">
      <c r="B13" s="432" t="s">
        <v>212</v>
      </c>
      <c r="C13" s="433">
        <f>SUM(C10:C12)</f>
        <v>0</v>
      </c>
      <c r="D13" s="1138"/>
      <c r="E13" s="434">
        <f>SUM(E10:E12)</f>
        <v>0</v>
      </c>
      <c r="F13" s="1135"/>
      <c r="G13" s="434">
        <f>SUM(G10:G12)</f>
        <v>0</v>
      </c>
      <c r="H13" s="1135"/>
      <c r="I13" s="434">
        <f>SUM(I10:I12)</f>
        <v>0</v>
      </c>
      <c r="J13" s="422"/>
      <c r="K13" s="434">
        <f>SUM(K10:K12)</f>
        <v>0</v>
      </c>
      <c r="L13" s="422"/>
      <c r="M13" s="434">
        <f>SUM(M10:M12)</f>
        <v>0</v>
      </c>
      <c r="N13" s="421"/>
      <c r="O13" s="434">
        <f>SUM(O10:O12)</f>
        <v>0</v>
      </c>
      <c r="P13" s="421"/>
      <c r="Q13" s="434">
        <f>SUM(Q10:Q12)</f>
        <v>0</v>
      </c>
      <c r="R13" s="421"/>
      <c r="S13" s="434">
        <f>SUM(S10:S12)</f>
        <v>0</v>
      </c>
      <c r="T13" s="421"/>
      <c r="U13" s="434">
        <f>SUM(U10:U12)</f>
        <v>0</v>
      </c>
      <c r="V13" s="421"/>
      <c r="W13" s="434">
        <f>SUM(W10:W12)</f>
        <v>0</v>
      </c>
      <c r="X13" s="421"/>
      <c r="Y13" s="434">
        <f>SUM(Y10:Y12)</f>
        <v>0</v>
      </c>
      <c r="Z13" s="421"/>
      <c r="AA13" s="414"/>
    </row>
    <row r="14" spans="2:29" ht="15.75" thickBot="1" x14ac:dyDescent="0.3">
      <c r="B14" s="411" t="s">
        <v>205</v>
      </c>
      <c r="C14" s="417">
        <f>(+'C) Estimación Costos Directos'!$H$80-'C) Estimación Costos Directos'!$D$13)*C17</f>
        <v>3949785.8732890603</v>
      </c>
      <c r="D14" s="417">
        <f>1813526-1813526+0</f>
        <v>0</v>
      </c>
      <c r="E14" s="396">
        <f>(+'C) Estimación Costos Directos'!$H$80-'C) Estimación Costos Directos'!$D$13)*E17</f>
        <v>1543946.914124595</v>
      </c>
      <c r="F14" s="417">
        <v>0</v>
      </c>
      <c r="G14" s="396">
        <f>(+'C) Estimación Costos Directos'!$H$80-'C) Estimación Costos Directos'!$D$13)*G17</f>
        <v>6272885.4563621068</v>
      </c>
      <c r="H14" s="417">
        <v>0</v>
      </c>
      <c r="I14" s="396">
        <f>(+'C) Estimación Costos Directos'!$H$80-'C) Estimación Costos Directos'!$D$13)*I17</f>
        <v>0</v>
      </c>
      <c r="J14" s="417">
        <v>0</v>
      </c>
      <c r="K14" s="396">
        <f>(+'C) Estimación Costos Directos'!$H$80-'C) Estimación Costos Directos'!$D$13)*K17</f>
        <v>2410555.7073216485</v>
      </c>
      <c r="L14" s="417">
        <v>0</v>
      </c>
      <c r="M14" s="396">
        <f>(+'C) Estimación Costos Directos'!$H$80-'C) Estimación Costos Directos'!$D$13)*M17</f>
        <v>597114.74038528756</v>
      </c>
      <c r="N14" s="417"/>
      <c r="O14" s="396">
        <f>(+'C) Estimación Costos Directos'!$H$80-'C) Estimación Costos Directos'!$D$13)*O17</f>
        <v>1618597.0373865452</v>
      </c>
      <c r="P14" s="417"/>
      <c r="Q14" s="396">
        <f>(+'C) Estimación Costos Directos'!$H$80-'C) Estimación Costos Directos'!$D$13)*Q17</f>
        <v>606753.4420104014</v>
      </c>
      <c r="R14" s="417"/>
      <c r="S14" s="396">
        <f>(+'C) Estimación Costos Directos'!$H$80-'C) Estimación Costos Directos'!$D$13)*S17</f>
        <v>1821774.0869467189</v>
      </c>
      <c r="T14" s="417"/>
      <c r="U14" s="396">
        <f>(+'C) Estimación Costos Directos'!$H$80-'C) Estimación Costos Directos'!$D$13)*U17</f>
        <v>3882532.063184055</v>
      </c>
      <c r="V14" s="417"/>
      <c r="W14" s="396">
        <f>(+'C) Estimación Costos Directos'!$H$80-'C) Estimación Costos Directos'!$D$13)*W17</f>
        <v>1521847.1943540857</v>
      </c>
      <c r="X14" s="417"/>
      <c r="Y14" s="396">
        <f>(+'C) Estimación Costos Directos'!$H$80-'C) Estimación Costos Directos'!$D$13)*Y17</f>
        <v>2787675.4846354951</v>
      </c>
      <c r="Z14" s="417"/>
      <c r="AA14" s="414">
        <f>SUM(C14,E14,G14,I14,K14,M14,O14,Q14,S14,U14,W14,Y14)</f>
        <v>27013468.000000004</v>
      </c>
    </row>
    <row r="15" spans="2:29" ht="15.75" thickBot="1" x14ac:dyDescent="0.3">
      <c r="B15" s="412" t="s">
        <v>206</v>
      </c>
      <c r="C15" s="418">
        <f>+C9-C10-C11-C12-C14</f>
        <v>1447307.6457970361</v>
      </c>
      <c r="D15" s="418">
        <f>+D9-D10-D14</f>
        <v>0</v>
      </c>
      <c r="E15" s="418">
        <f>+E9-E10-E11-E12-E14</f>
        <v>9267803.0439095702</v>
      </c>
      <c r="F15" s="418">
        <f>+F9-F10-F14</f>
        <v>0</v>
      </c>
      <c r="G15" s="418">
        <f>+G9-G10-G11-G12-G14</f>
        <v>1650279.5282704243</v>
      </c>
      <c r="H15" s="418">
        <f>+H9-H10-H14</f>
        <v>0</v>
      </c>
      <c r="I15" s="418">
        <f>+I9-I10-I11-I12-I14</f>
        <v>4331218.052768073</v>
      </c>
      <c r="J15" s="418">
        <f>+J9-J10-J14</f>
        <v>0</v>
      </c>
      <c r="K15" s="418">
        <f>+K9-K10-K11-K12-K14</f>
        <v>1540569.4267246895</v>
      </c>
      <c r="L15" s="418">
        <f>+L9-L10-L14</f>
        <v>0</v>
      </c>
      <c r="M15" s="418">
        <f>+M9-M10-M11-M12-M14</f>
        <v>2447062.8610893036</v>
      </c>
      <c r="N15" s="418"/>
      <c r="O15" s="418">
        <f>+O9-O10-O11-O12-O14</f>
        <v>2515409.2145370673</v>
      </c>
      <c r="P15" s="418"/>
      <c r="Q15" s="418">
        <f>+Q9-Q10-Q11-Q12-Q14</f>
        <v>3869399.9271303494</v>
      </c>
      <c r="R15" s="418"/>
      <c r="S15" s="418">
        <f>+S9-S10-S11-S12-S14</f>
        <v>2078595.8577989787</v>
      </c>
      <c r="T15" s="418"/>
      <c r="U15" s="418">
        <f>+U9-U10-U11-U12-U14</f>
        <v>-1434092.0016284469</v>
      </c>
      <c r="V15" s="418"/>
      <c r="W15" s="418">
        <f>+W9-W10-W11-W12-W14</f>
        <v>332442.58647194249</v>
      </c>
      <c r="X15" s="418"/>
      <c r="Y15" s="418">
        <f>+Y9-Y10-Y11-Y12-Y14</f>
        <v>5051535.8571310136</v>
      </c>
      <c r="Z15" s="418"/>
      <c r="AA15" s="415">
        <f>+AA9-AA10-AA11-AA12-AA14</f>
        <v>33097531.999999996</v>
      </c>
    </row>
    <row r="16" spans="2:29" hidden="1" x14ac:dyDescent="0.25">
      <c r="B16" s="402" t="s">
        <v>207</v>
      </c>
      <c r="C16" s="403">
        <v>8.9785455558651431E-2</v>
      </c>
      <c r="E16" s="403">
        <v>0.1798630859249416</v>
      </c>
      <c r="G16" s="403">
        <v>0.1318089032728208</v>
      </c>
      <c r="I16" s="403">
        <v>7.205366825985382E-2</v>
      </c>
      <c r="K16" s="403">
        <v>6.5730484171721296E-2</v>
      </c>
      <c r="M16" s="403">
        <v>5.0642604539511797E-2</v>
      </c>
      <c r="O16" s="403">
        <v>6.8772874381121799E-2</v>
      </c>
      <c r="Q16" s="403">
        <v>7.4464796279229264E-2</v>
      </c>
      <c r="S16" s="403">
        <v>6.4886126411899614E-2</v>
      </c>
      <c r="U16" s="403">
        <v>4.0731980195897723E-2</v>
      </c>
      <c r="W16" s="403">
        <v>3.0847761321988125E-2</v>
      </c>
      <c r="Y16" s="403">
        <v>0.13041225968236278</v>
      </c>
      <c r="Z16" s="403"/>
      <c r="AA16" s="403"/>
      <c r="AB16" s="403"/>
      <c r="AC16" s="403"/>
    </row>
    <row r="17" spans="2:32" hidden="1" x14ac:dyDescent="0.25">
      <c r="B17" s="405" t="s">
        <v>208</v>
      </c>
      <c r="C17" s="406">
        <v>0.14621543125410852</v>
      </c>
      <c r="E17" s="406">
        <v>5.7154709425853614E-2</v>
      </c>
      <c r="G17" s="406">
        <v>0.23221325956230821</v>
      </c>
      <c r="I17" s="406">
        <v>0</v>
      </c>
      <c r="K17" s="406">
        <v>8.923532910774909E-2</v>
      </c>
      <c r="M17" s="406">
        <v>2.2104334785348092E-2</v>
      </c>
      <c r="O17" s="406">
        <v>5.9918150360647703E-2</v>
      </c>
      <c r="Q17" s="406">
        <v>2.2461145751830211E-2</v>
      </c>
      <c r="S17" s="406">
        <v>6.7439474522364873E-2</v>
      </c>
      <c r="U17" s="406">
        <v>0.14372579126767637</v>
      </c>
      <c r="W17" s="406">
        <v>5.6336609366634663E-2</v>
      </c>
      <c r="Y17" s="406">
        <v>0.10319576459547863</v>
      </c>
      <c r="Z17" s="406"/>
      <c r="AA17" s="406"/>
      <c r="AB17" s="406"/>
      <c r="AC17" s="406"/>
      <c r="AD17" s="406"/>
      <c r="AE17" s="406"/>
      <c r="AF17" s="406"/>
    </row>
    <row r="18" spans="2:32" ht="15.75" thickBot="1" x14ac:dyDescent="0.3">
      <c r="B18" s="405"/>
    </row>
    <row r="19" spans="2:32" ht="30.75" thickBot="1" x14ac:dyDescent="0.3">
      <c r="B19" s="388" t="s">
        <v>209</v>
      </c>
      <c r="C19" s="448" t="s">
        <v>188</v>
      </c>
      <c r="D19" s="449" t="s">
        <v>214</v>
      </c>
      <c r="E19" s="450" t="s">
        <v>189</v>
      </c>
      <c r="F19" s="449" t="s">
        <v>215</v>
      </c>
      <c r="G19" s="450" t="s">
        <v>190</v>
      </c>
      <c r="H19" s="449" t="s">
        <v>216</v>
      </c>
      <c r="I19" s="450" t="s">
        <v>191</v>
      </c>
      <c r="J19" s="449" t="s">
        <v>217</v>
      </c>
      <c r="K19" s="450" t="s">
        <v>192</v>
      </c>
      <c r="L19" s="449" t="s">
        <v>218</v>
      </c>
      <c r="M19" s="450" t="s">
        <v>193</v>
      </c>
      <c r="N19" s="449" t="s">
        <v>219</v>
      </c>
      <c r="O19" s="450" t="s">
        <v>194</v>
      </c>
      <c r="P19" s="449" t="s">
        <v>220</v>
      </c>
      <c r="Q19" s="450" t="s">
        <v>195</v>
      </c>
      <c r="R19" s="449" t="s">
        <v>221</v>
      </c>
      <c r="S19" s="450" t="s">
        <v>196</v>
      </c>
      <c r="T19" s="449" t="s">
        <v>222</v>
      </c>
      <c r="U19" s="450" t="s">
        <v>197</v>
      </c>
      <c r="V19" s="449" t="s">
        <v>223</v>
      </c>
      <c r="W19" s="450" t="s">
        <v>198</v>
      </c>
      <c r="X19" s="449" t="s">
        <v>224</v>
      </c>
      <c r="Y19" s="450" t="s">
        <v>199</v>
      </c>
      <c r="Z19" s="451" t="s">
        <v>225</v>
      </c>
      <c r="AA19" s="424" t="s">
        <v>200</v>
      </c>
    </row>
    <row r="20" spans="2:32" x14ac:dyDescent="0.25">
      <c r="B20" s="409" t="s">
        <v>201</v>
      </c>
      <c r="C20" s="390">
        <f>+'A) Resumen Ingresos y Egresos'!$D$10*'I)Estructua Económica Mensual'!C28</f>
        <v>2341910.3549127774</v>
      </c>
      <c r="D20" s="426">
        <v>0</v>
      </c>
      <c r="E20" s="390">
        <f>+'A) Resumen Ingresos y Egresos'!$D$10*'I)Estructua Económica Mensual'!D28</f>
        <v>3187195.1630732389</v>
      </c>
      <c r="F20" s="426">
        <v>0</v>
      </c>
      <c r="G20" s="390">
        <f>+'A) Resumen Ingresos y Egresos'!$D$10*'I)Estructua Económica Mensual'!E28</f>
        <v>2287870.0591757284</v>
      </c>
      <c r="H20" s="426">
        <v>0</v>
      </c>
      <c r="I20" s="390">
        <f>+'A) Resumen Ingresos y Egresos'!$D$10*'I)Estructua Económica Mensual'!F28</f>
        <v>1132987.3950792374</v>
      </c>
      <c r="J20" s="426">
        <v>0</v>
      </c>
      <c r="K20" s="390">
        <f>+'A) Resumen Ingresos y Egresos'!$D$10*'I)Estructua Económica Mensual'!G28</f>
        <v>1933573.6043257455</v>
      </c>
      <c r="L20" s="426">
        <v>0</v>
      </c>
      <c r="M20" s="390">
        <f>+'A) Resumen Ingresos y Egresos'!$D$10*'I)Estructua Económica Mensual'!H28</f>
        <v>2602062.4075904042</v>
      </c>
      <c r="N20" s="426"/>
      <c r="O20" s="390">
        <f>+'A) Resumen Ingresos y Egresos'!$D$10*'I)Estructua Económica Mensual'!I28</f>
        <v>2346393.187102451</v>
      </c>
      <c r="P20" s="426"/>
      <c r="Q20" s="390">
        <f>+'A) Resumen Ingresos y Egresos'!$D$10*'I)Estructua Económica Mensual'!J28</f>
        <v>1689781.4260458162</v>
      </c>
      <c r="R20" s="426"/>
      <c r="S20" s="390">
        <f>+'A) Resumen Ingresos y Egresos'!$D$10*'I)Estructua Económica Mensual'!K28</f>
        <v>1704559.9937040792</v>
      </c>
      <c r="T20" s="426"/>
      <c r="U20" s="390">
        <f>+'A) Resumen Ingresos y Egresos'!$D$10*'I)Estructua Económica Mensual'!L28</f>
        <v>2197458.0663686204</v>
      </c>
      <c r="V20" s="426"/>
      <c r="W20" s="390">
        <f>+'A) Resumen Ingresos y Egresos'!$D$10*'I)Estructua Económica Mensual'!M28</f>
        <v>1390761.7404269569</v>
      </c>
      <c r="X20" s="426"/>
      <c r="Y20" s="390">
        <f>+'A) Resumen Ingresos y Egresos'!$D$10*'I)Estructua Económica Mensual'!N28</f>
        <v>2119246.6021949453</v>
      </c>
      <c r="Z20" s="426"/>
      <c r="AA20" s="425"/>
    </row>
    <row r="21" spans="2:32" x14ac:dyDescent="0.25">
      <c r="B21" s="410" t="s">
        <v>202</v>
      </c>
      <c r="C21" s="390">
        <f>SUM('F) Remuneraciones'!$I$28:$I$35)/12</f>
        <v>0</v>
      </c>
      <c r="D21" s="1133">
        <v>0</v>
      </c>
      <c r="E21" s="390">
        <f>SUM('F) Remuneraciones'!$I$28:$I$35)/12</f>
        <v>0</v>
      </c>
      <c r="F21" s="1133">
        <v>0</v>
      </c>
      <c r="G21" s="390">
        <f>SUM('F) Remuneraciones'!$I$28:$I$35)/12</f>
        <v>0</v>
      </c>
      <c r="H21" s="1133">
        <v>0</v>
      </c>
      <c r="I21" s="390">
        <f>SUM('F) Remuneraciones'!$I$28:$I$35)/12</f>
        <v>0</v>
      </c>
      <c r="J21" s="1130">
        <v>0</v>
      </c>
      <c r="K21" s="390">
        <f>SUM('F) Remuneraciones'!$I$28:$I$35)/12</f>
        <v>0</v>
      </c>
      <c r="L21" s="1130">
        <v>0</v>
      </c>
      <c r="M21" s="390">
        <f>SUM('F) Remuneraciones'!$I$28:$I$35)/12</f>
        <v>0</v>
      </c>
      <c r="N21" s="1130"/>
      <c r="O21" s="390">
        <f>SUM('F) Remuneraciones'!$I$28:$I$35)/12</f>
        <v>0</v>
      </c>
      <c r="P21" s="1130"/>
      <c r="Q21" s="390">
        <f>SUM('F) Remuneraciones'!$I$28:$I$35)/12</f>
        <v>0</v>
      </c>
      <c r="R21" s="1130"/>
      <c r="S21" s="390">
        <f>SUM('F) Remuneraciones'!$I$28:$I$35)/12</f>
        <v>0</v>
      </c>
      <c r="T21" s="1130"/>
      <c r="U21" s="390">
        <f>SUM('F) Remuneraciones'!$I$28:$I$35)/12</f>
        <v>0</v>
      </c>
      <c r="V21" s="1130"/>
      <c r="W21" s="390">
        <f>SUM('F) Remuneraciones'!$I$28:$I$35)/12</f>
        <v>0</v>
      </c>
      <c r="X21" s="1130"/>
      <c r="Y21" s="390">
        <f>SUM('F) Remuneraciones'!$I$28:$I$35)/12</f>
        <v>0</v>
      </c>
      <c r="Z21" s="427"/>
      <c r="AA21" s="425"/>
    </row>
    <row r="22" spans="2:32" x14ac:dyDescent="0.25">
      <c r="B22" s="410" t="s">
        <v>203</v>
      </c>
      <c r="C22" s="390">
        <f>SUM('F) Remuneraciones'!$I$36:$I$44)/4</f>
        <v>0</v>
      </c>
      <c r="D22" s="1140"/>
      <c r="E22" s="390">
        <f>SUM('F) Remuneraciones'!$I$36:$I$44)/4</f>
        <v>0</v>
      </c>
      <c r="F22" s="1140"/>
      <c r="G22" s="390">
        <f>SUM('F) Remuneraciones'!$I$36:$I$44)/4</f>
        <v>0</v>
      </c>
      <c r="H22" s="1140"/>
      <c r="I22" s="390">
        <v>0</v>
      </c>
      <c r="J22" s="1141"/>
      <c r="K22" s="390">
        <v>0</v>
      </c>
      <c r="L22" s="1141"/>
      <c r="M22" s="390">
        <v>0</v>
      </c>
      <c r="N22" s="1141"/>
      <c r="O22" s="390">
        <v>0</v>
      </c>
      <c r="P22" s="1141"/>
      <c r="Q22" s="390">
        <v>0</v>
      </c>
      <c r="R22" s="1141"/>
      <c r="S22" s="390">
        <v>0</v>
      </c>
      <c r="T22" s="1141"/>
      <c r="U22" s="390">
        <v>0</v>
      </c>
      <c r="V22" s="1141"/>
      <c r="W22" s="390">
        <v>0</v>
      </c>
      <c r="X22" s="1141"/>
      <c r="Y22" s="390">
        <f>SUM('[1]F) Remuneraciones'!$I$36:$I$44)/4</f>
        <v>0</v>
      </c>
      <c r="Z22" s="438"/>
      <c r="AA22" s="425"/>
    </row>
    <row r="23" spans="2:32" x14ac:dyDescent="0.25">
      <c r="B23" s="410" t="s">
        <v>204</v>
      </c>
      <c r="C23" s="390">
        <f>SUM('F) Remuneraciones'!J28:J44)*0.5</f>
        <v>0</v>
      </c>
      <c r="D23" s="1140"/>
      <c r="E23" s="393">
        <v>0</v>
      </c>
      <c r="F23" s="1140"/>
      <c r="G23" s="393">
        <v>0</v>
      </c>
      <c r="H23" s="1140"/>
      <c r="I23" s="393">
        <v>0</v>
      </c>
      <c r="J23" s="1141"/>
      <c r="K23" s="393">
        <v>0</v>
      </c>
      <c r="L23" s="1141"/>
      <c r="M23" s="393">
        <v>0</v>
      </c>
      <c r="N23" s="1141"/>
      <c r="O23" s="393">
        <v>0</v>
      </c>
      <c r="P23" s="1141"/>
      <c r="Q23" s="393">
        <v>0</v>
      </c>
      <c r="R23" s="1141"/>
      <c r="S23" s="393">
        <f>SUM('F) Remuneraciones'!K28:K44)*0.5</f>
        <v>0</v>
      </c>
      <c r="T23" s="1141"/>
      <c r="U23" s="393">
        <v>0</v>
      </c>
      <c r="V23" s="1141"/>
      <c r="W23" s="393">
        <v>0</v>
      </c>
      <c r="X23" s="1141"/>
      <c r="Y23" s="394">
        <f>+C23+S23</f>
        <v>0</v>
      </c>
      <c r="Z23" s="438"/>
      <c r="AA23" s="425"/>
    </row>
    <row r="24" spans="2:32" x14ac:dyDescent="0.25">
      <c r="B24" s="435" t="s">
        <v>213</v>
      </c>
      <c r="C24" s="434">
        <f>SUM(C21:C23)</f>
        <v>0</v>
      </c>
      <c r="D24" s="1135"/>
      <c r="E24" s="434">
        <f>SUM(E21:E23)</f>
        <v>0</v>
      </c>
      <c r="F24" s="1135"/>
      <c r="G24" s="434">
        <f>SUM(G21:G23)</f>
        <v>0</v>
      </c>
      <c r="H24" s="1135"/>
      <c r="I24" s="434">
        <f>SUM(I21:I23)</f>
        <v>0</v>
      </c>
      <c r="J24" s="1132"/>
      <c r="K24" s="434">
        <f>SUM(K21:K23)</f>
        <v>0</v>
      </c>
      <c r="L24" s="1132"/>
      <c r="M24" s="434">
        <f>SUM(M21:M23)</f>
        <v>0</v>
      </c>
      <c r="N24" s="1132"/>
      <c r="O24" s="434">
        <f>SUM(O21:O23)</f>
        <v>0</v>
      </c>
      <c r="P24" s="1132"/>
      <c r="Q24" s="434">
        <f>SUM(Q21:Q23)</f>
        <v>0</v>
      </c>
      <c r="R24" s="1132"/>
      <c r="S24" s="434">
        <f>SUM(S21:S23)</f>
        <v>0</v>
      </c>
      <c r="T24" s="1132"/>
      <c r="U24" s="434">
        <f>SUM(U21:U23)</f>
        <v>0</v>
      </c>
      <c r="V24" s="1132"/>
      <c r="W24" s="434">
        <f>SUM(W21:W23)</f>
        <v>0</v>
      </c>
      <c r="X24" s="1132"/>
      <c r="Y24" s="436">
        <f>SUM(Y21:Y22)</f>
        <v>0</v>
      </c>
      <c r="Z24" s="439"/>
      <c r="AA24" s="425"/>
    </row>
    <row r="25" spans="2:32" ht="15.75" thickBot="1" x14ac:dyDescent="0.3">
      <c r="B25" s="411" t="s">
        <v>205</v>
      </c>
      <c r="C25" s="396">
        <f>(+'C) Estimación Costos Directos'!$H$152-'C) Estimación Costos Directos'!$D$85)*C28</f>
        <v>1606285.4728775462</v>
      </c>
      <c r="D25" s="427">
        <f>845240-845240+0</f>
        <v>0</v>
      </c>
      <c r="E25" s="396">
        <f>(+'C) Estimación Costos Directos'!$H$152-'C) Estimación Costos Directos'!$D$85)*E28</f>
        <v>0</v>
      </c>
      <c r="F25" s="427">
        <v>0</v>
      </c>
      <c r="G25" s="396">
        <f>(+'C) Estimación Costos Directos'!$H$152-'C) Estimación Costos Directos'!$D$85)*G28</f>
        <v>405832.12644570222</v>
      </c>
      <c r="H25" s="427">
        <v>0</v>
      </c>
      <c r="I25" s="396">
        <f>(+'C) Estimación Costos Directos'!$H$152-'C) Estimación Costos Directos'!$D$85)*I28</f>
        <v>0</v>
      </c>
      <c r="J25" s="427">
        <v>0</v>
      </c>
      <c r="K25" s="396">
        <f>(+'C) Estimación Costos Directos'!$H$152-'C) Estimación Costos Directos'!$D$85)*K28</f>
        <v>524062.03289859736</v>
      </c>
      <c r="L25" s="427">
        <v>0</v>
      </c>
      <c r="M25" s="396">
        <f>(+'C) Estimación Costos Directos'!$H$152-'C) Estimación Costos Directos'!$D$85)*M28</f>
        <v>0</v>
      </c>
      <c r="N25" s="427"/>
      <c r="O25" s="396">
        <f>(+'C) Estimación Costos Directos'!$H$152-'C) Estimación Costos Directos'!$D$85)*O28</f>
        <v>370340.36392410379</v>
      </c>
      <c r="P25" s="427"/>
      <c r="Q25" s="396">
        <f>(+'C) Estimación Costos Directos'!$H$152-'C) Estimación Costos Directos'!$D$85)*Q28</f>
        <v>249531.96054557106</v>
      </c>
      <c r="R25" s="427"/>
      <c r="S25" s="396">
        <f>(+'C) Estimación Costos Directos'!$H$152-'C) Estimación Costos Directos'!$D$85)*S28</f>
        <v>480077.86598643137</v>
      </c>
      <c r="T25" s="427"/>
      <c r="U25" s="396">
        <f>(+'C) Estimación Costos Directos'!$H$152-'C) Estimación Costos Directos'!$D$85)*U28</f>
        <v>1029956.4755230735</v>
      </c>
      <c r="V25" s="427"/>
      <c r="W25" s="396">
        <f>(+'C) Estimación Costos Directos'!$H$152-'C) Estimación Costos Directos'!$D$85)*W28</f>
        <v>641688.07200697227</v>
      </c>
      <c r="X25" s="427"/>
      <c r="Y25" s="396">
        <f>(+'C) Estimación Costos Directos'!$H$152-'C) Estimación Costos Directos'!$D$85)*AB28</f>
        <v>0</v>
      </c>
      <c r="Z25" s="417"/>
      <c r="AA25" s="425"/>
    </row>
    <row r="26" spans="2:32" ht="15.75" thickBot="1" x14ac:dyDescent="0.3">
      <c r="B26" s="412" t="s">
        <v>206</v>
      </c>
      <c r="C26" s="399">
        <f>+C20-C21-C22-C23-C25</f>
        <v>735624.88203523122</v>
      </c>
      <c r="D26" s="399">
        <f>+D20-D21-D25</f>
        <v>0</v>
      </c>
      <c r="E26" s="399">
        <f t="shared" ref="E26" si="0">+E20-E21-E22-E23-E25</f>
        <v>3187195.1630732389</v>
      </c>
      <c r="F26" s="399">
        <f>+F20-F21-F25</f>
        <v>0</v>
      </c>
      <c r="G26" s="399">
        <f t="shared" ref="G26:Y26" si="1">+G20-G21-G22-G23-G25</f>
        <v>1882037.9327300261</v>
      </c>
      <c r="H26" s="399">
        <f>+H20-H21-H25</f>
        <v>0</v>
      </c>
      <c r="I26" s="399">
        <f t="shared" si="1"/>
        <v>1132987.3950792374</v>
      </c>
      <c r="J26" s="399">
        <f>+J20-J21-J25</f>
        <v>0</v>
      </c>
      <c r="K26" s="399">
        <f t="shared" si="1"/>
        <v>1409511.5714271481</v>
      </c>
      <c r="L26" s="399">
        <f>+L20-L21-L25</f>
        <v>0</v>
      </c>
      <c r="M26" s="399">
        <f t="shared" si="1"/>
        <v>2602062.4075904042</v>
      </c>
      <c r="N26" s="399"/>
      <c r="O26" s="399">
        <f t="shared" si="1"/>
        <v>1976052.8231783472</v>
      </c>
      <c r="P26" s="399"/>
      <c r="Q26" s="399">
        <f t="shared" si="1"/>
        <v>1440249.4655002451</v>
      </c>
      <c r="R26" s="399"/>
      <c r="S26" s="399">
        <f t="shared" si="1"/>
        <v>1224482.1277176477</v>
      </c>
      <c r="T26" s="399"/>
      <c r="U26" s="399">
        <f t="shared" si="1"/>
        <v>1167501.5908455469</v>
      </c>
      <c r="V26" s="399"/>
      <c r="W26" s="399">
        <f t="shared" si="1"/>
        <v>749073.66841998463</v>
      </c>
      <c r="X26" s="400"/>
      <c r="Y26" s="400">
        <f t="shared" si="1"/>
        <v>2119246.6021949453</v>
      </c>
      <c r="Z26" s="418"/>
      <c r="AA26" s="425"/>
    </row>
    <row r="27" spans="2:32" hidden="1" x14ac:dyDescent="0.25">
      <c r="B27" s="402" t="s">
        <v>207</v>
      </c>
      <c r="C27" s="403">
        <v>9.3925127935283736E-2</v>
      </c>
      <c r="D27" s="403"/>
      <c r="E27" s="403">
        <v>0.12782629054028022</v>
      </c>
      <c r="F27" s="403"/>
      <c r="G27" s="403">
        <v>9.1757776960420326E-2</v>
      </c>
      <c r="H27" s="403"/>
      <c r="I27" s="403">
        <v>4.5439820447715044E-2</v>
      </c>
      <c r="J27" s="403"/>
      <c r="K27" s="403">
        <v>7.7548292050379219E-2</v>
      </c>
      <c r="L27" s="403"/>
      <c r="M27" s="403">
        <v>0.10435883850798532</v>
      </c>
      <c r="N27" s="403"/>
      <c r="O27" s="403">
        <v>9.4104917305121993E-2</v>
      </c>
      <c r="P27" s="403"/>
      <c r="Q27" s="403">
        <v>6.7770713892219239E-2</v>
      </c>
      <c r="R27" s="403"/>
      <c r="S27" s="403">
        <v>6.8363426100477229E-2</v>
      </c>
      <c r="T27" s="403"/>
      <c r="U27" s="403">
        <v>8.8131695384121966E-2</v>
      </c>
      <c r="V27" s="403"/>
      <c r="W27" s="403">
        <v>5.5778170211799122E-2</v>
      </c>
      <c r="X27" s="403"/>
      <c r="Y27" s="403"/>
      <c r="Z27" s="403"/>
      <c r="AA27" s="403"/>
      <c r="AB27" s="403"/>
    </row>
    <row r="28" spans="2:32" hidden="1" x14ac:dyDescent="0.25">
      <c r="B28" s="405" t="s">
        <v>208</v>
      </c>
      <c r="C28" s="406">
        <v>0.25742876498423428</v>
      </c>
      <c r="D28" s="406"/>
      <c r="E28" s="406">
        <v>0</v>
      </c>
      <c r="F28" s="406"/>
      <c r="G28" s="406">
        <v>6.5040034829355095E-2</v>
      </c>
      <c r="H28" s="406"/>
      <c r="I28" s="406">
        <v>0</v>
      </c>
      <c r="J28" s="406"/>
      <c r="K28" s="406">
        <v>8.398796115769748E-2</v>
      </c>
      <c r="L28" s="406"/>
      <c r="M28" s="406">
        <v>0</v>
      </c>
      <c r="N28" s="406"/>
      <c r="O28" s="406">
        <v>5.9352004434184279E-2</v>
      </c>
      <c r="P28" s="406"/>
      <c r="Q28" s="406">
        <v>3.9990839431714179E-2</v>
      </c>
      <c r="R28" s="406"/>
      <c r="S28" s="406">
        <v>7.6938909193867325E-2</v>
      </c>
      <c r="T28" s="406"/>
      <c r="U28" s="406">
        <v>0.16506432259916995</v>
      </c>
      <c r="V28" s="406"/>
      <c r="W28" s="406">
        <v>0.10283910965461511</v>
      </c>
      <c r="X28" s="406"/>
      <c r="Y28" s="406"/>
      <c r="Z28" s="406"/>
      <c r="AA28" s="406"/>
      <c r="AB28" s="406"/>
      <c r="AC28" s="406"/>
    </row>
    <row r="29" spans="2:32" ht="15.75" thickBot="1" x14ac:dyDescent="0.3">
      <c r="B29" s="405"/>
      <c r="AF29" s="406"/>
    </row>
    <row r="30" spans="2:32" ht="30.75" thickBot="1" x14ac:dyDescent="0.3">
      <c r="B30" s="388" t="s">
        <v>210</v>
      </c>
      <c r="C30" s="448" t="s">
        <v>188</v>
      </c>
      <c r="D30" s="449" t="s">
        <v>214</v>
      </c>
      <c r="E30" s="450" t="s">
        <v>189</v>
      </c>
      <c r="F30" s="449" t="s">
        <v>215</v>
      </c>
      <c r="G30" s="450" t="s">
        <v>190</v>
      </c>
      <c r="H30" s="449" t="s">
        <v>216</v>
      </c>
      <c r="I30" s="450" t="s">
        <v>191</v>
      </c>
      <c r="J30" s="449" t="s">
        <v>217</v>
      </c>
      <c r="K30" s="450" t="s">
        <v>192</v>
      </c>
      <c r="L30" s="449" t="s">
        <v>218</v>
      </c>
      <c r="M30" s="450" t="s">
        <v>193</v>
      </c>
      <c r="N30" s="449" t="s">
        <v>219</v>
      </c>
      <c r="O30" s="450" t="s">
        <v>194</v>
      </c>
      <c r="P30" s="449" t="s">
        <v>220</v>
      </c>
      <c r="Q30" s="450" t="s">
        <v>195</v>
      </c>
      <c r="R30" s="449" t="s">
        <v>221</v>
      </c>
      <c r="S30" s="450" t="s">
        <v>196</v>
      </c>
      <c r="T30" s="449" t="s">
        <v>222</v>
      </c>
      <c r="U30" s="450" t="s">
        <v>197</v>
      </c>
      <c r="V30" s="449" t="s">
        <v>223</v>
      </c>
      <c r="W30" s="450" t="s">
        <v>198</v>
      </c>
      <c r="X30" s="449" t="s">
        <v>224</v>
      </c>
      <c r="Y30" s="450" t="s">
        <v>199</v>
      </c>
      <c r="Z30" s="451" t="s">
        <v>225</v>
      </c>
      <c r="AA30" s="424" t="s">
        <v>200</v>
      </c>
    </row>
    <row r="31" spans="2:32" x14ac:dyDescent="0.25">
      <c r="B31" s="389" t="s">
        <v>201</v>
      </c>
      <c r="C31" s="390">
        <f>+'A) Resumen Ingresos y Egresos'!$D$11*'I)Estructua Económica Mensual'!C40</f>
        <v>357153.13022746256</v>
      </c>
      <c r="D31" s="426">
        <v>0</v>
      </c>
      <c r="E31" s="390">
        <f>+'A) Resumen Ingresos y Egresos'!$D$11*'I)Estructua Económica Mensual'!D40</f>
        <v>474529.89778309857</v>
      </c>
      <c r="F31" s="426">
        <v>0</v>
      </c>
      <c r="G31" s="390">
        <f>+'A) Resumen Ingresos y Egresos'!$D$11*'I)Estructua Económica Mensual'!E40</f>
        <v>278871.08962932398</v>
      </c>
      <c r="H31" s="426">
        <v>0</v>
      </c>
      <c r="I31" s="390">
        <f>+'A) Resumen Ingresos y Egresos'!$D$11*'I)Estructua Económica Mensual'!F40</f>
        <v>240956.84288191094</v>
      </c>
      <c r="J31" s="426">
        <v>0</v>
      </c>
      <c r="K31" s="390">
        <f>+'A) Resumen Ingresos y Egresos'!$D$11*'I)Estructua Económica Mensual'!G40</f>
        <v>372997.02638045663</v>
      </c>
      <c r="L31" s="426">
        <v>0</v>
      </c>
      <c r="M31" s="390">
        <f>+'A) Resumen Ingresos y Egresos'!$D$11*'I)Estructua Económica Mensual'!H40</f>
        <v>160637.89525460728</v>
      </c>
      <c r="N31" s="426"/>
      <c r="O31" s="390">
        <f>+'A) Resumen Ingresos y Egresos'!$D$11*'I)Estructua Económica Mensual'!I40</f>
        <v>895104.90596410923</v>
      </c>
      <c r="P31" s="426"/>
      <c r="Q31" s="390">
        <f>+'A) Resumen Ingresos y Egresos'!$D$11*'I)Estructua Económica Mensual'!J40</f>
        <v>203690.7029165049</v>
      </c>
      <c r="R31" s="426"/>
      <c r="S31" s="390">
        <f>+'A) Resumen Ingresos y Egresos'!$D$11*'I)Estructua Económica Mensual'!K40</f>
        <v>668985.0790560029</v>
      </c>
      <c r="T31" s="426"/>
      <c r="U31" s="390">
        <f>+'A) Resumen Ingresos y Egresos'!$D$11*'I)Estructua Económica Mensual'!L40</f>
        <v>1318202.9012607904</v>
      </c>
      <c r="V31" s="426"/>
      <c r="W31" s="390">
        <f>+'A) Resumen Ingresos y Egresos'!$D$11*'I)Estructua Económica Mensual'!M40</f>
        <v>240956.84288191094</v>
      </c>
      <c r="X31" s="426"/>
      <c r="Y31" s="390">
        <f>+'A) Resumen Ingresos y Egresos'!$D$11*'I)Estructua Económica Mensual'!N40</f>
        <v>481913.68576382188</v>
      </c>
      <c r="Z31" s="419"/>
      <c r="AA31" s="391">
        <f>SUM(C31:Y31)</f>
        <v>5694000</v>
      </c>
    </row>
    <row r="32" spans="2:32" x14ac:dyDescent="0.25">
      <c r="B32" s="392" t="s">
        <v>202</v>
      </c>
      <c r="C32" s="390">
        <f>SUM('F) Remuneraciones'!$I$45:$I$52)/12</f>
        <v>0</v>
      </c>
      <c r="D32" s="1130">
        <v>0</v>
      </c>
      <c r="E32" s="390">
        <f>SUM('F) Remuneraciones'!$I$45:$I$52)/12</f>
        <v>0</v>
      </c>
      <c r="F32" s="1130">
        <v>0</v>
      </c>
      <c r="G32" s="390">
        <f>SUM('F) Remuneraciones'!$I$45:$I$52)/12</f>
        <v>0</v>
      </c>
      <c r="H32" s="1130">
        <v>0</v>
      </c>
      <c r="I32" s="390">
        <f>SUM('F) Remuneraciones'!$I$45:$I$52)/12</f>
        <v>0</v>
      </c>
      <c r="J32" s="1130">
        <v>0</v>
      </c>
      <c r="K32" s="390">
        <f>SUM('F) Remuneraciones'!$I$45:$I$52)/12</f>
        <v>0</v>
      </c>
      <c r="L32" s="1130">
        <v>0</v>
      </c>
      <c r="M32" s="390">
        <f>SUM('F) Remuneraciones'!$I$45:$I$52)/12</f>
        <v>0</v>
      </c>
      <c r="N32" s="1130"/>
      <c r="O32" s="390">
        <f>SUM('F) Remuneraciones'!$I$45:$I$52)/12</f>
        <v>0</v>
      </c>
      <c r="P32" s="1130"/>
      <c r="Q32" s="390">
        <f>SUM('F) Remuneraciones'!$I$45:$I$52)/12</f>
        <v>0</v>
      </c>
      <c r="R32" s="1130"/>
      <c r="S32" s="390">
        <f>SUM('F) Remuneraciones'!$I$45:$I$52)/12</f>
        <v>0</v>
      </c>
      <c r="T32" s="1130"/>
      <c r="U32" s="390">
        <f>SUM('F) Remuneraciones'!$I$45:$I$52)/12</f>
        <v>0</v>
      </c>
      <c r="V32" s="1130"/>
      <c r="W32" s="390">
        <f>SUM('F) Remuneraciones'!$I$45:$I$52)/12</f>
        <v>0</v>
      </c>
      <c r="X32" s="1130"/>
      <c r="Y32" s="417">
        <f>SUM('F) Remuneraciones'!$I$45:$I$52)/12</f>
        <v>0</v>
      </c>
      <c r="Z32" s="1142"/>
      <c r="AA32" s="391">
        <f>SUM(C32:Y32)</f>
        <v>0</v>
      </c>
    </row>
    <row r="33" spans="2:29" x14ac:dyDescent="0.25">
      <c r="B33" s="392" t="s">
        <v>203</v>
      </c>
      <c r="C33" s="390">
        <f>SUM('F) Remuneraciones'!$I$53:$I$61)/4</f>
        <v>0</v>
      </c>
      <c r="D33" s="1141"/>
      <c r="E33" s="390">
        <f>SUM('F) Remuneraciones'!$I$53:$I$61)/4</f>
        <v>0</v>
      </c>
      <c r="F33" s="1141"/>
      <c r="G33" s="390">
        <f>SUM('F) Remuneraciones'!$I$53:$I$61)/4</f>
        <v>0</v>
      </c>
      <c r="H33" s="1141"/>
      <c r="I33" s="390">
        <f>SUM('F) Remuneraciones'!$I$53:$I$61)/4</f>
        <v>0</v>
      </c>
      <c r="J33" s="1141"/>
      <c r="K33" s="390">
        <f>SUM('F) Remuneraciones'!$I$53:$I$61)/4</f>
        <v>0</v>
      </c>
      <c r="L33" s="1141"/>
      <c r="M33" s="390">
        <f>SUM('F) Remuneraciones'!$I$53:$I$61)/4</f>
        <v>0</v>
      </c>
      <c r="N33" s="1141"/>
      <c r="O33" s="390">
        <f>SUM('F) Remuneraciones'!$I$53:$I$61)/4</f>
        <v>0</v>
      </c>
      <c r="P33" s="1141"/>
      <c r="Q33" s="390">
        <f>SUM('F) Remuneraciones'!$I$53:$I$61)/4</f>
        <v>0</v>
      </c>
      <c r="R33" s="1141"/>
      <c r="S33" s="390">
        <f>SUM('F) Remuneraciones'!$I$53:$I$61)/4</f>
        <v>0</v>
      </c>
      <c r="T33" s="1141"/>
      <c r="U33" s="390">
        <f>SUM('F) Remuneraciones'!$I$53:$I$61)/4</f>
        <v>0</v>
      </c>
      <c r="V33" s="1141"/>
      <c r="W33" s="390">
        <f>SUM('F) Remuneraciones'!$I$53:$I$61)/4</f>
        <v>0</v>
      </c>
      <c r="X33" s="1141"/>
      <c r="Y33" s="417">
        <f>SUM('F) Remuneraciones'!$I$53:$I$61)/4</f>
        <v>0</v>
      </c>
      <c r="Z33" s="1143"/>
      <c r="AA33" s="391">
        <f>SUM(C33:Y33)</f>
        <v>0</v>
      </c>
    </row>
    <row r="34" spans="2:29" x14ac:dyDescent="0.25">
      <c r="B34" s="392" t="s">
        <v>204</v>
      </c>
      <c r="C34" s="390">
        <f>SUM('F) Remuneraciones'!J45:J61)*0.5</f>
        <v>0</v>
      </c>
      <c r="D34" s="1141"/>
      <c r="E34" s="393">
        <v>0</v>
      </c>
      <c r="F34" s="1141"/>
      <c r="G34" s="393">
        <v>0</v>
      </c>
      <c r="H34" s="1141"/>
      <c r="I34" s="393">
        <v>0</v>
      </c>
      <c r="J34" s="1141"/>
      <c r="K34" s="393">
        <v>0</v>
      </c>
      <c r="L34" s="1141"/>
      <c r="M34" s="393">
        <v>0</v>
      </c>
      <c r="N34" s="1141"/>
      <c r="O34" s="393">
        <v>0</v>
      </c>
      <c r="P34" s="1141"/>
      <c r="Q34" s="393">
        <v>0</v>
      </c>
      <c r="R34" s="1141"/>
      <c r="S34" s="393">
        <f>SUM('F) Remuneraciones'!K45:K61)*0.5</f>
        <v>0</v>
      </c>
      <c r="T34" s="1141"/>
      <c r="U34" s="393">
        <v>0</v>
      </c>
      <c r="V34" s="1141"/>
      <c r="W34" s="393">
        <v>0</v>
      </c>
      <c r="X34" s="1141"/>
      <c r="Y34" s="417">
        <f>+C34+S34</f>
        <v>0</v>
      </c>
      <c r="Z34" s="1143"/>
      <c r="AA34" s="391">
        <f>SUM(C34:Y34)</f>
        <v>0</v>
      </c>
    </row>
    <row r="35" spans="2:29" x14ac:dyDescent="0.25">
      <c r="B35" s="437" t="s">
        <v>213</v>
      </c>
      <c r="C35" s="434">
        <f>SUM(C32:C34)</f>
        <v>0</v>
      </c>
      <c r="D35" s="1132"/>
      <c r="E35" s="434">
        <f>SUM(E32:E34)</f>
        <v>0</v>
      </c>
      <c r="F35" s="1132"/>
      <c r="G35" s="434">
        <f>SUM(G32:G34)</f>
        <v>0</v>
      </c>
      <c r="H35" s="1132"/>
      <c r="I35" s="434">
        <f>SUM(I32:I34)</f>
        <v>0</v>
      </c>
      <c r="J35" s="1132"/>
      <c r="K35" s="434">
        <f>SUM(K32:K34)</f>
        <v>0</v>
      </c>
      <c r="L35" s="1132"/>
      <c r="M35" s="434">
        <f>SUM(M32:M34)</f>
        <v>0</v>
      </c>
      <c r="N35" s="1132"/>
      <c r="O35" s="434">
        <f>SUM(O32:O34)</f>
        <v>0</v>
      </c>
      <c r="P35" s="1132"/>
      <c r="Q35" s="434">
        <f>SUM(Q32:Q34)</f>
        <v>0</v>
      </c>
      <c r="R35" s="1132"/>
      <c r="S35" s="434">
        <f>SUM(S32:S34)</f>
        <v>0</v>
      </c>
      <c r="T35" s="1132"/>
      <c r="U35" s="434">
        <f>SUM(U32:U34)</f>
        <v>0</v>
      </c>
      <c r="V35" s="1132"/>
      <c r="W35" s="434">
        <f>SUM(W32:W34)</f>
        <v>0</v>
      </c>
      <c r="X35" s="1132"/>
      <c r="Y35" s="434">
        <f>SUM(Y32:Y34)</f>
        <v>0</v>
      </c>
      <c r="Z35" s="1144"/>
      <c r="AA35" s="397"/>
    </row>
    <row r="36" spans="2:29" ht="15.75" thickBot="1" x14ac:dyDescent="0.3">
      <c r="B36" s="395" t="s">
        <v>205</v>
      </c>
      <c r="C36" s="396">
        <f>(+'C) Estimación Costos Directos'!$H$224-'C) Estimación Costos Directos'!$D$157)*C39</f>
        <v>0</v>
      </c>
      <c r="D36" s="427">
        <v>0</v>
      </c>
      <c r="E36" s="396">
        <f>(+'C) Estimación Costos Directos'!$H$224-'C) Estimación Costos Directos'!$D$157)*G39</f>
        <v>0</v>
      </c>
      <c r="F36" s="427">
        <v>0</v>
      </c>
      <c r="G36" s="396">
        <f>(+'C) Estimación Costos Directos'!$H$224-'C) Estimación Costos Directos'!$D$157)*K39</f>
        <v>270256.59193279012</v>
      </c>
      <c r="H36" s="427">
        <f>0-0+0</f>
        <v>0</v>
      </c>
      <c r="I36" s="396">
        <f>(+'C) Estimación Costos Directos'!$H$224-'C) Estimación Costos Directos'!$D$157)*O39</f>
        <v>125644.7889374657</v>
      </c>
      <c r="J36" s="427">
        <v>0</v>
      </c>
      <c r="K36" s="396">
        <f>(+'C) Estimación Costos Directos'!$H$224-'C) Estimación Costos Directos'!$D$157)*S39</f>
        <v>41889.382443054186</v>
      </c>
      <c r="L36" s="427">
        <f>0-0+0</f>
        <v>0</v>
      </c>
      <c r="M36" s="396">
        <f>(+'C) Estimación Costos Directos'!$H$224-'C) Estimación Costos Directos'!$D$157)*W39</f>
        <v>92654.953730919107</v>
      </c>
      <c r="N36" s="427"/>
      <c r="O36" s="396">
        <f>(+'C) Estimación Costos Directos'!$H$224-'C) Estimación Costos Directos'!$D$157)*O39</f>
        <v>125644.7889374657</v>
      </c>
      <c r="P36" s="427"/>
      <c r="Q36" s="396">
        <f>(+'C) Estimación Costos Directos'!$H$224-'C) Estimación Costos Directos'!$D$157)*Q39</f>
        <v>0</v>
      </c>
      <c r="R36" s="427"/>
      <c r="S36" s="396">
        <f>(+'C) Estimación Costos Directos'!$H$224-'C) Estimación Costos Directos'!$D$157)*S39</f>
        <v>41889.382443054186</v>
      </c>
      <c r="T36" s="427"/>
      <c r="U36" s="396">
        <f>(+'C) Estimación Costos Directos'!$H$224-'C) Estimación Costos Directos'!$D$157)*U39</f>
        <v>134075.61111392276</v>
      </c>
      <c r="V36" s="427"/>
      <c r="W36" s="396">
        <f>(+'C) Estimación Costos Directos'!$H$224-'C) Estimación Costos Directos'!$D$157)*W39</f>
        <v>92654.953730919107</v>
      </c>
      <c r="X36" s="427"/>
      <c r="Y36" s="396">
        <f>(+'C) Estimación Costos Directos'!$H$224-'C) Estimación Costos Directos'!$D$157)*Y39</f>
        <v>0</v>
      </c>
      <c r="Z36" s="420"/>
      <c r="AA36" s="397">
        <f>SUM(C36:Y36)</f>
        <v>924710.45326959109</v>
      </c>
    </row>
    <row r="37" spans="2:29" ht="15.75" thickBot="1" x14ac:dyDescent="0.3">
      <c r="B37" s="398" t="s">
        <v>206</v>
      </c>
      <c r="C37" s="399">
        <f>+C31-C32-C33-C34-C36</f>
        <v>357153.13022746256</v>
      </c>
      <c r="D37" s="399">
        <f>+D31-D32-D36</f>
        <v>0</v>
      </c>
      <c r="E37" s="399">
        <f t="shared" ref="E37:Y37" si="2">+E31-E32-E33-E34-E36</f>
        <v>474529.89778309857</v>
      </c>
      <c r="F37" s="399">
        <f>+F31-F32-F36</f>
        <v>0</v>
      </c>
      <c r="G37" s="399">
        <f t="shared" si="2"/>
        <v>8614.4976965338574</v>
      </c>
      <c r="H37" s="399">
        <f>+H31-H32-H36</f>
        <v>0</v>
      </c>
      <c r="I37" s="399">
        <f t="shared" si="2"/>
        <v>115312.05394444524</v>
      </c>
      <c r="J37" s="399">
        <f>+J31-J32-J36</f>
        <v>0</v>
      </c>
      <c r="K37" s="399">
        <f t="shared" si="2"/>
        <v>331107.64393740246</v>
      </c>
      <c r="L37" s="399">
        <f>+L31-L32-L36</f>
        <v>0</v>
      </c>
      <c r="M37" s="399">
        <f t="shared" si="2"/>
        <v>67982.941523688176</v>
      </c>
      <c r="N37" s="399"/>
      <c r="O37" s="399">
        <f t="shared" si="2"/>
        <v>769460.11702664359</v>
      </c>
      <c r="P37" s="399"/>
      <c r="Q37" s="399">
        <f t="shared" si="2"/>
        <v>203690.7029165049</v>
      </c>
      <c r="R37" s="399"/>
      <c r="S37" s="399">
        <f t="shared" si="2"/>
        <v>627095.69661294867</v>
      </c>
      <c r="T37" s="399"/>
      <c r="U37" s="399">
        <f t="shared" si="2"/>
        <v>1184127.2901468677</v>
      </c>
      <c r="V37" s="399"/>
      <c r="W37" s="399">
        <f t="shared" si="2"/>
        <v>148301.88915099183</v>
      </c>
      <c r="X37" s="400"/>
      <c r="Y37" s="429">
        <f t="shared" si="2"/>
        <v>481913.68576382188</v>
      </c>
      <c r="Z37" s="428"/>
      <c r="AA37" s="401">
        <f>+AA31-AA32-AA33-AA34-AA36</f>
        <v>4769289.5467304084</v>
      </c>
    </row>
    <row r="38" spans="2:29" hidden="1" x14ac:dyDescent="0.25">
      <c r="B38" s="402" t="s">
        <v>207</v>
      </c>
      <c r="C38" s="403">
        <v>6.2724469657088611E-2</v>
      </c>
      <c r="E38" s="403">
        <v>8.3338584085545939E-2</v>
      </c>
      <c r="G38" s="403">
        <v>4.8976306573467507E-2</v>
      </c>
      <c r="I38" s="403">
        <v>4.2317675251477158E-2</v>
      </c>
      <c r="K38" s="403">
        <v>6.5507029571558947E-2</v>
      </c>
      <c r="M38" s="403">
        <v>2.8211783500984772E-2</v>
      </c>
      <c r="O38" s="403">
        <v>0.1572014235974902</v>
      </c>
      <c r="Q38" s="403">
        <v>3.5772866687127661E-2</v>
      </c>
      <c r="S38" s="403">
        <v>0.11748947647629134</v>
      </c>
      <c r="U38" s="403">
        <v>0.23150735884453641</v>
      </c>
      <c r="W38" s="403">
        <v>4.2317675251477158E-2</v>
      </c>
      <c r="Y38" s="403">
        <v>8.4635350502954315E-2</v>
      </c>
      <c r="Z38" s="403"/>
      <c r="AA38" s="403"/>
      <c r="AB38" s="403"/>
      <c r="AC38" s="404"/>
    </row>
    <row r="39" spans="2:29" hidden="1" x14ac:dyDescent="0.25">
      <c r="B39" s="405" t="s">
        <v>208</v>
      </c>
      <c r="C39" s="406">
        <v>0</v>
      </c>
      <c r="E39" s="406">
        <v>0</v>
      </c>
      <c r="G39" s="406">
        <v>0</v>
      </c>
      <c r="I39" s="406">
        <v>0</v>
      </c>
      <c r="K39" s="406">
        <v>0.33782073991598766</v>
      </c>
      <c r="M39" s="406">
        <v>0.16934833980231015</v>
      </c>
      <c r="O39" s="406">
        <v>0.15705598617183211</v>
      </c>
      <c r="Q39" s="406">
        <v>0</v>
      </c>
      <c r="S39" s="406">
        <v>5.2361728053817731E-2</v>
      </c>
      <c r="U39" s="406">
        <v>0.16759451389240346</v>
      </c>
      <c r="W39" s="406">
        <v>0.11581869216364889</v>
      </c>
      <c r="Y39" s="406">
        <v>0</v>
      </c>
      <c r="Z39" s="406"/>
      <c r="AA39" s="406"/>
      <c r="AB39" s="406"/>
      <c r="AC39" s="385"/>
    </row>
    <row r="40" spans="2:29" ht="15.75" thickBot="1" x14ac:dyDescent="0.3">
      <c r="B40" s="405"/>
    </row>
    <row r="41" spans="2:29" ht="30.75" thickBot="1" x14ac:dyDescent="0.3">
      <c r="B41" s="388" t="s">
        <v>211</v>
      </c>
      <c r="C41" s="448" t="s">
        <v>188</v>
      </c>
      <c r="D41" s="449" t="s">
        <v>214</v>
      </c>
      <c r="E41" s="450" t="s">
        <v>189</v>
      </c>
      <c r="F41" s="449" t="s">
        <v>215</v>
      </c>
      <c r="G41" s="450" t="s">
        <v>190</v>
      </c>
      <c r="H41" s="449" t="s">
        <v>216</v>
      </c>
      <c r="I41" s="450" t="s">
        <v>191</v>
      </c>
      <c r="J41" s="449" t="s">
        <v>217</v>
      </c>
      <c r="K41" s="450" t="s">
        <v>192</v>
      </c>
      <c r="L41" s="449" t="s">
        <v>218</v>
      </c>
      <c r="M41" s="450" t="s">
        <v>193</v>
      </c>
      <c r="N41" s="449" t="s">
        <v>219</v>
      </c>
      <c r="O41" s="450" t="s">
        <v>194</v>
      </c>
      <c r="P41" s="449" t="s">
        <v>220</v>
      </c>
      <c r="Q41" s="450" t="s">
        <v>195</v>
      </c>
      <c r="R41" s="449" t="s">
        <v>221</v>
      </c>
      <c r="S41" s="450" t="s">
        <v>196</v>
      </c>
      <c r="T41" s="449" t="s">
        <v>222</v>
      </c>
      <c r="U41" s="450" t="s">
        <v>197</v>
      </c>
      <c r="V41" s="449" t="s">
        <v>223</v>
      </c>
      <c r="W41" s="450" t="s">
        <v>198</v>
      </c>
      <c r="X41" s="449" t="s">
        <v>224</v>
      </c>
      <c r="Y41" s="450" t="s">
        <v>199</v>
      </c>
      <c r="Z41" s="451" t="s">
        <v>225</v>
      </c>
      <c r="AA41" s="424" t="s">
        <v>200</v>
      </c>
    </row>
    <row r="42" spans="2:29" x14ac:dyDescent="0.25">
      <c r="B42" s="389" t="s">
        <v>201</v>
      </c>
      <c r="C42" s="390">
        <f>+'A) Resumen Ingresos y Egresos'!$D$12*'I)Estructua Económica Mensual'!C52</f>
        <v>48632.8125</v>
      </c>
      <c r="D42" s="426">
        <v>0</v>
      </c>
      <c r="E42" s="390">
        <f>+'A) Resumen Ingresos y Egresos'!$D$12*'I)Estructua Económica Mensual'!D52</f>
        <v>32097.65625</v>
      </c>
      <c r="F42" s="426">
        <v>0</v>
      </c>
      <c r="G42" s="390">
        <f>+'A) Resumen Ingresos y Egresos'!$D$12*'I)Estructua Económica Mensual'!E52</f>
        <v>64195.3125</v>
      </c>
      <c r="H42" s="426">
        <v>0</v>
      </c>
      <c r="I42" s="390">
        <f>+'A) Resumen Ingresos y Egresos'!$D$12*'I)Estructua Económica Mensual'!F52</f>
        <v>128390.625</v>
      </c>
      <c r="J42" s="426">
        <v>0</v>
      </c>
      <c r="K42" s="390">
        <f>+'A) Resumen Ingresos y Egresos'!$D$12*'I)Estructua Económica Mensual'!G52</f>
        <v>0</v>
      </c>
      <c r="L42" s="426">
        <v>0</v>
      </c>
      <c r="M42" s="390">
        <f>+'A) Resumen Ingresos y Egresos'!$D$12*'I)Estructua Económica Mensual'!H52</f>
        <v>0</v>
      </c>
      <c r="N42" s="426"/>
      <c r="O42" s="390">
        <f>+'A) Resumen Ingresos y Egresos'!$D$12*'I)Estructua Económica Mensual'!I52</f>
        <v>64195.3125</v>
      </c>
      <c r="P42" s="426"/>
      <c r="Q42" s="390">
        <f>+'A) Resumen Ingresos y Egresos'!$D$12*'I)Estructua Económica Mensual'!J52</f>
        <v>0</v>
      </c>
      <c r="R42" s="426"/>
      <c r="S42" s="390">
        <f>+'A) Resumen Ingresos y Egresos'!$D$12*'I)Estructua Económica Mensual'!K52</f>
        <v>32097.65625</v>
      </c>
      <c r="T42" s="426"/>
      <c r="U42" s="390">
        <f>+'A) Resumen Ingresos y Egresos'!$D$12*'I)Estructua Económica Mensual'!L52</f>
        <v>32097.65625</v>
      </c>
      <c r="V42" s="426"/>
      <c r="W42" s="390">
        <f>+'A) Resumen Ingresos y Egresos'!$D$12*'I)Estructua Económica Mensual'!M52</f>
        <v>64195.3125</v>
      </c>
      <c r="X42" s="426"/>
      <c r="Y42" s="390">
        <f>+'A) Resumen Ingresos y Egresos'!$D$12*'I)Estructua Económica Mensual'!N52</f>
        <v>32097.65625</v>
      </c>
      <c r="Z42" s="419"/>
      <c r="AA42" s="391">
        <f>SUM(C42:Y42)</f>
        <v>498000</v>
      </c>
    </row>
    <row r="43" spans="2:29" x14ac:dyDescent="0.25">
      <c r="B43" s="392" t="s">
        <v>202</v>
      </c>
      <c r="C43" s="390">
        <f>SUM('F) Remuneraciones'!$I$62:$I$69)/12</f>
        <v>0</v>
      </c>
      <c r="D43" s="1130">
        <v>0</v>
      </c>
      <c r="E43" s="390">
        <f>SUM('F) Remuneraciones'!$I$62:$I$69)/12</f>
        <v>0</v>
      </c>
      <c r="F43" s="1130">
        <v>0</v>
      </c>
      <c r="G43" s="390">
        <f>SUM('F) Remuneraciones'!$I$62:$I$69)/12</f>
        <v>0</v>
      </c>
      <c r="H43" s="1130">
        <v>0</v>
      </c>
      <c r="I43" s="390">
        <f>SUM('F) Remuneraciones'!$I$62:$I$69)/12</f>
        <v>0</v>
      </c>
      <c r="J43" s="1130">
        <v>0</v>
      </c>
      <c r="K43" s="390">
        <f>SUM('F) Remuneraciones'!$I$62:$I$69)/12</f>
        <v>0</v>
      </c>
      <c r="L43" s="1130">
        <v>0</v>
      </c>
      <c r="M43" s="390">
        <f>SUM('F) Remuneraciones'!$I$62:$I$69)/12</f>
        <v>0</v>
      </c>
      <c r="N43" s="1130"/>
      <c r="O43" s="390">
        <f>SUM('F) Remuneraciones'!$I$62:$I$69)/12</f>
        <v>0</v>
      </c>
      <c r="P43" s="1130"/>
      <c r="Q43" s="390">
        <f>SUM('F) Remuneraciones'!$I$62:$I$69)/12</f>
        <v>0</v>
      </c>
      <c r="R43" s="1130"/>
      <c r="S43" s="390">
        <f>SUM('F) Remuneraciones'!$I$62:$I$69)/12</f>
        <v>0</v>
      </c>
      <c r="T43" s="1130"/>
      <c r="U43" s="390">
        <f>SUM('F) Remuneraciones'!$I$62:$I$69)/12</f>
        <v>0</v>
      </c>
      <c r="V43" s="1130"/>
      <c r="W43" s="390">
        <f>SUM('F) Remuneraciones'!$I$62:$I$69)/12</f>
        <v>0</v>
      </c>
      <c r="X43" s="1130"/>
      <c r="Y43" s="390">
        <f>SUM('F) Remuneraciones'!$I$62:$I$69)/12</f>
        <v>0</v>
      </c>
      <c r="Z43" s="1145"/>
      <c r="AA43" s="391">
        <f>SUM(C43:Y43)</f>
        <v>0</v>
      </c>
    </row>
    <row r="44" spans="2:29" x14ac:dyDescent="0.25">
      <c r="B44" s="392" t="s">
        <v>203</v>
      </c>
      <c r="C44" s="390">
        <f>SUM('F) Remuneraciones'!$I$70:$I$78)/4</f>
        <v>0</v>
      </c>
      <c r="D44" s="1141"/>
      <c r="E44" s="390">
        <f>SUM('F) Remuneraciones'!$I$70:$I$78)/4</f>
        <v>0</v>
      </c>
      <c r="F44" s="1141"/>
      <c r="G44" s="390">
        <f>SUM('F) Remuneraciones'!$I$70:$I$78)/4</f>
        <v>0</v>
      </c>
      <c r="H44" s="1141"/>
      <c r="I44" s="390">
        <f>SUM('F) Remuneraciones'!$I$70:$I$78)/4</f>
        <v>0</v>
      </c>
      <c r="J44" s="1141"/>
      <c r="K44" s="390">
        <f>SUM('F) Remuneraciones'!$I$70:$I$78)/4</f>
        <v>0</v>
      </c>
      <c r="L44" s="1141"/>
      <c r="M44" s="390">
        <f>SUM('F) Remuneraciones'!$I$70:$I$78)/4</f>
        <v>0</v>
      </c>
      <c r="N44" s="1141"/>
      <c r="O44" s="390">
        <f>SUM('F) Remuneraciones'!$I$70:$I$78)/4</f>
        <v>0</v>
      </c>
      <c r="P44" s="1141"/>
      <c r="Q44" s="390">
        <f>SUM('F) Remuneraciones'!$I$70:$I$78)/4</f>
        <v>0</v>
      </c>
      <c r="R44" s="1141"/>
      <c r="S44" s="390">
        <f>SUM('F) Remuneraciones'!$I$70:$I$78)/4</f>
        <v>0</v>
      </c>
      <c r="T44" s="1141"/>
      <c r="U44" s="390">
        <f>SUM('F) Remuneraciones'!$I$70:$I$78)/4</f>
        <v>0</v>
      </c>
      <c r="V44" s="1141"/>
      <c r="W44" s="390">
        <f>SUM('F) Remuneraciones'!$I$70:$I$78)/4</f>
        <v>0</v>
      </c>
      <c r="X44" s="1141"/>
      <c r="Y44" s="390">
        <f>SUM('F) Remuneraciones'!$I$70:$I$78)/4</f>
        <v>0</v>
      </c>
      <c r="Z44" s="1146"/>
      <c r="AA44" s="391">
        <f>SUM(C44:Y44)</f>
        <v>0</v>
      </c>
    </row>
    <row r="45" spans="2:29" x14ac:dyDescent="0.25">
      <c r="B45" s="392" t="s">
        <v>204</v>
      </c>
      <c r="C45" s="390">
        <f>SUM('F) Remuneraciones'!J62:J78)*0.5</f>
        <v>0</v>
      </c>
      <c r="D45" s="1141"/>
      <c r="E45" s="393">
        <v>0</v>
      </c>
      <c r="F45" s="1141"/>
      <c r="G45" s="393">
        <v>0</v>
      </c>
      <c r="H45" s="1141"/>
      <c r="I45" s="393">
        <v>0</v>
      </c>
      <c r="J45" s="1141"/>
      <c r="K45" s="393">
        <v>0</v>
      </c>
      <c r="L45" s="1141"/>
      <c r="M45" s="393">
        <v>0</v>
      </c>
      <c r="N45" s="1141"/>
      <c r="O45" s="393">
        <v>0</v>
      </c>
      <c r="P45" s="1141"/>
      <c r="Q45" s="393">
        <v>0</v>
      </c>
      <c r="R45" s="1141"/>
      <c r="S45" s="393">
        <f>SUM('F) Remuneraciones'!K62:K78)*0.5</f>
        <v>0</v>
      </c>
      <c r="T45" s="1141"/>
      <c r="U45" s="393"/>
      <c r="V45" s="1141"/>
      <c r="W45" s="393"/>
      <c r="X45" s="1141"/>
      <c r="Y45" s="394">
        <f>+C45+S45</f>
        <v>0</v>
      </c>
      <c r="Z45" s="1146"/>
      <c r="AA45" s="391">
        <f>SUM(C45:Y45)</f>
        <v>0</v>
      </c>
    </row>
    <row r="46" spans="2:29" x14ac:dyDescent="0.25">
      <c r="B46" s="437" t="s">
        <v>213</v>
      </c>
      <c r="C46" s="434">
        <f>SUM(C43:C45)</f>
        <v>0</v>
      </c>
      <c r="D46" s="1132"/>
      <c r="E46" s="434">
        <f>SUM(E43:E45)</f>
        <v>0</v>
      </c>
      <c r="F46" s="1132"/>
      <c r="G46" s="434">
        <f>SUM(G43:G45)</f>
        <v>0</v>
      </c>
      <c r="H46" s="1132"/>
      <c r="I46" s="434">
        <f>SUM(I43:I45)</f>
        <v>0</v>
      </c>
      <c r="J46" s="1132"/>
      <c r="K46" s="434">
        <f>SUM(K43:K45)</f>
        <v>0</v>
      </c>
      <c r="L46" s="1132"/>
      <c r="M46" s="434">
        <f>SUM(M43:M45)</f>
        <v>0</v>
      </c>
      <c r="N46" s="1132"/>
      <c r="O46" s="434">
        <f>SUM(O43:O45)</f>
        <v>0</v>
      </c>
      <c r="P46" s="1132"/>
      <c r="Q46" s="434">
        <f>SUM(Q43:Q45)</f>
        <v>0</v>
      </c>
      <c r="R46" s="1132"/>
      <c r="S46" s="434">
        <f>SUM(S43:S45)</f>
        <v>0</v>
      </c>
      <c r="T46" s="1132"/>
      <c r="U46" s="434">
        <f>SUM(U43:U45)</f>
        <v>0</v>
      </c>
      <c r="V46" s="1132"/>
      <c r="W46" s="434">
        <f>SUM(W43:W45)</f>
        <v>0</v>
      </c>
      <c r="X46" s="1132"/>
      <c r="Y46" s="436">
        <f>SUM(Y43:Y45)</f>
        <v>0</v>
      </c>
      <c r="Z46" s="1147"/>
      <c r="AA46" s="397"/>
    </row>
    <row r="47" spans="2:29" ht="15.75" thickBot="1" x14ac:dyDescent="0.3">
      <c r="B47" s="395" t="s">
        <v>205</v>
      </c>
      <c r="C47" s="396">
        <f>(+'C) Estimación Costos Directos'!$H$296-'C) Estimación Costos Directos'!$D$229)*C50</f>
        <v>0</v>
      </c>
      <c r="D47" s="427">
        <v>0</v>
      </c>
      <c r="E47" s="396">
        <f>(+'C) Estimación Costos Directos'!$H$296-'C) Estimación Costos Directos'!$D$229)*E50</f>
        <v>0</v>
      </c>
      <c r="F47" s="427">
        <f>0-0+0</f>
        <v>0</v>
      </c>
      <c r="G47" s="396">
        <f>(+'C) Estimación Costos Directos'!$H$296-'C) Estimación Costos Directos'!$D$229)*G50</f>
        <v>0</v>
      </c>
      <c r="H47" s="427">
        <f>0-0+0</f>
        <v>0</v>
      </c>
      <c r="I47" s="396">
        <f>(+'C) Estimación Costos Directos'!$H$296-'C) Estimación Costos Directos'!$D$229)*I50</f>
        <v>0</v>
      </c>
      <c r="J47" s="427">
        <v>0</v>
      </c>
      <c r="K47" s="396">
        <f>(+'C) Estimación Costos Directos'!$H$296-'C) Estimación Costos Directos'!$D$229)*K50</f>
        <v>0</v>
      </c>
      <c r="L47" s="427">
        <f>0-0+0</f>
        <v>0</v>
      </c>
      <c r="M47" s="396">
        <f>(+'C) Estimación Costos Directos'!$H$296-'C) Estimación Costos Directos'!$D$229)*M50</f>
        <v>0</v>
      </c>
      <c r="N47" s="427"/>
      <c r="O47" s="396">
        <f>(+'C) Estimación Costos Directos'!$H$296-'C) Estimación Costos Directos'!$D$229)*O50</f>
        <v>0</v>
      </c>
      <c r="P47" s="427"/>
      <c r="Q47" s="396">
        <f>(+'C) Estimación Costos Directos'!$H$296-'C) Estimación Costos Directos'!$D$229)*Q50</f>
        <v>0</v>
      </c>
      <c r="R47" s="427"/>
      <c r="S47" s="396">
        <f>(+'C) Estimación Costos Directos'!$H$296-'C) Estimación Costos Directos'!$D$229)*S50</f>
        <v>0</v>
      </c>
      <c r="T47" s="427"/>
      <c r="U47" s="396">
        <f>(+'C) Estimación Costos Directos'!$H$296-'C) Estimación Costos Directos'!$D$229)*U50</f>
        <v>0</v>
      </c>
      <c r="V47" s="427"/>
      <c r="W47" s="396">
        <f>(+'C) Estimación Costos Directos'!$H$296-'C) Estimación Costos Directos'!$D$229)*W50</f>
        <v>0</v>
      </c>
      <c r="X47" s="427"/>
      <c r="Y47" s="396">
        <f>(+'C) Estimación Costos Directos'!$H$296-'C) Estimación Costos Directos'!$D$229)*AB50</f>
        <v>0</v>
      </c>
      <c r="Z47" s="420"/>
      <c r="AA47" s="397">
        <f>SUM(C47:Y47)</f>
        <v>0</v>
      </c>
    </row>
    <row r="48" spans="2:29" ht="15.75" thickBot="1" x14ac:dyDescent="0.3">
      <c r="B48" s="398" t="s">
        <v>206</v>
      </c>
      <c r="C48" s="399">
        <f>+C42-C43-C44-C45-C47</f>
        <v>48632.8125</v>
      </c>
      <c r="D48" s="399">
        <v>0</v>
      </c>
      <c r="E48" s="399">
        <f t="shared" ref="E48:Y48" si="3">+E42-E43-E44-E45-E47</f>
        <v>32097.65625</v>
      </c>
      <c r="F48" s="399">
        <f>+F42-F43-F47</f>
        <v>0</v>
      </c>
      <c r="G48" s="399">
        <f t="shared" si="3"/>
        <v>64195.3125</v>
      </c>
      <c r="H48" s="399">
        <f>+H42-H43-H47</f>
        <v>0</v>
      </c>
      <c r="I48" s="399">
        <f t="shared" si="3"/>
        <v>128390.625</v>
      </c>
      <c r="J48" s="399">
        <f>+J42-J43-J47</f>
        <v>0</v>
      </c>
      <c r="K48" s="399">
        <f t="shared" si="3"/>
        <v>0</v>
      </c>
      <c r="L48" s="399">
        <f>+L42-L43-L47</f>
        <v>0</v>
      </c>
      <c r="M48" s="399">
        <f t="shared" si="3"/>
        <v>0</v>
      </c>
      <c r="N48" s="399"/>
      <c r="O48" s="399">
        <f t="shared" si="3"/>
        <v>64195.3125</v>
      </c>
      <c r="P48" s="399"/>
      <c r="Q48" s="399">
        <f t="shared" si="3"/>
        <v>0</v>
      </c>
      <c r="R48" s="399"/>
      <c r="S48" s="399">
        <f t="shared" si="3"/>
        <v>32097.65625</v>
      </c>
      <c r="T48" s="399"/>
      <c r="U48" s="399">
        <f t="shared" si="3"/>
        <v>32097.65625</v>
      </c>
      <c r="V48" s="399"/>
      <c r="W48" s="399">
        <f t="shared" si="3"/>
        <v>64195.3125</v>
      </c>
      <c r="X48" s="400"/>
      <c r="Y48" s="400">
        <f t="shared" si="3"/>
        <v>32097.65625</v>
      </c>
      <c r="Z48" s="428"/>
      <c r="AA48" s="401">
        <f>+AA42-AA43-AA44-AA45-AA47</f>
        <v>498000</v>
      </c>
    </row>
    <row r="49" spans="2:29" hidden="1" x14ac:dyDescent="0.25">
      <c r="B49" s="402" t="s">
        <v>207</v>
      </c>
      <c r="C49" s="403">
        <v>9.765625E-2</v>
      </c>
      <c r="D49" s="403"/>
      <c r="E49" s="403">
        <v>6.4453125E-2</v>
      </c>
      <c r="F49" s="403"/>
      <c r="G49" s="403">
        <v>0.12890625</v>
      </c>
      <c r="H49" s="403"/>
      <c r="I49" s="403">
        <v>0.2578125</v>
      </c>
      <c r="J49" s="403"/>
      <c r="K49" s="403">
        <v>0</v>
      </c>
      <c r="L49" s="403"/>
      <c r="M49" s="403">
        <v>0</v>
      </c>
      <c r="N49" s="403"/>
      <c r="O49" s="403">
        <v>0.12890625</v>
      </c>
      <c r="P49" s="403"/>
      <c r="Q49" s="403">
        <v>0</v>
      </c>
      <c r="R49" s="403"/>
      <c r="S49" s="403">
        <v>6.4453125E-2</v>
      </c>
      <c r="T49" s="403"/>
      <c r="U49" s="403">
        <v>6.4453125E-2</v>
      </c>
      <c r="V49" s="403"/>
      <c r="W49" s="403">
        <v>0.12890625</v>
      </c>
      <c r="X49" s="403"/>
      <c r="Y49" s="403">
        <v>6.4453125E-2</v>
      </c>
      <c r="Z49" s="403"/>
      <c r="AA49" s="404"/>
    </row>
    <row r="50" spans="2:29" hidden="1" x14ac:dyDescent="0.25">
      <c r="B50" s="405" t="s">
        <v>208</v>
      </c>
      <c r="C50" s="406">
        <v>8.3333333333333343E-2</v>
      </c>
      <c r="D50" s="406"/>
      <c r="E50" s="406">
        <v>8.3333333333333343E-2</v>
      </c>
      <c r="F50" s="406"/>
      <c r="G50" s="406">
        <v>8.3333333333333343E-2</v>
      </c>
      <c r="H50" s="406"/>
      <c r="I50" s="406">
        <v>8.3333333333333343E-2</v>
      </c>
      <c r="J50" s="406"/>
      <c r="K50" s="406">
        <v>8.3333333333333343E-2</v>
      </c>
      <c r="L50" s="406"/>
      <c r="M50" s="406">
        <v>8.3333333333333343E-2</v>
      </c>
      <c r="N50" s="406"/>
      <c r="O50" s="406">
        <v>8.3333333333333343E-2</v>
      </c>
      <c r="P50" s="406"/>
      <c r="Q50" s="406">
        <v>8.3333333333333343E-2</v>
      </c>
      <c r="R50" s="406"/>
      <c r="S50" s="406">
        <v>8.3333333333333343E-2</v>
      </c>
      <c r="T50" s="406"/>
      <c r="U50" s="406">
        <v>8.3333333333333343E-2</v>
      </c>
      <c r="V50" s="406"/>
      <c r="W50" s="406">
        <v>8.3333333333333343E-2</v>
      </c>
      <c r="X50" s="406"/>
      <c r="Y50" s="406"/>
      <c r="Z50" s="406"/>
      <c r="AA50" s="406"/>
      <c r="AB50" s="406">
        <v>8.3333333333333343E-2</v>
      </c>
      <c r="AC50" s="385"/>
    </row>
    <row r="51" spans="2:29" x14ac:dyDescent="0.25">
      <c r="B51" s="407"/>
    </row>
  </sheetData>
  <sheetProtection sheet="1" objects="1" scenarios="1"/>
  <mergeCells count="47">
    <mergeCell ref="X43:X46"/>
    <mergeCell ref="Z43:Z46"/>
    <mergeCell ref="N43:N46"/>
    <mergeCell ref="P43:P46"/>
    <mergeCell ref="R43:R46"/>
    <mergeCell ref="T43:T46"/>
    <mergeCell ref="V43:V46"/>
    <mergeCell ref="D43:D46"/>
    <mergeCell ref="F43:F46"/>
    <mergeCell ref="H43:H46"/>
    <mergeCell ref="J43:J46"/>
    <mergeCell ref="L43:L46"/>
    <mergeCell ref="D32:D35"/>
    <mergeCell ref="F32:F35"/>
    <mergeCell ref="H32:H35"/>
    <mergeCell ref="J32:J35"/>
    <mergeCell ref="L32:L35"/>
    <mergeCell ref="N32:N35"/>
    <mergeCell ref="P32:P35"/>
    <mergeCell ref="R32:R35"/>
    <mergeCell ref="T32:T35"/>
    <mergeCell ref="V32:V35"/>
    <mergeCell ref="X32:X35"/>
    <mergeCell ref="Z32:Z35"/>
    <mergeCell ref="P21:P24"/>
    <mergeCell ref="R21:R24"/>
    <mergeCell ref="T21:T24"/>
    <mergeCell ref="V21:V24"/>
    <mergeCell ref="X21:X24"/>
    <mergeCell ref="D10:D13"/>
    <mergeCell ref="F10:F13"/>
    <mergeCell ref="H10:H13"/>
    <mergeCell ref="P10:P12"/>
    <mergeCell ref="D21:D24"/>
    <mergeCell ref="F21:F24"/>
    <mergeCell ref="H21:H24"/>
    <mergeCell ref="J21:J24"/>
    <mergeCell ref="L21:L24"/>
    <mergeCell ref="N21:N24"/>
    <mergeCell ref="X10:X12"/>
    <mergeCell ref="Z10:Z12"/>
    <mergeCell ref="J10:J12"/>
    <mergeCell ref="L10:L12"/>
    <mergeCell ref="N10:N12"/>
    <mergeCell ref="R10:R12"/>
    <mergeCell ref="T10:T12"/>
    <mergeCell ref="V10:V1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B4:AA53"/>
  <sheetViews>
    <sheetView showGridLines="0" zoomScale="80" zoomScaleNormal="80" workbookViewId="0">
      <selection activeCell="D5" sqref="D5"/>
    </sheetView>
  </sheetViews>
  <sheetFormatPr baseColWidth="10" defaultRowHeight="15" x14ac:dyDescent="0.25"/>
  <cols>
    <col min="2" max="2" width="50.85546875" bestFit="1" customWidth="1"/>
    <col min="3" max="3" width="13.7109375" bestFit="1" customWidth="1"/>
    <col min="4" max="4" width="13.7109375" customWidth="1"/>
    <col min="5" max="6" width="15.5703125" customWidth="1"/>
    <col min="7" max="7" width="13.7109375" bestFit="1" customWidth="1"/>
    <col min="8" max="8" width="13.7109375" customWidth="1"/>
    <col min="9" max="9" width="13.7109375" bestFit="1" customWidth="1"/>
    <col min="10" max="10" width="12.7109375" bestFit="1" customWidth="1"/>
    <col min="11" max="11" width="13.7109375" bestFit="1" customWidth="1"/>
    <col min="12" max="12" width="12.7109375" bestFit="1" customWidth="1"/>
    <col min="13" max="13" width="13" bestFit="1" customWidth="1"/>
    <col min="14" max="14" width="11.42578125" bestFit="1" customWidth="1"/>
    <col min="15" max="15" width="13" bestFit="1" customWidth="1"/>
    <col min="16" max="16" width="10.85546875" bestFit="1" customWidth="1"/>
    <col min="17" max="17" width="13" bestFit="1" customWidth="1"/>
    <col min="18" max="18" width="12.85546875" bestFit="1" customWidth="1"/>
    <col min="19" max="19" width="15.28515625" bestFit="1" customWidth="1"/>
    <col min="20" max="20" width="17.7109375" bestFit="1" customWidth="1"/>
    <col min="21" max="21" width="13.7109375" bestFit="1" customWidth="1"/>
    <col min="22" max="22" width="13.7109375" customWidth="1"/>
    <col min="23" max="23" width="14.5703125" bestFit="1" customWidth="1"/>
    <col min="24" max="24" width="16.7109375" bestFit="1" customWidth="1"/>
    <col min="25" max="25" width="14.140625" bestFit="1" customWidth="1"/>
    <col min="26" max="26" width="16.28515625" bestFit="1" customWidth="1"/>
    <col min="27" max="27" width="26.28515625" bestFit="1" customWidth="1"/>
    <col min="28" max="28" width="10.85546875" bestFit="1" customWidth="1"/>
    <col min="29" max="29" width="13" bestFit="1" customWidth="1"/>
    <col min="30" max="30" width="12.85546875" bestFit="1" customWidth="1"/>
    <col min="31" max="31" width="15.28515625" customWidth="1"/>
    <col min="32" max="32" width="17.7109375" bestFit="1" customWidth="1"/>
    <col min="33" max="34" width="13.7109375" bestFit="1" customWidth="1"/>
    <col min="35" max="35" width="14.5703125" customWidth="1"/>
    <col min="36" max="36" width="16.7109375" customWidth="1"/>
    <col min="37" max="37" width="14.140625" bestFit="1" customWidth="1"/>
    <col min="38" max="38" width="16.28515625" bestFit="1" customWidth="1"/>
  </cols>
  <sheetData>
    <row r="4" spans="2:27" x14ac:dyDescent="0.25">
      <c r="B4" s="445" t="s">
        <v>187</v>
      </c>
      <c r="C4" s="446" t="s">
        <v>188</v>
      </c>
      <c r="D4" s="447" t="s">
        <v>256</v>
      </c>
      <c r="E4" s="446" t="s">
        <v>189</v>
      </c>
      <c r="F4" s="447" t="s">
        <v>256</v>
      </c>
      <c r="G4" s="446" t="s">
        <v>190</v>
      </c>
      <c r="H4" s="447" t="s">
        <v>256</v>
      </c>
      <c r="I4" s="446" t="s">
        <v>191</v>
      </c>
      <c r="J4" s="447" t="s">
        <v>256</v>
      </c>
      <c r="K4" s="446" t="s">
        <v>192</v>
      </c>
      <c r="L4" s="447" t="s">
        <v>256</v>
      </c>
      <c r="M4" s="446" t="s">
        <v>193</v>
      </c>
      <c r="N4" s="447" t="s">
        <v>256</v>
      </c>
      <c r="O4" s="446" t="s">
        <v>194</v>
      </c>
      <c r="P4" s="447" t="s">
        <v>256</v>
      </c>
      <c r="Q4" s="446" t="s">
        <v>195</v>
      </c>
      <c r="R4" s="447" t="s">
        <v>256</v>
      </c>
      <c r="S4" s="446" t="s">
        <v>196</v>
      </c>
      <c r="T4" s="447" t="s">
        <v>256</v>
      </c>
      <c r="U4" s="446" t="s">
        <v>197</v>
      </c>
      <c r="V4" s="447" t="s">
        <v>256</v>
      </c>
      <c r="W4" s="446" t="s">
        <v>198</v>
      </c>
      <c r="X4" s="447" t="s">
        <v>256</v>
      </c>
      <c r="Y4" s="446" t="s">
        <v>199</v>
      </c>
      <c r="Z4" s="447" t="s">
        <v>256</v>
      </c>
      <c r="AA4" s="425" t="s">
        <v>200</v>
      </c>
    </row>
    <row r="5" spans="2:27" x14ac:dyDescent="0.25">
      <c r="B5" s="425" t="s">
        <v>201</v>
      </c>
      <c r="C5" s="425">
        <v>0</v>
      </c>
      <c r="D5" s="425">
        <v>0</v>
      </c>
      <c r="E5" s="425">
        <v>0</v>
      </c>
      <c r="F5" s="425">
        <v>0</v>
      </c>
      <c r="G5" s="425">
        <v>0</v>
      </c>
      <c r="H5" s="425">
        <v>0</v>
      </c>
      <c r="I5" s="425">
        <v>0</v>
      </c>
      <c r="J5" s="425">
        <v>0</v>
      </c>
      <c r="K5" s="425">
        <v>0</v>
      </c>
      <c r="L5" s="425">
        <v>0</v>
      </c>
      <c r="M5" s="425">
        <v>0</v>
      </c>
      <c r="N5" s="425">
        <v>0</v>
      </c>
      <c r="O5" s="425">
        <v>0</v>
      </c>
      <c r="P5" s="425">
        <v>0</v>
      </c>
      <c r="Q5" s="425">
        <v>0</v>
      </c>
      <c r="R5" s="425">
        <v>0</v>
      </c>
      <c r="S5" s="425">
        <v>0</v>
      </c>
      <c r="T5" s="425">
        <v>0</v>
      </c>
      <c r="U5" s="425">
        <v>0</v>
      </c>
      <c r="V5" s="425">
        <v>0</v>
      </c>
      <c r="W5" s="425">
        <v>0</v>
      </c>
      <c r="X5" s="425">
        <v>0</v>
      </c>
      <c r="Y5" s="425">
        <v>0</v>
      </c>
      <c r="Z5" s="425">
        <v>0</v>
      </c>
      <c r="AA5" s="425">
        <v>0</v>
      </c>
    </row>
    <row r="6" spans="2:27" x14ac:dyDescent="0.25">
      <c r="B6" s="425" t="s">
        <v>7</v>
      </c>
      <c r="C6" s="425">
        <v>0</v>
      </c>
      <c r="D6" s="425">
        <v>0</v>
      </c>
      <c r="E6" s="425">
        <v>0</v>
      </c>
      <c r="F6" s="425">
        <v>0</v>
      </c>
      <c r="G6" s="425">
        <v>0</v>
      </c>
      <c r="H6" s="425">
        <v>0</v>
      </c>
      <c r="I6" s="425">
        <v>0</v>
      </c>
      <c r="J6" s="425">
        <v>0</v>
      </c>
      <c r="K6" s="425">
        <v>0</v>
      </c>
      <c r="L6" s="425">
        <v>0</v>
      </c>
      <c r="M6" s="425">
        <v>0</v>
      </c>
      <c r="N6" s="425">
        <v>0</v>
      </c>
      <c r="O6" s="425">
        <v>0</v>
      </c>
      <c r="P6" s="425">
        <v>0</v>
      </c>
      <c r="Q6" s="425">
        <v>0</v>
      </c>
      <c r="R6" s="425">
        <v>0</v>
      </c>
      <c r="S6" s="425">
        <v>0</v>
      </c>
      <c r="T6" s="425">
        <v>0</v>
      </c>
      <c r="U6" s="425">
        <v>0</v>
      </c>
      <c r="V6" s="425">
        <v>0</v>
      </c>
      <c r="W6" s="425">
        <v>0</v>
      </c>
      <c r="X6" s="425">
        <v>0</v>
      </c>
      <c r="Y6" s="425">
        <v>0</v>
      </c>
      <c r="Z6" s="425">
        <v>0</v>
      </c>
      <c r="AA6" s="425">
        <v>0</v>
      </c>
    </row>
    <row r="7" spans="2:27" x14ac:dyDescent="0.25">
      <c r="B7" s="425" t="s">
        <v>205</v>
      </c>
      <c r="C7" s="425">
        <v>0</v>
      </c>
      <c r="D7" s="425">
        <v>0</v>
      </c>
      <c r="E7" s="425">
        <v>0</v>
      </c>
      <c r="F7" s="425">
        <v>0</v>
      </c>
      <c r="G7" s="425">
        <v>0</v>
      </c>
      <c r="H7" s="425">
        <v>0</v>
      </c>
      <c r="I7" s="425">
        <v>0</v>
      </c>
      <c r="J7" s="425">
        <v>0</v>
      </c>
      <c r="K7" s="425">
        <v>0</v>
      </c>
      <c r="L7" s="425">
        <v>0</v>
      </c>
      <c r="M7" s="425">
        <v>0</v>
      </c>
      <c r="N7" s="425">
        <v>0</v>
      </c>
      <c r="O7" s="425">
        <v>0</v>
      </c>
      <c r="P7" s="425">
        <v>0</v>
      </c>
      <c r="Q7" s="425">
        <v>0</v>
      </c>
      <c r="R7" s="425">
        <v>0</v>
      </c>
      <c r="S7" s="425">
        <v>0</v>
      </c>
      <c r="T7" s="425">
        <v>0</v>
      </c>
      <c r="U7" s="425">
        <v>0</v>
      </c>
      <c r="V7" s="425">
        <v>0</v>
      </c>
      <c r="W7" s="425">
        <v>0</v>
      </c>
      <c r="X7" s="425">
        <v>0</v>
      </c>
      <c r="Y7" s="425">
        <v>0</v>
      </c>
      <c r="Z7" s="425">
        <v>0</v>
      </c>
      <c r="AA7" s="425">
        <v>0</v>
      </c>
    </row>
    <row r="8" spans="2:27" x14ac:dyDescent="0.25">
      <c r="B8" s="425" t="s">
        <v>206</v>
      </c>
      <c r="C8" s="425">
        <v>0</v>
      </c>
      <c r="D8" s="425">
        <v>0</v>
      </c>
      <c r="E8" s="425">
        <v>0</v>
      </c>
      <c r="F8" s="425">
        <v>0</v>
      </c>
      <c r="G8" s="425">
        <v>0</v>
      </c>
      <c r="H8" s="425">
        <v>0</v>
      </c>
      <c r="I8" s="425">
        <v>0</v>
      </c>
      <c r="J8" s="425">
        <v>0</v>
      </c>
      <c r="K8" s="425">
        <v>0</v>
      </c>
      <c r="L8" s="425">
        <v>0</v>
      </c>
      <c r="M8" s="425">
        <v>0</v>
      </c>
      <c r="N8" s="425">
        <v>0</v>
      </c>
      <c r="O8" s="425">
        <v>0</v>
      </c>
      <c r="P8" s="425">
        <v>0</v>
      </c>
      <c r="Q8" s="425">
        <v>0</v>
      </c>
      <c r="R8" s="425">
        <v>0</v>
      </c>
      <c r="S8" s="425">
        <v>0</v>
      </c>
      <c r="T8" s="425">
        <v>0</v>
      </c>
      <c r="U8" s="425">
        <v>0</v>
      </c>
      <c r="V8" s="425">
        <v>0</v>
      </c>
      <c r="W8" s="425">
        <v>0</v>
      </c>
      <c r="X8" s="425">
        <v>0</v>
      </c>
      <c r="Y8" s="425">
        <v>0</v>
      </c>
      <c r="Z8" s="425">
        <v>0</v>
      </c>
      <c r="AA8" s="425">
        <v>0</v>
      </c>
    </row>
    <row r="10" spans="2:27" x14ac:dyDescent="0.25">
      <c r="B10" s="445" t="s">
        <v>209</v>
      </c>
      <c r="C10" s="446" t="s">
        <v>188</v>
      </c>
      <c r="D10" s="447" t="s">
        <v>256</v>
      </c>
      <c r="E10" s="446" t="s">
        <v>189</v>
      </c>
      <c r="F10" s="447" t="s">
        <v>256</v>
      </c>
      <c r="G10" s="446" t="s">
        <v>190</v>
      </c>
      <c r="H10" s="447" t="s">
        <v>256</v>
      </c>
      <c r="I10" s="446" t="s">
        <v>191</v>
      </c>
      <c r="J10" s="447" t="s">
        <v>256</v>
      </c>
      <c r="K10" s="446" t="s">
        <v>192</v>
      </c>
      <c r="L10" s="447" t="s">
        <v>256</v>
      </c>
      <c r="M10" s="446" t="s">
        <v>193</v>
      </c>
      <c r="N10" s="447" t="s">
        <v>256</v>
      </c>
      <c r="O10" s="446" t="s">
        <v>194</v>
      </c>
      <c r="P10" s="447" t="s">
        <v>256</v>
      </c>
      <c r="Q10" s="446" t="s">
        <v>195</v>
      </c>
      <c r="R10" s="447" t="s">
        <v>256</v>
      </c>
      <c r="S10" s="446" t="s">
        <v>196</v>
      </c>
      <c r="T10" s="447" t="s">
        <v>256</v>
      </c>
      <c r="U10" s="446" t="s">
        <v>197</v>
      </c>
      <c r="V10" s="447" t="s">
        <v>256</v>
      </c>
      <c r="W10" s="446" t="s">
        <v>198</v>
      </c>
      <c r="X10" s="447" t="s">
        <v>256</v>
      </c>
      <c r="Y10" s="446" t="s">
        <v>199</v>
      </c>
      <c r="Z10" s="447" t="s">
        <v>256</v>
      </c>
      <c r="AA10" s="425" t="s">
        <v>200</v>
      </c>
    </row>
    <row r="11" spans="2:27" x14ac:dyDescent="0.25">
      <c r="B11" s="425" t="s">
        <v>201</v>
      </c>
      <c r="C11" s="425">
        <v>0</v>
      </c>
      <c r="D11" s="425">
        <v>0</v>
      </c>
      <c r="E11" s="425">
        <v>0</v>
      </c>
      <c r="F11" s="425">
        <v>0</v>
      </c>
      <c r="G11" s="425">
        <v>0</v>
      </c>
      <c r="H11" s="425">
        <v>0</v>
      </c>
      <c r="I11" s="425">
        <v>0</v>
      </c>
      <c r="J11" s="425">
        <v>0</v>
      </c>
      <c r="K11" s="425">
        <v>0</v>
      </c>
      <c r="L11" s="425">
        <v>0</v>
      </c>
      <c r="M11" s="425">
        <v>0</v>
      </c>
      <c r="N11" s="425">
        <v>0</v>
      </c>
      <c r="O11" s="425">
        <v>0</v>
      </c>
      <c r="P11" s="425">
        <v>0</v>
      </c>
      <c r="Q11" s="425">
        <v>0</v>
      </c>
      <c r="R11" s="425">
        <v>0</v>
      </c>
      <c r="S11" s="425">
        <v>0</v>
      </c>
      <c r="T11" s="425">
        <v>0</v>
      </c>
      <c r="U11" s="425">
        <v>0</v>
      </c>
      <c r="V11" s="425">
        <v>0</v>
      </c>
      <c r="W11" s="425">
        <v>0</v>
      </c>
      <c r="X11" s="425">
        <v>0</v>
      </c>
      <c r="Y11" s="425">
        <v>0</v>
      </c>
      <c r="Z11" s="425">
        <v>0</v>
      </c>
      <c r="AA11" s="425">
        <v>0</v>
      </c>
    </row>
    <row r="12" spans="2:27" x14ac:dyDescent="0.25">
      <c r="B12" s="425" t="s">
        <v>7</v>
      </c>
      <c r="C12" s="425">
        <v>0</v>
      </c>
      <c r="D12" s="425">
        <v>0</v>
      </c>
      <c r="E12" s="425">
        <v>0</v>
      </c>
      <c r="F12" s="425">
        <v>0</v>
      </c>
      <c r="G12" s="425">
        <v>0</v>
      </c>
      <c r="H12" s="425">
        <v>0</v>
      </c>
      <c r="I12" s="425">
        <v>0</v>
      </c>
      <c r="J12" s="425">
        <v>0</v>
      </c>
      <c r="K12" s="425">
        <v>0</v>
      </c>
      <c r="L12" s="425">
        <v>0</v>
      </c>
      <c r="M12" s="425">
        <v>0</v>
      </c>
      <c r="N12" s="425">
        <v>0</v>
      </c>
      <c r="O12" s="425">
        <v>0</v>
      </c>
      <c r="P12" s="425">
        <v>0</v>
      </c>
      <c r="Q12" s="425">
        <v>0</v>
      </c>
      <c r="R12" s="425">
        <v>0</v>
      </c>
      <c r="S12" s="425">
        <v>0</v>
      </c>
      <c r="T12" s="425">
        <v>0</v>
      </c>
      <c r="U12" s="425">
        <v>0</v>
      </c>
      <c r="V12" s="425">
        <v>0</v>
      </c>
      <c r="W12" s="425">
        <v>0</v>
      </c>
      <c r="X12" s="425">
        <v>0</v>
      </c>
      <c r="Y12" s="425">
        <v>0</v>
      </c>
      <c r="Z12" s="425">
        <v>0</v>
      </c>
      <c r="AA12" s="425">
        <v>0</v>
      </c>
    </row>
    <row r="13" spans="2:27" x14ac:dyDescent="0.25">
      <c r="B13" s="425" t="s">
        <v>205</v>
      </c>
      <c r="C13" s="425">
        <v>0</v>
      </c>
      <c r="D13" s="425">
        <v>0</v>
      </c>
      <c r="E13" s="425">
        <v>0</v>
      </c>
      <c r="F13" s="425">
        <v>0</v>
      </c>
      <c r="G13" s="425">
        <v>0</v>
      </c>
      <c r="H13" s="425">
        <v>0</v>
      </c>
      <c r="I13" s="425">
        <v>0</v>
      </c>
      <c r="J13" s="425">
        <v>0</v>
      </c>
      <c r="K13" s="425">
        <v>0</v>
      </c>
      <c r="L13" s="425">
        <v>0</v>
      </c>
      <c r="M13" s="425">
        <v>0</v>
      </c>
      <c r="N13" s="425">
        <v>0</v>
      </c>
      <c r="O13" s="425">
        <v>0</v>
      </c>
      <c r="P13" s="425">
        <v>0</v>
      </c>
      <c r="Q13" s="425">
        <v>0</v>
      </c>
      <c r="R13" s="425">
        <v>0</v>
      </c>
      <c r="S13" s="425">
        <v>0</v>
      </c>
      <c r="T13" s="425">
        <v>0</v>
      </c>
      <c r="U13" s="425">
        <v>0</v>
      </c>
      <c r="V13" s="425">
        <v>0</v>
      </c>
      <c r="W13" s="425">
        <v>0</v>
      </c>
      <c r="X13" s="425">
        <v>0</v>
      </c>
      <c r="Y13" s="425">
        <v>0</v>
      </c>
      <c r="Z13" s="425">
        <v>0</v>
      </c>
      <c r="AA13" s="425">
        <v>0</v>
      </c>
    </row>
    <row r="14" spans="2:27" x14ac:dyDescent="0.25">
      <c r="B14" s="425" t="s">
        <v>206</v>
      </c>
      <c r="C14" s="425">
        <v>0</v>
      </c>
      <c r="D14" s="425">
        <v>0</v>
      </c>
      <c r="E14" s="425">
        <v>0</v>
      </c>
      <c r="F14" s="425">
        <v>0</v>
      </c>
      <c r="G14" s="425">
        <v>0</v>
      </c>
      <c r="H14" s="425">
        <v>0</v>
      </c>
      <c r="I14" s="425">
        <v>0</v>
      </c>
      <c r="J14" s="425">
        <v>0</v>
      </c>
      <c r="K14" s="425">
        <v>0</v>
      </c>
      <c r="L14" s="425">
        <v>0</v>
      </c>
      <c r="M14" s="425">
        <v>0</v>
      </c>
      <c r="N14" s="425">
        <v>0</v>
      </c>
      <c r="O14" s="425">
        <v>0</v>
      </c>
      <c r="P14" s="425">
        <v>0</v>
      </c>
      <c r="Q14" s="425">
        <v>0</v>
      </c>
      <c r="R14" s="425">
        <v>0</v>
      </c>
      <c r="S14" s="425">
        <v>0</v>
      </c>
      <c r="T14" s="425">
        <v>0</v>
      </c>
      <c r="U14" s="425">
        <v>0</v>
      </c>
      <c r="V14" s="425">
        <v>0</v>
      </c>
      <c r="W14" s="425">
        <v>0</v>
      </c>
      <c r="X14" s="425">
        <v>0</v>
      </c>
      <c r="Y14" s="425">
        <v>0</v>
      </c>
      <c r="Z14" s="425">
        <v>0</v>
      </c>
      <c r="AA14" s="425">
        <v>0</v>
      </c>
    </row>
    <row r="16" spans="2:27" x14ac:dyDescent="0.25">
      <c r="B16" s="445" t="s">
        <v>210</v>
      </c>
      <c r="C16" s="446" t="s">
        <v>188</v>
      </c>
      <c r="D16" s="447" t="s">
        <v>256</v>
      </c>
      <c r="E16" s="446" t="s">
        <v>189</v>
      </c>
      <c r="F16" s="447" t="s">
        <v>256</v>
      </c>
      <c r="G16" s="446" t="s">
        <v>190</v>
      </c>
      <c r="H16" s="447" t="s">
        <v>256</v>
      </c>
      <c r="I16" s="446" t="s">
        <v>191</v>
      </c>
      <c r="J16" s="447" t="s">
        <v>256</v>
      </c>
      <c r="K16" s="446" t="s">
        <v>192</v>
      </c>
      <c r="L16" s="447" t="s">
        <v>256</v>
      </c>
      <c r="M16" s="446" t="s">
        <v>193</v>
      </c>
      <c r="N16" s="447" t="s">
        <v>256</v>
      </c>
      <c r="O16" s="446" t="s">
        <v>194</v>
      </c>
      <c r="P16" s="447" t="s">
        <v>256</v>
      </c>
      <c r="Q16" s="446" t="s">
        <v>195</v>
      </c>
      <c r="R16" s="447" t="s">
        <v>256</v>
      </c>
      <c r="S16" s="446" t="s">
        <v>196</v>
      </c>
      <c r="T16" s="447" t="s">
        <v>256</v>
      </c>
      <c r="U16" s="446" t="s">
        <v>197</v>
      </c>
      <c r="V16" s="447" t="s">
        <v>256</v>
      </c>
      <c r="W16" s="446" t="s">
        <v>198</v>
      </c>
      <c r="X16" s="447" t="s">
        <v>256</v>
      </c>
      <c r="Y16" s="446" t="s">
        <v>199</v>
      </c>
      <c r="Z16" s="447" t="s">
        <v>256</v>
      </c>
      <c r="AA16" s="425" t="s">
        <v>200</v>
      </c>
    </row>
    <row r="17" spans="2:27" x14ac:dyDescent="0.25">
      <c r="B17" s="425" t="s">
        <v>201</v>
      </c>
      <c r="C17" s="425">
        <v>0</v>
      </c>
      <c r="D17" s="425">
        <v>0</v>
      </c>
      <c r="E17" s="425">
        <v>0</v>
      </c>
      <c r="F17" s="425">
        <v>0</v>
      </c>
      <c r="G17" s="425">
        <v>0</v>
      </c>
      <c r="H17" s="425">
        <v>0</v>
      </c>
      <c r="I17" s="425">
        <v>0</v>
      </c>
      <c r="J17" s="425">
        <v>0</v>
      </c>
      <c r="K17" s="425">
        <v>0</v>
      </c>
      <c r="L17" s="425">
        <v>0</v>
      </c>
      <c r="M17" s="425">
        <v>0</v>
      </c>
      <c r="N17" s="425">
        <v>0</v>
      </c>
      <c r="O17" s="425">
        <v>0</v>
      </c>
      <c r="P17" s="425">
        <v>0</v>
      </c>
      <c r="Q17" s="425">
        <v>0</v>
      </c>
      <c r="R17" s="425">
        <v>0</v>
      </c>
      <c r="S17" s="425">
        <v>0</v>
      </c>
      <c r="T17" s="425">
        <v>0</v>
      </c>
      <c r="U17" s="425">
        <v>0</v>
      </c>
      <c r="V17" s="425">
        <v>0</v>
      </c>
      <c r="W17" s="425">
        <v>0</v>
      </c>
      <c r="X17" s="425">
        <v>0</v>
      </c>
      <c r="Y17" s="425">
        <v>0</v>
      </c>
      <c r="Z17" s="425">
        <v>0</v>
      </c>
      <c r="AA17" s="425">
        <v>0</v>
      </c>
    </row>
    <row r="18" spans="2:27" x14ac:dyDescent="0.25">
      <c r="B18" s="425" t="s">
        <v>7</v>
      </c>
      <c r="C18" s="425">
        <v>0</v>
      </c>
      <c r="D18" s="425">
        <v>0</v>
      </c>
      <c r="E18" s="425">
        <v>0</v>
      </c>
      <c r="F18" s="425">
        <v>0</v>
      </c>
      <c r="G18" s="425">
        <v>0</v>
      </c>
      <c r="H18" s="425">
        <v>0</v>
      </c>
      <c r="I18" s="425">
        <v>0</v>
      </c>
      <c r="J18" s="425">
        <v>0</v>
      </c>
      <c r="K18" s="425">
        <v>0</v>
      </c>
      <c r="L18" s="425">
        <v>0</v>
      </c>
      <c r="M18" s="425">
        <v>0</v>
      </c>
      <c r="N18" s="425">
        <v>0</v>
      </c>
      <c r="O18" s="425">
        <v>0</v>
      </c>
      <c r="P18" s="425">
        <v>0</v>
      </c>
      <c r="Q18" s="425">
        <v>0</v>
      </c>
      <c r="R18" s="425">
        <v>0</v>
      </c>
      <c r="S18" s="425">
        <v>0</v>
      </c>
      <c r="T18" s="425">
        <v>0</v>
      </c>
      <c r="U18" s="425">
        <v>0</v>
      </c>
      <c r="V18" s="425">
        <v>0</v>
      </c>
      <c r="W18" s="425">
        <v>0</v>
      </c>
      <c r="X18" s="425">
        <v>0</v>
      </c>
      <c r="Y18" s="425">
        <v>0</v>
      </c>
      <c r="Z18" s="425">
        <v>0</v>
      </c>
      <c r="AA18" s="425">
        <v>0</v>
      </c>
    </row>
    <row r="19" spans="2:27" x14ac:dyDescent="0.25">
      <c r="B19" s="425" t="s">
        <v>205</v>
      </c>
      <c r="C19" s="425">
        <v>0</v>
      </c>
      <c r="D19" s="425">
        <v>0</v>
      </c>
      <c r="E19" s="425">
        <v>0</v>
      </c>
      <c r="F19" s="425">
        <v>0</v>
      </c>
      <c r="G19" s="425">
        <v>0</v>
      </c>
      <c r="H19" s="425">
        <v>0</v>
      </c>
      <c r="I19" s="425">
        <v>0</v>
      </c>
      <c r="J19" s="425">
        <v>0</v>
      </c>
      <c r="K19" s="425">
        <v>0</v>
      </c>
      <c r="L19" s="425">
        <v>0</v>
      </c>
      <c r="M19" s="425">
        <v>0</v>
      </c>
      <c r="N19" s="425">
        <v>0</v>
      </c>
      <c r="O19" s="425">
        <v>0</v>
      </c>
      <c r="P19" s="425">
        <v>0</v>
      </c>
      <c r="Q19" s="425">
        <v>0</v>
      </c>
      <c r="R19" s="425">
        <v>0</v>
      </c>
      <c r="S19" s="425">
        <v>0</v>
      </c>
      <c r="T19" s="425">
        <v>0</v>
      </c>
      <c r="U19" s="425">
        <v>0</v>
      </c>
      <c r="V19" s="425">
        <v>0</v>
      </c>
      <c r="W19" s="425">
        <v>0</v>
      </c>
      <c r="X19" s="425">
        <v>0</v>
      </c>
      <c r="Y19" s="425">
        <v>0</v>
      </c>
      <c r="Z19" s="425">
        <v>0</v>
      </c>
      <c r="AA19" s="425">
        <v>0</v>
      </c>
    </row>
    <row r="20" spans="2:27" x14ac:dyDescent="0.25">
      <c r="B20" s="425" t="s">
        <v>206</v>
      </c>
      <c r="C20" s="425">
        <v>0</v>
      </c>
      <c r="D20" s="425">
        <v>0</v>
      </c>
      <c r="E20" s="425">
        <v>0</v>
      </c>
      <c r="F20" s="425">
        <v>0</v>
      </c>
      <c r="G20" s="425">
        <v>0</v>
      </c>
      <c r="H20" s="425">
        <v>0</v>
      </c>
      <c r="I20" s="425">
        <v>0</v>
      </c>
      <c r="J20" s="425">
        <v>0</v>
      </c>
      <c r="K20" s="425">
        <v>0</v>
      </c>
      <c r="L20" s="425">
        <v>0</v>
      </c>
      <c r="M20" s="425">
        <v>0</v>
      </c>
      <c r="N20" s="425">
        <v>0</v>
      </c>
      <c r="O20" s="425">
        <v>0</v>
      </c>
      <c r="P20" s="425">
        <v>0</v>
      </c>
      <c r="Q20" s="425">
        <v>0</v>
      </c>
      <c r="R20" s="425">
        <v>0</v>
      </c>
      <c r="S20" s="425">
        <v>0</v>
      </c>
      <c r="T20" s="425">
        <v>0</v>
      </c>
      <c r="U20" s="425">
        <v>0</v>
      </c>
      <c r="V20" s="425">
        <v>0</v>
      </c>
      <c r="W20" s="425">
        <v>0</v>
      </c>
      <c r="X20" s="425">
        <v>0</v>
      </c>
      <c r="Y20" s="425">
        <v>0</v>
      </c>
      <c r="Z20" s="425">
        <v>0</v>
      </c>
      <c r="AA20" s="425">
        <v>0</v>
      </c>
    </row>
    <row r="22" spans="2:27" x14ac:dyDescent="0.25">
      <c r="B22" s="445" t="s">
        <v>211</v>
      </c>
      <c r="C22" s="446" t="s">
        <v>188</v>
      </c>
      <c r="D22" s="447" t="s">
        <v>256</v>
      </c>
      <c r="E22" s="446" t="s">
        <v>189</v>
      </c>
      <c r="F22" s="447" t="s">
        <v>256</v>
      </c>
      <c r="G22" s="446" t="s">
        <v>190</v>
      </c>
      <c r="H22" s="447" t="s">
        <v>256</v>
      </c>
      <c r="I22" s="446" t="s">
        <v>191</v>
      </c>
      <c r="J22" s="447" t="s">
        <v>256</v>
      </c>
      <c r="K22" s="446" t="s">
        <v>192</v>
      </c>
      <c r="L22" s="447" t="s">
        <v>256</v>
      </c>
      <c r="M22" s="446" t="s">
        <v>193</v>
      </c>
      <c r="N22" s="447" t="s">
        <v>256</v>
      </c>
      <c r="O22" s="446" t="s">
        <v>194</v>
      </c>
      <c r="P22" s="447" t="s">
        <v>256</v>
      </c>
      <c r="Q22" s="446" t="s">
        <v>195</v>
      </c>
      <c r="R22" s="447" t="s">
        <v>256</v>
      </c>
      <c r="S22" s="446" t="s">
        <v>196</v>
      </c>
      <c r="T22" s="447" t="s">
        <v>256</v>
      </c>
      <c r="U22" s="446" t="s">
        <v>197</v>
      </c>
      <c r="V22" s="447" t="s">
        <v>256</v>
      </c>
      <c r="W22" s="446" t="s">
        <v>198</v>
      </c>
      <c r="X22" s="447" t="s">
        <v>256</v>
      </c>
      <c r="Y22" s="446" t="s">
        <v>199</v>
      </c>
      <c r="Z22" s="447" t="s">
        <v>256</v>
      </c>
      <c r="AA22" s="425" t="s">
        <v>200</v>
      </c>
    </row>
    <row r="23" spans="2:27" x14ac:dyDescent="0.25">
      <c r="B23" s="425" t="s">
        <v>201</v>
      </c>
      <c r="C23" s="425">
        <v>0</v>
      </c>
      <c r="D23" s="425">
        <v>0</v>
      </c>
      <c r="E23" s="425">
        <v>0</v>
      </c>
      <c r="F23" s="425">
        <v>0</v>
      </c>
      <c r="G23" s="425">
        <v>0</v>
      </c>
      <c r="H23" s="425">
        <v>0</v>
      </c>
      <c r="I23" s="425">
        <v>0</v>
      </c>
      <c r="J23" s="425">
        <v>0</v>
      </c>
      <c r="K23" s="425">
        <v>0</v>
      </c>
      <c r="L23" s="425">
        <v>0</v>
      </c>
      <c r="M23" s="425">
        <v>0</v>
      </c>
      <c r="N23" s="425">
        <v>0</v>
      </c>
      <c r="O23" s="425">
        <v>0</v>
      </c>
      <c r="P23" s="425">
        <v>0</v>
      </c>
      <c r="Q23" s="425">
        <v>0</v>
      </c>
      <c r="R23" s="425">
        <v>0</v>
      </c>
      <c r="S23" s="425">
        <v>0</v>
      </c>
      <c r="T23" s="425">
        <v>0</v>
      </c>
      <c r="U23" s="425">
        <v>0</v>
      </c>
      <c r="V23" s="425">
        <v>0</v>
      </c>
      <c r="W23" s="425">
        <v>0</v>
      </c>
      <c r="X23" s="425">
        <v>0</v>
      </c>
      <c r="Y23" s="425">
        <v>0</v>
      </c>
      <c r="Z23" s="425">
        <v>0</v>
      </c>
      <c r="AA23" s="425">
        <v>0</v>
      </c>
    </row>
    <row r="24" spans="2:27" x14ac:dyDescent="0.25">
      <c r="B24" s="425" t="s">
        <v>7</v>
      </c>
      <c r="C24" s="425">
        <v>0</v>
      </c>
      <c r="D24" s="425">
        <v>0</v>
      </c>
      <c r="E24" s="425">
        <v>0</v>
      </c>
      <c r="F24" s="425">
        <v>0</v>
      </c>
      <c r="G24" s="425">
        <v>0</v>
      </c>
      <c r="H24" s="425">
        <v>0</v>
      </c>
      <c r="I24" s="425">
        <v>0</v>
      </c>
      <c r="J24" s="425">
        <v>0</v>
      </c>
      <c r="K24" s="425">
        <v>0</v>
      </c>
      <c r="L24" s="425">
        <v>0</v>
      </c>
      <c r="M24" s="425">
        <v>0</v>
      </c>
      <c r="N24" s="425">
        <v>0</v>
      </c>
      <c r="O24" s="425">
        <v>0</v>
      </c>
      <c r="P24" s="425">
        <v>0</v>
      </c>
      <c r="Q24" s="425">
        <v>0</v>
      </c>
      <c r="R24" s="425">
        <v>0</v>
      </c>
      <c r="S24" s="425">
        <v>0</v>
      </c>
      <c r="T24" s="425">
        <v>0</v>
      </c>
      <c r="U24" s="425">
        <v>0</v>
      </c>
      <c r="V24" s="425">
        <v>0</v>
      </c>
      <c r="W24" s="425">
        <v>0</v>
      </c>
      <c r="X24" s="425">
        <v>0</v>
      </c>
      <c r="Y24" s="425">
        <v>0</v>
      </c>
      <c r="Z24" s="425">
        <v>0</v>
      </c>
      <c r="AA24" s="425">
        <v>0</v>
      </c>
    </row>
    <row r="25" spans="2:27" x14ac:dyDescent="0.25">
      <c r="B25" s="425" t="s">
        <v>205</v>
      </c>
      <c r="C25" s="425">
        <v>0</v>
      </c>
      <c r="D25" s="425">
        <v>0</v>
      </c>
      <c r="E25" s="425">
        <v>0</v>
      </c>
      <c r="F25" s="425">
        <v>0</v>
      </c>
      <c r="G25" s="425">
        <v>0</v>
      </c>
      <c r="H25" s="425">
        <v>0</v>
      </c>
      <c r="I25" s="425">
        <v>0</v>
      </c>
      <c r="J25" s="425">
        <v>0</v>
      </c>
      <c r="K25" s="425">
        <v>0</v>
      </c>
      <c r="L25" s="425">
        <v>0</v>
      </c>
      <c r="M25" s="425">
        <v>0</v>
      </c>
      <c r="N25" s="425">
        <v>0</v>
      </c>
      <c r="O25" s="425">
        <v>0</v>
      </c>
      <c r="P25" s="425">
        <v>0</v>
      </c>
      <c r="Q25" s="425">
        <v>0</v>
      </c>
      <c r="R25" s="425">
        <v>0</v>
      </c>
      <c r="S25" s="425">
        <v>0</v>
      </c>
      <c r="T25" s="425">
        <v>0</v>
      </c>
      <c r="U25" s="425">
        <v>0</v>
      </c>
      <c r="V25" s="425">
        <v>0</v>
      </c>
      <c r="W25" s="425">
        <v>0</v>
      </c>
      <c r="X25" s="425">
        <v>0</v>
      </c>
      <c r="Y25" s="425">
        <v>0</v>
      </c>
      <c r="Z25" s="425">
        <v>0</v>
      </c>
      <c r="AA25" s="425">
        <v>0</v>
      </c>
    </row>
    <row r="26" spans="2:27" x14ac:dyDescent="0.25">
      <c r="B26" s="425" t="s">
        <v>206</v>
      </c>
      <c r="C26" s="425">
        <v>0</v>
      </c>
      <c r="D26" s="425">
        <v>0</v>
      </c>
      <c r="E26" s="425">
        <v>0</v>
      </c>
      <c r="F26" s="425">
        <v>0</v>
      </c>
      <c r="G26" s="425">
        <v>0</v>
      </c>
      <c r="H26" s="425">
        <v>0</v>
      </c>
      <c r="I26" s="425">
        <v>0</v>
      </c>
      <c r="J26" s="425">
        <v>0</v>
      </c>
      <c r="K26" s="425">
        <v>0</v>
      </c>
      <c r="L26" s="425">
        <v>0</v>
      </c>
      <c r="M26" s="425">
        <v>0</v>
      </c>
      <c r="N26" s="425">
        <v>0</v>
      </c>
      <c r="O26" s="425">
        <v>0</v>
      </c>
      <c r="P26" s="425">
        <v>0</v>
      </c>
      <c r="Q26" s="425">
        <v>0</v>
      </c>
      <c r="R26" s="425">
        <v>0</v>
      </c>
      <c r="S26" s="425">
        <v>0</v>
      </c>
      <c r="T26" s="425">
        <v>0</v>
      </c>
      <c r="U26" s="425">
        <v>0</v>
      </c>
      <c r="V26" s="425">
        <v>0</v>
      </c>
      <c r="W26" s="425">
        <v>0</v>
      </c>
      <c r="X26" s="425">
        <v>0</v>
      </c>
      <c r="Y26" s="425">
        <v>0</v>
      </c>
      <c r="Z26" s="425">
        <v>0</v>
      </c>
      <c r="AA26" s="425">
        <v>0</v>
      </c>
    </row>
    <row r="29" spans="2:27" x14ac:dyDescent="0.25">
      <c r="C29" s="440" t="s">
        <v>226</v>
      </c>
      <c r="D29" s="441" t="s">
        <v>227</v>
      </c>
      <c r="E29" s="440" t="s">
        <v>228</v>
      </c>
      <c r="F29" s="441" t="s">
        <v>229</v>
      </c>
      <c r="G29" s="440" t="s">
        <v>230</v>
      </c>
      <c r="H29" s="441" t="s">
        <v>231</v>
      </c>
      <c r="I29" s="440" t="s">
        <v>232</v>
      </c>
      <c r="J29" s="441" t="s">
        <v>233</v>
      </c>
      <c r="K29" s="440" t="s">
        <v>234</v>
      </c>
      <c r="L29" s="441" t="s">
        <v>235</v>
      </c>
      <c r="M29" s="440" t="s">
        <v>236</v>
      </c>
      <c r="N29" s="441" t="s">
        <v>237</v>
      </c>
      <c r="O29" s="440" t="s">
        <v>238</v>
      </c>
      <c r="P29" s="441" t="s">
        <v>239</v>
      </c>
      <c r="Q29" s="440" t="s">
        <v>240</v>
      </c>
      <c r="R29" s="441" t="s">
        <v>247</v>
      </c>
      <c r="S29" s="440" t="s">
        <v>248</v>
      </c>
      <c r="T29" s="441" t="s">
        <v>241</v>
      </c>
      <c r="U29" s="440" t="s">
        <v>242</v>
      </c>
      <c r="V29" s="441" t="s">
        <v>243</v>
      </c>
      <c r="W29" s="440" t="s">
        <v>244</v>
      </c>
      <c r="X29" s="441" t="s">
        <v>245</v>
      </c>
      <c r="Y29" s="440" t="s">
        <v>246</v>
      </c>
      <c r="Z29" s="441" t="s">
        <v>249</v>
      </c>
    </row>
    <row r="30" spans="2:27" x14ac:dyDescent="0.25">
      <c r="B30" s="425" t="s">
        <v>251</v>
      </c>
      <c r="C30" s="416">
        <f>C5+C11+C17+C23</f>
        <v>0</v>
      </c>
      <c r="D30" s="416">
        <v>0</v>
      </c>
      <c r="E30" s="416">
        <f>E5+E11+E17+E23</f>
        <v>0</v>
      </c>
      <c r="F30" s="416">
        <v>0</v>
      </c>
      <c r="G30" s="416">
        <f>G5+G11+G17+G23</f>
        <v>0</v>
      </c>
      <c r="H30" s="416">
        <v>0</v>
      </c>
      <c r="I30" s="416">
        <f>I5+I11+I17+I23</f>
        <v>0</v>
      </c>
      <c r="J30" s="416">
        <v>0</v>
      </c>
      <c r="K30" s="416">
        <f>K5+K11+K17+K23</f>
        <v>0</v>
      </c>
      <c r="L30" s="416">
        <v>0</v>
      </c>
      <c r="M30" s="416">
        <f>M5+M11+M17+M23</f>
        <v>0</v>
      </c>
      <c r="N30" s="416"/>
      <c r="O30" s="416">
        <f>O5+O11+O17+O23</f>
        <v>0</v>
      </c>
      <c r="P30" s="416"/>
      <c r="Q30" s="416">
        <f>Q5+Q11+Q17+Q23</f>
        <v>0</v>
      </c>
      <c r="R30" s="416"/>
      <c r="S30" s="416">
        <f>S5+S11+S17+S23</f>
        <v>0</v>
      </c>
      <c r="T30" s="416"/>
      <c r="U30" s="416">
        <f>U5+U11+U17+U23</f>
        <v>0</v>
      </c>
      <c r="V30" s="416"/>
      <c r="W30" s="416">
        <f>W5+W11+W17+W23</f>
        <v>0</v>
      </c>
      <c r="X30" s="416"/>
      <c r="Y30" s="416">
        <f>Y5+Y11+Y17+Y23</f>
        <v>0</v>
      </c>
      <c r="Z30" s="416"/>
    </row>
    <row r="31" spans="2:27" x14ac:dyDescent="0.25">
      <c r="B31" s="425" t="s">
        <v>252</v>
      </c>
      <c r="C31" s="416">
        <f>C6+C12+C18+C24</f>
        <v>0</v>
      </c>
      <c r="D31" s="416">
        <f t="shared" ref="D31:Z31" si="0">D6+D12+D18+D24</f>
        <v>0</v>
      </c>
      <c r="E31" s="416">
        <f t="shared" si="0"/>
        <v>0</v>
      </c>
      <c r="F31" s="416">
        <f t="shared" si="0"/>
        <v>0</v>
      </c>
      <c r="G31" s="416">
        <f t="shared" si="0"/>
        <v>0</v>
      </c>
      <c r="H31" s="416">
        <f t="shared" si="0"/>
        <v>0</v>
      </c>
      <c r="I31" s="416">
        <f t="shared" si="0"/>
        <v>0</v>
      </c>
      <c r="J31" s="416">
        <f t="shared" si="0"/>
        <v>0</v>
      </c>
      <c r="K31" s="416">
        <f t="shared" si="0"/>
        <v>0</v>
      </c>
      <c r="L31" s="416">
        <f t="shared" si="0"/>
        <v>0</v>
      </c>
      <c r="M31" s="416">
        <f t="shared" si="0"/>
        <v>0</v>
      </c>
      <c r="N31" s="416">
        <f t="shared" si="0"/>
        <v>0</v>
      </c>
      <c r="O31" s="416">
        <f t="shared" si="0"/>
        <v>0</v>
      </c>
      <c r="P31" s="416">
        <f t="shared" si="0"/>
        <v>0</v>
      </c>
      <c r="Q31" s="416">
        <f t="shared" si="0"/>
        <v>0</v>
      </c>
      <c r="R31" s="416">
        <f t="shared" si="0"/>
        <v>0</v>
      </c>
      <c r="S31" s="416">
        <f t="shared" si="0"/>
        <v>0</v>
      </c>
      <c r="T31" s="416">
        <f t="shared" si="0"/>
        <v>0</v>
      </c>
      <c r="U31" s="416">
        <f t="shared" si="0"/>
        <v>0</v>
      </c>
      <c r="V31" s="416">
        <f t="shared" si="0"/>
        <v>0</v>
      </c>
      <c r="W31" s="416">
        <f t="shared" si="0"/>
        <v>0</v>
      </c>
      <c r="X31" s="416">
        <f t="shared" si="0"/>
        <v>0</v>
      </c>
      <c r="Y31" s="416">
        <f t="shared" si="0"/>
        <v>0</v>
      </c>
      <c r="Z31" s="416">
        <f t="shared" si="0"/>
        <v>0</v>
      </c>
    </row>
    <row r="32" spans="2:27" x14ac:dyDescent="0.25">
      <c r="B32" s="425" t="s">
        <v>253</v>
      </c>
      <c r="C32" s="416">
        <f>C7+C13+C19+C25</f>
        <v>0</v>
      </c>
      <c r="D32" s="416">
        <f>1813526-1813526+0</f>
        <v>0</v>
      </c>
      <c r="E32" s="416">
        <f>E7+E13+E19+E25</f>
        <v>0</v>
      </c>
      <c r="F32" s="416">
        <v>0</v>
      </c>
      <c r="G32" s="416">
        <f>G7+G13+G19+G25</f>
        <v>0</v>
      </c>
      <c r="H32" s="416">
        <v>0</v>
      </c>
      <c r="I32" s="416">
        <f>I7+I13+I19+I25</f>
        <v>0</v>
      </c>
      <c r="J32" s="416">
        <v>0</v>
      </c>
      <c r="K32" s="416">
        <f>K7+K13+K19+K25</f>
        <v>0</v>
      </c>
      <c r="L32" s="416">
        <v>0</v>
      </c>
      <c r="M32" s="416">
        <f>M7+M13+M19+M25</f>
        <v>0</v>
      </c>
      <c r="N32" s="416"/>
      <c r="O32" s="416">
        <f>O7+O13+O19+O25</f>
        <v>0</v>
      </c>
      <c r="P32" s="416"/>
      <c r="Q32" s="416">
        <f>Q7+Q13+Q19+Q25</f>
        <v>0</v>
      </c>
      <c r="R32" s="416"/>
      <c r="S32" s="416">
        <f>S7+S13+S19+S25</f>
        <v>0</v>
      </c>
      <c r="T32" s="416"/>
      <c r="U32" s="416">
        <f>U7+U13+U19+U25</f>
        <v>0</v>
      </c>
      <c r="V32" s="416"/>
      <c r="W32" s="416">
        <f>W7+W13+W19+W25</f>
        <v>0</v>
      </c>
      <c r="X32" s="416"/>
      <c r="Y32" s="416">
        <f>Y7+Y13+Y19+Y25</f>
        <v>0</v>
      </c>
      <c r="Z32" s="416"/>
    </row>
    <row r="33" spans="2:26" x14ac:dyDescent="0.25">
      <c r="B33" s="425" t="s">
        <v>250</v>
      </c>
      <c r="C33" s="416">
        <f>C30-(C31+C32)</f>
        <v>0</v>
      </c>
      <c r="D33" s="416">
        <f>+D30-D31-D32</f>
        <v>0</v>
      </c>
      <c r="E33" s="416">
        <f>E30-(E31+E32)</f>
        <v>0</v>
      </c>
      <c r="F33" s="416">
        <f>+F30-F31-F32</f>
        <v>0</v>
      </c>
      <c r="G33" s="416">
        <f>G30-(G31+G32)</f>
        <v>0</v>
      </c>
      <c r="H33" s="416">
        <f>+H30-H31-H32</f>
        <v>0</v>
      </c>
      <c r="I33" s="416">
        <f>I30-(I31+I32)</f>
        <v>0</v>
      </c>
      <c r="J33" s="416">
        <f>+J30-J31-J32</f>
        <v>0</v>
      </c>
      <c r="K33" s="416">
        <f>K30-(K31+K32)</f>
        <v>0</v>
      </c>
      <c r="L33" s="416">
        <f>+L30-L31-L32</f>
        <v>0</v>
      </c>
      <c r="M33" s="416">
        <f>M30-(M31+M32)</f>
        <v>0</v>
      </c>
      <c r="N33" s="416"/>
      <c r="O33" s="416">
        <f>O30-(O31+O32)</f>
        <v>0</v>
      </c>
      <c r="P33" s="416"/>
      <c r="Q33" s="416">
        <f>Q30-(Q31+Q32)</f>
        <v>0</v>
      </c>
      <c r="R33" s="416"/>
      <c r="S33" s="416">
        <f>S30-(S31+S32)</f>
        <v>0</v>
      </c>
      <c r="T33" s="416"/>
      <c r="U33" s="416">
        <f>U30-(U31+U32)</f>
        <v>0</v>
      </c>
      <c r="V33" s="416"/>
      <c r="W33" s="416">
        <f>W30-(W31+W32)</f>
        <v>0</v>
      </c>
      <c r="X33" s="416"/>
      <c r="Y33" s="416">
        <f>Y30-(Y31+Y32)</f>
        <v>0</v>
      </c>
      <c r="Z33" s="416"/>
    </row>
    <row r="40" spans="2:26" x14ac:dyDescent="0.25">
      <c r="E40" s="1148" t="s">
        <v>254</v>
      </c>
      <c r="F40" s="1149"/>
      <c r="G40" s="1150"/>
      <c r="H40" s="444"/>
    </row>
    <row r="41" spans="2:26" x14ac:dyDescent="0.25">
      <c r="E41" s="443" t="s">
        <v>257</v>
      </c>
      <c r="F41" s="443" t="s">
        <v>255</v>
      </c>
      <c r="G41" s="443" t="s">
        <v>256</v>
      </c>
    </row>
    <row r="42" spans="2:26" x14ac:dyDescent="0.25">
      <c r="E42" s="425" t="s">
        <v>188</v>
      </c>
      <c r="F42" s="442" t="e">
        <f>C33/C30</f>
        <v>#DIV/0!</v>
      </c>
      <c r="G42" s="442" t="e">
        <f>D33/D30</f>
        <v>#DIV/0!</v>
      </c>
    </row>
    <row r="43" spans="2:26" x14ac:dyDescent="0.25">
      <c r="E43" s="425" t="s">
        <v>189</v>
      </c>
      <c r="F43" s="442" t="e">
        <f>E33/E30</f>
        <v>#DIV/0!</v>
      </c>
      <c r="G43" s="442" t="e">
        <f>F33/F30</f>
        <v>#DIV/0!</v>
      </c>
    </row>
    <row r="44" spans="2:26" x14ac:dyDescent="0.25">
      <c r="E44" s="425" t="s">
        <v>190</v>
      </c>
      <c r="F44" s="442" t="e">
        <f>G33/G30</f>
        <v>#DIV/0!</v>
      </c>
      <c r="G44" s="442" t="e">
        <f>H33/H30</f>
        <v>#DIV/0!</v>
      </c>
    </row>
    <row r="45" spans="2:26" x14ac:dyDescent="0.25">
      <c r="E45" s="425" t="s">
        <v>191</v>
      </c>
      <c r="F45" s="442" t="e">
        <f>I33/I30</f>
        <v>#DIV/0!</v>
      </c>
      <c r="G45" s="442" t="e">
        <f>J33/J30</f>
        <v>#DIV/0!</v>
      </c>
    </row>
    <row r="46" spans="2:26" x14ac:dyDescent="0.25">
      <c r="E46" s="425" t="s">
        <v>192</v>
      </c>
      <c r="F46" s="442" t="e">
        <f>K33/K30</f>
        <v>#DIV/0!</v>
      </c>
      <c r="G46" s="442" t="e">
        <f>L33/L30</f>
        <v>#DIV/0!</v>
      </c>
    </row>
    <row r="47" spans="2:26" x14ac:dyDescent="0.25">
      <c r="E47" s="425" t="s">
        <v>193</v>
      </c>
      <c r="F47" s="442" t="e">
        <f>M33/M30</f>
        <v>#DIV/0!</v>
      </c>
      <c r="G47" s="442"/>
    </row>
    <row r="48" spans="2:26" x14ac:dyDescent="0.25">
      <c r="E48" s="425" t="s">
        <v>194</v>
      </c>
      <c r="F48" s="442" t="e">
        <f>O33/O30</f>
        <v>#DIV/0!</v>
      </c>
      <c r="G48" s="442"/>
    </row>
    <row r="49" spans="5:7" x14ac:dyDescent="0.25">
      <c r="E49" s="425" t="s">
        <v>195</v>
      </c>
      <c r="F49" s="442" t="e">
        <f>Q33/Q30</f>
        <v>#DIV/0!</v>
      </c>
      <c r="G49" s="442"/>
    </row>
    <row r="50" spans="5:7" x14ac:dyDescent="0.25">
      <c r="E50" s="425" t="s">
        <v>196</v>
      </c>
      <c r="F50" s="442" t="e">
        <f>S33/S30</f>
        <v>#DIV/0!</v>
      </c>
      <c r="G50" s="442"/>
    </row>
    <row r="51" spans="5:7" x14ac:dyDescent="0.25">
      <c r="E51" s="425" t="s">
        <v>197</v>
      </c>
      <c r="F51" s="442" t="e">
        <f>U33/U30</f>
        <v>#DIV/0!</v>
      </c>
      <c r="G51" s="442"/>
    </row>
    <row r="52" spans="5:7" x14ac:dyDescent="0.25">
      <c r="E52" s="425" t="s">
        <v>198</v>
      </c>
      <c r="F52" s="442" t="e">
        <f>W33/W30</f>
        <v>#DIV/0!</v>
      </c>
      <c r="G52" s="442"/>
    </row>
    <row r="53" spans="5:7" x14ac:dyDescent="0.25">
      <c r="E53" s="425" t="s">
        <v>199</v>
      </c>
      <c r="F53" s="442" t="e">
        <f>Y33/Y30</f>
        <v>#DIV/0!</v>
      </c>
      <c r="G53" s="442"/>
    </row>
  </sheetData>
  <mergeCells count="1">
    <mergeCell ref="E40:G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M39"/>
  <sheetViews>
    <sheetView showGridLines="0" zoomScale="115" zoomScaleNormal="115" workbookViewId="0"/>
  </sheetViews>
  <sheetFormatPr baseColWidth="10" defaultRowHeight="15" x14ac:dyDescent="0.25"/>
  <cols>
    <col min="11" max="11" width="38.42578125" customWidth="1"/>
  </cols>
  <sheetData>
    <row r="2" spans="2:13" x14ac:dyDescent="0.25">
      <c r="B2" s="5"/>
      <c r="C2" s="5"/>
      <c r="D2" s="5"/>
      <c r="E2" s="5"/>
      <c r="F2" s="5"/>
      <c r="G2" s="5"/>
      <c r="H2" s="3"/>
      <c r="I2" s="5"/>
      <c r="J2" s="5"/>
      <c r="K2" s="5"/>
      <c r="L2" s="5"/>
      <c r="M2" s="5"/>
    </row>
    <row r="3" spans="2:13" ht="18" x14ac:dyDescent="0.25">
      <c r="B3" s="5"/>
      <c r="C3" s="5"/>
      <c r="D3" s="5"/>
      <c r="E3" s="5"/>
      <c r="F3" s="5"/>
      <c r="G3" s="5"/>
      <c r="H3" s="452" t="s">
        <v>261</v>
      </c>
      <c r="I3" s="5"/>
      <c r="J3" s="5"/>
      <c r="K3" s="5"/>
      <c r="L3" s="5"/>
      <c r="M3" s="5"/>
    </row>
    <row r="4" spans="2:13" x14ac:dyDescent="0.25">
      <c r="B4" s="5"/>
      <c r="C4" s="5"/>
      <c r="D4" s="5"/>
      <c r="E4" s="5"/>
      <c r="F4" s="5"/>
      <c r="G4" s="5"/>
      <c r="H4" s="5"/>
      <c r="I4" s="5"/>
      <c r="J4" s="5"/>
      <c r="K4" s="5"/>
      <c r="L4" s="5"/>
      <c r="M4" s="5"/>
    </row>
    <row r="5" spans="2:13" x14ac:dyDescent="0.25">
      <c r="B5" s="5"/>
      <c r="C5" s="5"/>
      <c r="D5" s="5"/>
      <c r="E5" s="5"/>
      <c r="F5" s="5"/>
      <c r="G5" s="5"/>
      <c r="H5" s="5"/>
      <c r="I5" s="5"/>
      <c r="J5" s="5"/>
      <c r="K5" s="5"/>
      <c r="L5" s="5"/>
      <c r="M5" s="5"/>
    </row>
    <row r="6" spans="2:13" ht="18" x14ac:dyDescent="0.25">
      <c r="B6" s="783" t="s">
        <v>262</v>
      </c>
      <c r="C6" s="783"/>
      <c r="D6" s="783"/>
      <c r="E6" s="783"/>
      <c r="F6" s="453"/>
      <c r="G6" s="453"/>
      <c r="H6" s="453"/>
      <c r="I6" s="453"/>
      <c r="J6" s="453"/>
      <c r="K6" s="453"/>
      <c r="L6" s="453"/>
      <c r="M6" s="453"/>
    </row>
    <row r="7" spans="2:13" x14ac:dyDescent="0.25">
      <c r="B7" s="5"/>
      <c r="C7" s="783" t="s">
        <v>2</v>
      </c>
      <c r="D7" s="783"/>
      <c r="E7" s="783"/>
      <c r="F7" s="783"/>
      <c r="G7" s="783"/>
      <c r="H7" s="783"/>
      <c r="I7" s="783"/>
      <c r="J7" s="783"/>
      <c r="K7" s="783"/>
      <c r="L7" s="5"/>
      <c r="M7" s="5"/>
    </row>
    <row r="8" spans="2:13" x14ac:dyDescent="0.25">
      <c r="B8" s="5"/>
      <c r="C8" s="783" t="s">
        <v>263</v>
      </c>
      <c r="D8" s="783"/>
      <c r="E8" s="783"/>
      <c r="F8" s="783"/>
      <c r="G8" s="783"/>
      <c r="H8" s="783"/>
      <c r="I8" s="783"/>
      <c r="J8" s="783"/>
      <c r="K8" s="783"/>
      <c r="L8" s="5"/>
      <c r="M8" s="5"/>
    </row>
    <row r="9" spans="2:13" x14ac:dyDescent="0.25">
      <c r="B9" s="5"/>
      <c r="C9" s="5"/>
      <c r="D9" s="5"/>
      <c r="E9" s="5"/>
      <c r="F9" s="5"/>
      <c r="G9" s="5"/>
      <c r="H9" s="5"/>
      <c r="I9" s="5"/>
      <c r="J9" s="5"/>
      <c r="K9" s="5"/>
      <c r="L9" s="5"/>
      <c r="M9" s="5"/>
    </row>
    <row r="10" spans="2:13" ht="18" x14ac:dyDescent="0.25">
      <c r="B10" s="783" t="s">
        <v>264</v>
      </c>
      <c r="C10" s="783"/>
      <c r="D10" s="783"/>
      <c r="E10" s="783"/>
      <c r="F10" s="453"/>
      <c r="G10" s="453"/>
      <c r="H10" s="453"/>
      <c r="I10" s="453"/>
      <c r="J10" s="453"/>
      <c r="K10" s="453"/>
      <c r="L10" s="453"/>
      <c r="M10" s="453"/>
    </row>
    <row r="11" spans="2:13" x14ac:dyDescent="0.25">
      <c r="B11" s="5"/>
      <c r="C11" s="783" t="s">
        <v>34</v>
      </c>
      <c r="D11" s="783"/>
      <c r="E11" s="783"/>
      <c r="F11" s="783"/>
      <c r="G11" s="783"/>
      <c r="H11" s="783"/>
      <c r="I11" s="783"/>
      <c r="J11" s="783"/>
      <c r="K11" s="783"/>
      <c r="L11" s="5"/>
      <c r="M11" s="5"/>
    </row>
    <row r="12" spans="2:13" x14ac:dyDescent="0.25">
      <c r="B12" s="5"/>
      <c r="C12" s="783" t="s">
        <v>35</v>
      </c>
      <c r="D12" s="783"/>
      <c r="E12" s="783"/>
      <c r="F12" s="783"/>
      <c r="G12" s="783"/>
      <c r="H12" s="783"/>
      <c r="I12" s="5"/>
      <c r="J12" s="5"/>
      <c r="K12" s="5"/>
      <c r="L12" s="5"/>
      <c r="M12" s="5"/>
    </row>
    <row r="13" spans="2:13" x14ac:dyDescent="0.25">
      <c r="B13" s="5"/>
      <c r="C13" s="5"/>
      <c r="D13" s="5"/>
      <c r="E13" s="5"/>
      <c r="F13" s="5"/>
      <c r="G13" s="5"/>
      <c r="H13" s="5"/>
      <c r="I13" s="5"/>
      <c r="J13" s="5"/>
      <c r="K13" s="5"/>
      <c r="L13" s="5"/>
      <c r="M13" s="5"/>
    </row>
    <row r="14" spans="2:13" ht="18" x14ac:dyDescent="0.25">
      <c r="B14" s="783" t="s">
        <v>265</v>
      </c>
      <c r="C14" s="783"/>
      <c r="D14" s="783"/>
      <c r="E14" s="783"/>
      <c r="F14" s="783"/>
      <c r="G14" s="453"/>
      <c r="H14" s="453"/>
      <c r="I14" s="453"/>
      <c r="J14" s="453"/>
      <c r="K14" s="453"/>
      <c r="L14" s="453"/>
      <c r="M14" s="453"/>
    </row>
    <row r="15" spans="2:13" x14ac:dyDescent="0.25">
      <c r="B15" s="5"/>
      <c r="C15" s="783" t="s">
        <v>266</v>
      </c>
      <c r="D15" s="783"/>
      <c r="E15" s="783"/>
      <c r="F15" s="783"/>
      <c r="G15" s="783"/>
      <c r="H15" s="783"/>
      <c r="I15" s="783"/>
      <c r="J15" s="783"/>
      <c r="K15" s="783"/>
      <c r="L15" s="5"/>
      <c r="M15" s="5"/>
    </row>
    <row r="16" spans="2:13" x14ac:dyDescent="0.25">
      <c r="B16" s="5"/>
      <c r="C16" s="5"/>
      <c r="D16" s="5"/>
      <c r="E16" s="5"/>
      <c r="F16" s="5"/>
      <c r="G16" s="5"/>
      <c r="H16" s="5"/>
      <c r="I16" s="5"/>
      <c r="J16" s="5"/>
      <c r="K16" s="5"/>
      <c r="L16" s="5"/>
      <c r="M16" s="5"/>
    </row>
    <row r="17" spans="2:13" ht="18" x14ac:dyDescent="0.25">
      <c r="B17" s="783" t="s">
        <v>267</v>
      </c>
      <c r="C17" s="783"/>
      <c r="D17" s="783"/>
      <c r="E17" s="783"/>
      <c r="F17" s="783"/>
      <c r="G17" s="453"/>
      <c r="H17" s="453"/>
      <c r="I17" s="453"/>
      <c r="J17" s="453"/>
      <c r="K17" s="453"/>
      <c r="L17" s="453"/>
      <c r="M17" s="453"/>
    </row>
    <row r="18" spans="2:13" x14ac:dyDescent="0.25">
      <c r="B18" s="5"/>
      <c r="C18" s="783" t="s">
        <v>133</v>
      </c>
      <c r="D18" s="783"/>
      <c r="E18" s="783"/>
      <c r="F18" s="783"/>
      <c r="G18" s="783"/>
      <c r="H18" s="783"/>
      <c r="I18" s="783"/>
      <c r="J18" s="783"/>
      <c r="K18" s="783"/>
      <c r="L18" s="5"/>
      <c r="M18" s="5"/>
    </row>
    <row r="19" spans="2:13" x14ac:dyDescent="0.25">
      <c r="B19" s="5"/>
      <c r="C19" s="783" t="s">
        <v>134</v>
      </c>
      <c r="D19" s="783"/>
      <c r="E19" s="783"/>
      <c r="F19" s="783"/>
      <c r="G19" s="783"/>
      <c r="H19" s="783"/>
      <c r="I19" s="783"/>
      <c r="J19" s="783"/>
      <c r="K19" s="783"/>
      <c r="L19" s="5"/>
      <c r="M19" s="5"/>
    </row>
    <row r="20" spans="2:13" x14ac:dyDescent="0.25">
      <c r="B20" s="5"/>
      <c r="C20" s="783" t="s">
        <v>135</v>
      </c>
      <c r="D20" s="783"/>
      <c r="E20" s="783"/>
      <c r="F20" s="783"/>
      <c r="G20" s="783"/>
      <c r="H20" s="783"/>
      <c r="I20" s="783"/>
      <c r="J20" s="783"/>
      <c r="K20" s="783"/>
      <c r="L20" s="5"/>
      <c r="M20" s="5"/>
    </row>
    <row r="21" spans="2:13" x14ac:dyDescent="0.25">
      <c r="B21" s="5"/>
      <c r="C21" s="783" t="s">
        <v>136</v>
      </c>
      <c r="D21" s="783"/>
      <c r="E21" s="783"/>
      <c r="F21" s="783"/>
      <c r="G21" s="783"/>
      <c r="H21" s="783"/>
      <c r="I21" s="783"/>
      <c r="J21" s="783"/>
      <c r="K21" s="783"/>
      <c r="L21" s="5"/>
      <c r="M21" s="5"/>
    </row>
    <row r="22" spans="2:13" x14ac:dyDescent="0.25">
      <c r="B22" s="5"/>
      <c r="C22" s="783" t="s">
        <v>137</v>
      </c>
      <c r="D22" s="783"/>
      <c r="E22" s="783"/>
      <c r="F22" s="783"/>
      <c r="G22" s="783"/>
      <c r="H22" s="783"/>
      <c r="I22" s="783"/>
      <c r="J22" s="783"/>
      <c r="K22" s="783"/>
      <c r="L22" s="5"/>
      <c r="M22" s="5"/>
    </row>
    <row r="23" spans="2:13" x14ac:dyDescent="0.25">
      <c r="B23" s="5"/>
      <c r="C23" s="786" t="s">
        <v>138</v>
      </c>
      <c r="D23" s="783"/>
      <c r="E23" s="783"/>
      <c r="F23" s="783"/>
      <c r="G23" s="783"/>
      <c r="H23" s="783"/>
      <c r="I23" s="783"/>
      <c r="J23" s="783"/>
      <c r="K23" s="783"/>
      <c r="L23" s="5"/>
      <c r="M23" s="5"/>
    </row>
    <row r="24" spans="2:13" x14ac:dyDescent="0.25">
      <c r="B24" s="5"/>
      <c r="C24" s="5"/>
      <c r="D24" s="5"/>
      <c r="E24" s="5"/>
      <c r="F24" s="5"/>
      <c r="G24" s="5"/>
      <c r="H24" s="5"/>
      <c r="I24" s="5"/>
      <c r="J24" s="5"/>
      <c r="K24" s="5"/>
      <c r="L24" s="5"/>
      <c r="M24" s="5"/>
    </row>
    <row r="25" spans="2:13" ht="18" x14ac:dyDescent="0.25">
      <c r="B25" s="783" t="s">
        <v>268</v>
      </c>
      <c r="C25" s="783"/>
      <c r="D25" s="783"/>
      <c r="E25" s="783"/>
      <c r="F25" s="453"/>
      <c r="G25" s="453"/>
      <c r="H25" s="453"/>
      <c r="I25" s="453"/>
      <c r="J25" s="453"/>
      <c r="K25" s="453"/>
      <c r="L25" s="453"/>
      <c r="M25" s="453"/>
    </row>
    <row r="26" spans="2:13" x14ac:dyDescent="0.25">
      <c r="B26" s="5"/>
      <c r="C26" s="783" t="s">
        <v>164</v>
      </c>
      <c r="D26" s="783"/>
      <c r="E26" s="783"/>
      <c r="F26" s="783"/>
      <c r="G26" s="783"/>
      <c r="H26" s="783"/>
      <c r="I26" s="783"/>
      <c r="J26" s="783"/>
      <c r="K26" s="783"/>
      <c r="L26" s="5"/>
      <c r="M26" s="5"/>
    </row>
    <row r="27" spans="2:13" x14ac:dyDescent="0.25">
      <c r="B27" s="5"/>
      <c r="C27" s="5"/>
      <c r="D27" s="5"/>
      <c r="E27" s="5"/>
      <c r="F27" s="5"/>
      <c r="G27" s="5"/>
      <c r="H27" s="5"/>
      <c r="I27" s="5"/>
      <c r="J27" s="5"/>
      <c r="K27" s="5"/>
      <c r="L27" s="5"/>
      <c r="M27" s="5"/>
    </row>
    <row r="28" spans="2:13" ht="18" x14ac:dyDescent="0.25">
      <c r="B28" s="783" t="s">
        <v>269</v>
      </c>
      <c r="C28" s="783"/>
      <c r="D28" s="783"/>
      <c r="E28" s="783"/>
      <c r="F28" s="453"/>
      <c r="G28" s="453"/>
      <c r="H28" s="453"/>
      <c r="I28" s="453"/>
      <c r="J28" s="453"/>
      <c r="K28" s="453"/>
      <c r="L28" s="453"/>
      <c r="M28" s="453"/>
    </row>
    <row r="29" spans="2:13" x14ac:dyDescent="0.25">
      <c r="B29" s="5"/>
      <c r="C29" s="783" t="s">
        <v>270</v>
      </c>
      <c r="D29" s="783"/>
      <c r="E29" s="783"/>
      <c r="F29" s="783"/>
      <c r="G29" s="783"/>
      <c r="H29" s="783"/>
      <c r="I29" s="783"/>
      <c r="J29" s="783"/>
      <c r="K29" s="783"/>
      <c r="L29" s="5"/>
      <c r="M29" s="5"/>
    </row>
    <row r="30" spans="2:13" x14ac:dyDescent="0.25">
      <c r="B30" s="5"/>
      <c r="C30" s="5"/>
      <c r="D30" s="5"/>
      <c r="E30" s="5"/>
      <c r="F30" s="5"/>
      <c r="G30" s="5"/>
      <c r="H30" s="5"/>
      <c r="I30" s="5"/>
      <c r="J30" s="5"/>
      <c r="K30" s="5"/>
      <c r="L30" s="5"/>
      <c r="M30" s="5"/>
    </row>
    <row r="31" spans="2:13" ht="18" x14ac:dyDescent="0.25">
      <c r="B31" s="784" t="s">
        <v>271</v>
      </c>
      <c r="C31" s="784"/>
      <c r="D31" s="784"/>
      <c r="E31" s="784"/>
      <c r="F31" s="453"/>
      <c r="G31" s="453"/>
      <c r="H31" s="453"/>
      <c r="I31" s="453"/>
      <c r="J31" s="453"/>
      <c r="K31" s="453"/>
      <c r="L31" s="453"/>
      <c r="M31" s="453"/>
    </row>
    <row r="32" spans="2:13" x14ac:dyDescent="0.25">
      <c r="B32" s="5"/>
      <c r="C32" s="5"/>
      <c r="D32" s="5"/>
      <c r="E32" s="5"/>
      <c r="F32" s="5"/>
      <c r="G32" s="5"/>
      <c r="H32" s="5"/>
      <c r="I32" s="5"/>
      <c r="J32" s="5"/>
      <c r="K32" s="5"/>
      <c r="L32" s="5"/>
      <c r="M32" s="5"/>
    </row>
    <row r="33" spans="2:13" x14ac:dyDescent="0.25">
      <c r="B33" s="5"/>
      <c r="C33" s="783" t="s">
        <v>272</v>
      </c>
      <c r="D33" s="783"/>
      <c r="E33" s="783"/>
      <c r="F33" s="783"/>
      <c r="G33" s="783"/>
      <c r="H33" s="783"/>
      <c r="I33" s="783"/>
      <c r="J33" s="783"/>
      <c r="K33" s="783"/>
      <c r="L33" s="5"/>
      <c r="M33" s="5"/>
    </row>
    <row r="34" spans="2:13" ht="18" x14ac:dyDescent="0.25">
      <c r="B34" s="785"/>
      <c r="C34" s="785"/>
      <c r="D34" s="785"/>
      <c r="E34" s="785"/>
      <c r="F34" s="453"/>
      <c r="G34" s="453"/>
      <c r="H34" s="453"/>
      <c r="I34" s="453"/>
      <c r="J34" s="453"/>
      <c r="K34" s="453"/>
      <c r="L34" s="453"/>
      <c r="M34" s="453"/>
    </row>
    <row r="35" spans="2:13" x14ac:dyDescent="0.25">
      <c r="B35" s="454" t="s">
        <v>273</v>
      </c>
      <c r="C35" s="5"/>
      <c r="D35" s="5"/>
      <c r="E35" s="5"/>
      <c r="F35" s="5"/>
      <c r="G35" s="5"/>
      <c r="H35" s="5"/>
      <c r="I35" s="5"/>
      <c r="J35" s="5"/>
      <c r="K35" s="5"/>
      <c r="L35" s="5"/>
      <c r="M35" s="5"/>
    </row>
    <row r="36" spans="2:13" x14ac:dyDescent="0.25">
      <c r="B36" s="5"/>
      <c r="C36" s="5"/>
      <c r="D36" s="5"/>
      <c r="E36" s="5"/>
      <c r="F36" s="5"/>
      <c r="G36" s="5"/>
      <c r="H36" s="5"/>
      <c r="I36" s="5"/>
      <c r="J36" s="5"/>
      <c r="K36" s="5"/>
      <c r="L36" s="5"/>
      <c r="M36" s="5"/>
    </row>
    <row r="37" spans="2:13" x14ac:dyDescent="0.25">
      <c r="B37" s="455" t="s">
        <v>274</v>
      </c>
    </row>
    <row r="38" spans="2:13" x14ac:dyDescent="0.25">
      <c r="C38" s="455"/>
    </row>
    <row r="39" spans="2:13" x14ac:dyDescent="0.25">
      <c r="C39" s="783" t="s">
        <v>186</v>
      </c>
      <c r="D39" s="783"/>
      <c r="E39" s="783"/>
      <c r="F39" s="783"/>
      <c r="G39" s="783"/>
      <c r="H39" s="783"/>
      <c r="I39" s="783"/>
      <c r="J39" s="783"/>
      <c r="K39" s="783"/>
    </row>
  </sheetData>
  <sheetProtection algorithmName="SHA-512" hashValue="kohUIsrrHEApHsNZxMD+9kK4+IGYv4hGIz4SZGSe8dEVFN5p5MpinF59rLggxsYlegYwXwtCVyizoKy3WkUWcw==" saltValue="6VCqJ1a94+KAGiDPYG0NUg==" spinCount="100000" sheet="1" objects="1" scenarios="1"/>
  <mergeCells count="23">
    <mergeCell ref="C23:K23"/>
    <mergeCell ref="B25:E25"/>
    <mergeCell ref="B6:E6"/>
    <mergeCell ref="C7:K7"/>
    <mergeCell ref="C8:K8"/>
    <mergeCell ref="B10:E10"/>
    <mergeCell ref="C11:K11"/>
    <mergeCell ref="C39:K39"/>
    <mergeCell ref="C12:H12"/>
    <mergeCell ref="C26:K26"/>
    <mergeCell ref="B28:E28"/>
    <mergeCell ref="B14:F14"/>
    <mergeCell ref="C15:K15"/>
    <mergeCell ref="B17:F17"/>
    <mergeCell ref="C18:K18"/>
    <mergeCell ref="C29:K29"/>
    <mergeCell ref="B31:E31"/>
    <mergeCell ref="C33:K33"/>
    <mergeCell ref="B34:E34"/>
    <mergeCell ref="C19:K19"/>
    <mergeCell ref="C20:K20"/>
    <mergeCell ref="C21:K21"/>
    <mergeCell ref="C22:K22"/>
  </mergeCells>
  <hyperlinks>
    <hyperlink ref="B6" location="'A) Reajuste Tarifas y Ocupación'!A1" display="A) Reajuste Tarifas y Ocupación" xr:uid="{00000000-0004-0000-0100-000000000000}"/>
    <hyperlink ref="C7" location="'A) Reajuste Tarifas y Ocupación'!B9:H37" display="TABLA 1. REAJUSTE DE TARIFAS POR PRESTACIÓN Y SEGMENTO" xr:uid="{00000000-0004-0000-0100-000001000000}"/>
    <hyperlink ref="C8" location="'A) Reajuste Tarifas y Ocupación'!J9:Q37" display="TABLA 2. METAS DE OCUPACIÓN POR PRESTACIÓN Y SEGMENTO" xr:uid="{00000000-0004-0000-0100-000002000000}"/>
    <hyperlink ref="B10" location="'B) Comparación Mercado'!A1" display="B) Comparación Mercado" xr:uid="{00000000-0004-0000-0100-000003000000}"/>
    <hyperlink ref="C11" location="'B) Comparación Mercado'!A13" display="TABLA 1. COMPARACIÓN TARIFAS CON PRECIOS DE MERCADO" xr:uid="{00000000-0004-0000-0100-000004000000}"/>
    <hyperlink ref="B14" location="'D) Estimación Costos'!A1" display="D) Estimación Costos" xr:uid="{00000000-0004-0000-0100-000005000000}"/>
    <hyperlink ref="C15" location="'D) Estimación Costos'!A7" display="TABLA 1. COSTOS DIRECTOS POR CENTRO DE COSTO" xr:uid="{00000000-0004-0000-0100-000006000000}"/>
    <hyperlink ref="C33" location="'E) Resumen Ingresos y Egresos'!A7:J25" display="TABLA 1. RESUMEN DE INGRESOS Y EGRESOS POR CENTRO DE COSTO" xr:uid="{00000000-0004-0000-0100-000007000000}"/>
    <hyperlink ref="C7:K7" location="'A) Resumen Ingresos y Egresos'!A6" display="TABLA 1: RESUMEN DE INGRESOS Y EGRESOS DE CENTROS DE BENEFICIOS" xr:uid="{00000000-0004-0000-0100-000008000000}"/>
    <hyperlink ref="C8:K8" location="'A) Resumen Ingresos y Egresos'!A22" display="TABLA 2:  DETALLE DE INGRESOS POR PRESTACIÓN Y SEGMENTO" xr:uid="{00000000-0004-0000-0100-000009000000}"/>
    <hyperlink ref="C33:K33" location="'G) Comparación Mercado'!A13" display="TABLA 14:COMPARACIÓN TARIFAS CON PRECIOS DE MERCADO" xr:uid="{00000000-0004-0000-0100-00000A000000}"/>
    <hyperlink ref="C15:K15" location="'C) Estimación Costos Directos'!A7" display="TABLA 5: COSTOS DIRECTOS DE CENTROS DE BENEFICIOS " xr:uid="{00000000-0004-0000-0100-00000B000000}"/>
    <hyperlink ref="B28" location="'C) Remuneraciones'!A1" display="C) Remuneraciones" xr:uid="{00000000-0004-0000-0100-00000C000000}"/>
    <hyperlink ref="C29" location="'C) Remuneraciones'!A9:M36" display="TABLA 1. REMUNERACIONES DEL PERSONAL CÓDIGO DEL TRABAJO POR CENTRO DE COSTO" xr:uid="{00000000-0004-0000-0100-00000D000000}"/>
    <hyperlink ref="C29:K29" location="'F) Remuneraciones'!A7" display="TABLA 13: REMUNERACIONES DEL PERSONAL LEY 18.712 DE CENTROS DE BENEFICIOS" xr:uid="{00000000-0004-0000-0100-00000E000000}"/>
    <hyperlink ref="B17" location="'D) Estimación Costos'!A1" display="D) Estimación Costos" xr:uid="{00000000-0004-0000-0100-00000F000000}"/>
    <hyperlink ref="C18" location="'D) Estimación Costos'!A7" display="TABLA 1. COSTOS DIRECTOS POR CENTRO DE COSTO" xr:uid="{00000000-0004-0000-0100-000010000000}"/>
    <hyperlink ref="C19" location="'D) Estimación Costos'!A1096" display="TABLA 2. COSTOS INDIRECTOS EN REMUNERACIONES DE UNIDADES DE APOYO ADMINISTRATIVO" xr:uid="{00000000-0004-0000-0100-000011000000}"/>
    <hyperlink ref="C20" location="'D) Estimación Costos'!A1150:L1185" display="TABLA 3. COSTOS DE OPERACIÓN PISCINAS POR CENTRO DE COSTO" xr:uid="{00000000-0004-0000-0100-000012000000}"/>
    <hyperlink ref="C20:K20" location="'D) Costos Indirectos '!U9" display="TABLA 8: COSTOS DE OPERACION ADMINISTRACIÓN CENTRAL Y  APOYO ADMINISTRATIVO ASISTENCIA RECREATIVA" xr:uid="{00000000-0004-0000-0100-000013000000}"/>
    <hyperlink ref="C18:K18" location="'D) Costos Indirectos '!A9" display="TABLA 6: REMUNERACIONES DEL PERSONAL LEY 18.712 ADMINISTRACION CENTRAL Y APOYO ADMINISTRATIVO ASISTENCIA RECREATIVA" xr:uid="{00000000-0004-0000-0100-000014000000}"/>
    <hyperlink ref="C11:K11" location="'B) Reajuste Tarifas y Ocupación'!A8" display="TABLA 3: REAJUSTE DE TARIFAS POR PRESTACIÓN Y SEGMENTO" xr:uid="{00000000-0004-0000-0100-000015000000}"/>
    <hyperlink ref="C12" location="'B) Reajuste Tarifas y Ocupación'!A1" display="TABLA 4: METAS DE OCUPACIÓN POR PRESTACIÓN Y SEGMENTO" xr:uid="{00000000-0004-0000-0100-000016000000}"/>
    <hyperlink ref="B14:F14" location="'C) Estimación Costos Directos'!A1" display="C) Estimación Costos Directos" xr:uid="{00000000-0004-0000-0100-000017000000}"/>
    <hyperlink ref="C21" location="'D) Estimación Costos'!A1150:L1185" display="TABLA 3. COSTOS DE OPERACIÓN PISCINAS POR CENTRO DE COSTO" xr:uid="{00000000-0004-0000-0100-000018000000}"/>
    <hyperlink ref="C21:K21" location="'D) Costos Indirectos '!Z9" display="TABLA 9: RESUMEN DISTRIBUCION COSTOS REMUNERACIONES ADMINISTRACION CENTRAL Y APOYO ADMINISTRATIVO A. RECREATIVA" xr:uid="{00000000-0004-0000-0100-000019000000}"/>
    <hyperlink ref="C22" location="'D) Estimación Costos'!A1150:L1185" display="TABLA 3. COSTOS DE OPERACIÓN PISCINAS POR CENTRO DE COSTO" xr:uid="{00000000-0004-0000-0100-00001A000000}"/>
    <hyperlink ref="C22:K22" location="'D) Costos Indirectos '!AG9" display="TABLA 10: RESUMEN DISTRIBUCION COSTOS OPERACIÓN ADMINISTRACION CENTRAL  Y APOYO ADMINISTRATIVO A. RECREATIVA" xr:uid="{00000000-0004-0000-0100-00001B000000}"/>
    <hyperlink ref="C23" location="'D) Estimación Costos'!A1150:L1185" display="TABLA 3. COSTOS DE OPERACIÓN PISCINAS POR CENTRO DE COSTO" xr:uid="{00000000-0004-0000-0100-00001C000000}"/>
    <hyperlink ref="C23:K23" location="'D) Costos Indirectos '!AN9" display="'D) Costos Indirectos '!AN9" xr:uid="{00000000-0004-0000-0100-00001D000000}"/>
    <hyperlink ref="B25" location="'F) Resumen Tarifado '!A1" display="F) Resumen Tarifado" xr:uid="{00000000-0004-0000-0100-00001E000000}"/>
    <hyperlink ref="C26" location="'F) Resumen Tarifado '!A7:R40" display="TABLA 1. RESUMEN DE TARIFADO POR CENTRO DE COSTO" xr:uid="{00000000-0004-0000-0100-00001F000000}"/>
    <hyperlink ref="C26:K26" location="'E) Resumen Tarifado '!A6" display="TABLA 12: RESUMEN DE TARIFADO" xr:uid="{00000000-0004-0000-0100-000020000000}"/>
    <hyperlink ref="B6:E6" location="'A) Resumen Ingresos y Egresos'!A1" display="A) Resumen Ingresos y Egresos" xr:uid="{00000000-0004-0000-0100-000021000000}"/>
    <hyperlink ref="B17:F17" location="'D) Costos Indirectos'!A1" display="D) Costos Indirectos" xr:uid="{00000000-0004-0000-0100-000022000000}"/>
    <hyperlink ref="B25:E25" location="'E) Resumen Tarifado '!A1" display="F) Resumen Tarifado" xr:uid="{00000000-0004-0000-0100-000023000000}"/>
    <hyperlink ref="B28:E28" location="'F) Remuneraciones'!A1" display="F) Remuneraciones" xr:uid="{00000000-0004-0000-0100-000024000000}"/>
    <hyperlink ref="B10:E10" location="'B) Reajuste Tarifas y Ocupación'!A1" display="B) Reajuste Tarifa y Ocupación" xr:uid="{00000000-0004-0000-0100-000025000000}"/>
    <hyperlink ref="C19:K19" location="'D) Costos Indirectos '!M9" display="TABLA 7: DISTRIBUCION COSTOS REMUNERACIONES ADMINISTRACION CENTRAL Y APOYO ADMINISTRATIVO A. RECREATIVA" xr:uid="{00000000-0004-0000-0100-000026000000}"/>
    <hyperlink ref="C12:H12" location="'B) Reajuste Tarifas y Ocupación'!P8" display="TABLA 4: METAS DE OCUPACIÓN POR PRESTACIÓN Y SEGMENTO" xr:uid="{00000000-0004-0000-0100-000027000000}"/>
    <hyperlink ref="B35" location="'H) Detalle Datos'!A1" display="H) Detalle Datos" xr:uid="{00000000-0004-0000-0100-000028000000}"/>
    <hyperlink ref="B31:E31" location="'G) Comparación Mercado'!A1" display="G) Comparación Mercado" xr:uid="{00000000-0004-0000-0100-000029000000}"/>
    <hyperlink ref="B37" location="'I)Estructua Económica Mensual'!A1" display="'I)Estructua Económica Mensual'!A1" xr:uid="{00000000-0004-0000-0100-00002A000000}"/>
    <hyperlink ref="C39:K39" location="'I)Estructua Económica Mensual'!B6" display="TABLA N°15:  RESULTADO OPERACIONAL MENSUAL" xr:uid="{00000000-0004-0000-0100-00002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O75"/>
  <sheetViews>
    <sheetView workbookViewId="0">
      <selection activeCell="O28" sqref="O28"/>
    </sheetView>
  </sheetViews>
  <sheetFormatPr baseColWidth="10" defaultRowHeight="15" x14ac:dyDescent="0.25"/>
  <cols>
    <col min="2" max="3" width="15.42578125" bestFit="1" customWidth="1"/>
    <col min="4" max="4" width="13.42578125" bestFit="1" customWidth="1"/>
    <col min="5" max="6" width="11.5703125" bestFit="1" customWidth="1"/>
    <col min="7" max="7" width="15.28515625" bestFit="1" customWidth="1"/>
    <col min="8" max="10" width="11.5703125" bestFit="1" customWidth="1"/>
    <col min="11" max="11" width="12" bestFit="1" customWidth="1"/>
    <col min="12" max="14" width="11.5703125" bestFit="1" customWidth="1"/>
    <col min="15" max="15" width="12" bestFit="1" customWidth="1"/>
  </cols>
  <sheetData>
    <row r="2" spans="2:15" x14ac:dyDescent="0.25">
      <c r="B2" s="796" t="s">
        <v>275</v>
      </c>
      <c r="C2" s="797"/>
      <c r="D2" s="425" t="s">
        <v>276</v>
      </c>
      <c r="F2" s="794" t="s">
        <v>279</v>
      </c>
      <c r="G2" s="795"/>
      <c r="I2" s="791"/>
      <c r="J2" s="792"/>
      <c r="K2" s="486" t="s">
        <v>301</v>
      </c>
      <c r="L2" s="486" t="s">
        <v>302</v>
      </c>
    </row>
    <row r="3" spans="2:15" x14ac:dyDescent="0.25">
      <c r="B3" s="798" t="s">
        <v>277</v>
      </c>
      <c r="C3" s="799"/>
      <c r="D3" s="464">
        <f>'A) Resumen Ingresos y Egresos'!N9/'A) Resumen Ingresos y Egresos'!D9</f>
        <v>0.55060691054881805</v>
      </c>
      <c r="F3" s="459">
        <v>2019</v>
      </c>
      <c r="G3" s="472">
        <v>24108556</v>
      </c>
      <c r="I3" s="793" t="s">
        <v>303</v>
      </c>
      <c r="J3" s="793"/>
      <c r="K3" s="487">
        <f>O22</f>
        <v>59373845.191289999</v>
      </c>
      <c r="L3" s="488">
        <v>0.1</v>
      </c>
    </row>
    <row r="4" spans="2:15" x14ac:dyDescent="0.25">
      <c r="B4" s="800" t="s">
        <v>43</v>
      </c>
      <c r="C4" s="801"/>
      <c r="D4" s="463">
        <f>'A) Resumen Ingresos y Egresos'!N10/'A) Resumen Ingresos y Egresos'!D10</f>
        <v>0.74974821326873564</v>
      </c>
      <c r="F4" s="460">
        <v>2020</v>
      </c>
      <c r="G4" s="472">
        <v>29811700</v>
      </c>
      <c r="I4" s="793" t="s">
        <v>304</v>
      </c>
      <c r="J4" s="793"/>
      <c r="K4" s="487">
        <f>Analisis!D75</f>
        <v>59775017.142857149</v>
      </c>
      <c r="L4" s="489">
        <v>0.23</v>
      </c>
    </row>
    <row r="5" spans="2:15" x14ac:dyDescent="0.25">
      <c r="B5" s="800" t="s">
        <v>45</v>
      </c>
      <c r="C5" s="801"/>
      <c r="D5" s="463">
        <f>'A) Resumen Ingresos y Egresos'!N11/'A) Resumen Ingresos y Egresos'!D11</f>
        <v>0.85950122936424311</v>
      </c>
      <c r="F5" s="460">
        <v>2021</v>
      </c>
      <c r="G5" s="472">
        <v>20489734</v>
      </c>
      <c r="I5" s="793" t="s">
        <v>305</v>
      </c>
      <c r="J5" s="793"/>
      <c r="K5" s="487">
        <f>'A) Resumen Ingresos y Egresos'!D13</f>
        <v>91236800</v>
      </c>
      <c r="L5" s="488">
        <v>0.32</v>
      </c>
    </row>
    <row r="6" spans="2:15" x14ac:dyDescent="0.25">
      <c r="B6" s="787" t="s">
        <v>47</v>
      </c>
      <c r="C6" s="788"/>
      <c r="D6" s="462">
        <f>'A) Resumen Ingresos y Egresos'!N12/'A) Resumen Ingresos y Egresos'!D12</f>
        <v>1</v>
      </c>
      <c r="F6" s="460">
        <v>2022</v>
      </c>
      <c r="G6" s="472">
        <v>11757332</v>
      </c>
    </row>
    <row r="7" spans="2:15" x14ac:dyDescent="0.25">
      <c r="B7" s="789" t="s">
        <v>278</v>
      </c>
      <c r="C7" s="790"/>
      <c r="D7" s="465">
        <f>'A) Resumen Ingresos y Egresos'!N13/'A) Resumen Ingresos y Egresos'!D13</f>
        <v>0.62676029847605352</v>
      </c>
      <c r="F7" s="473">
        <v>2023</v>
      </c>
      <c r="G7" s="474">
        <f>G6/7*12</f>
        <v>20155426.285714284</v>
      </c>
    </row>
    <row r="9" spans="2:15" ht="15.75" thickBot="1" x14ac:dyDescent="0.3"/>
    <row r="10" spans="2:15" ht="15.75" thickBot="1" x14ac:dyDescent="0.3">
      <c r="B10">
        <v>2019</v>
      </c>
      <c r="C10" s="468">
        <v>4203700</v>
      </c>
      <c r="D10" s="468">
        <v>7394200</v>
      </c>
      <c r="E10" s="468">
        <v>5364000</v>
      </c>
      <c r="F10" s="468">
        <v>2908408</v>
      </c>
      <c r="G10" s="468">
        <v>3255414</v>
      </c>
      <c r="H10" s="468">
        <v>3130800</v>
      </c>
      <c r="I10" s="468">
        <v>3827700</v>
      </c>
      <c r="J10" s="468">
        <v>3288500</v>
      </c>
      <c r="K10" s="468">
        <v>3222500</v>
      </c>
      <c r="L10" s="468">
        <v>3098800</v>
      </c>
      <c r="M10" s="468">
        <v>1857200</v>
      </c>
      <c r="N10" s="468">
        <v>5305003</v>
      </c>
      <c r="O10" s="469">
        <v>46856225</v>
      </c>
    </row>
    <row r="11" spans="2:15" x14ac:dyDescent="0.25">
      <c r="B11" s="466">
        <v>0.03</v>
      </c>
      <c r="C11" s="467">
        <f>C10*$B$11+C10</f>
        <v>4329811</v>
      </c>
      <c r="D11" s="467">
        <f t="shared" ref="D11:O11" si="0">D10*$B$11+D10</f>
        <v>7616026</v>
      </c>
      <c r="E11" s="467">
        <f t="shared" si="0"/>
        <v>5524920</v>
      </c>
      <c r="F11" s="467">
        <f t="shared" si="0"/>
        <v>2995660.24</v>
      </c>
      <c r="G11" s="467">
        <f t="shared" si="0"/>
        <v>3353076.42</v>
      </c>
      <c r="H11" s="467">
        <f t="shared" si="0"/>
        <v>3224724</v>
      </c>
      <c r="I11" s="467">
        <f t="shared" si="0"/>
        <v>3942531</v>
      </c>
      <c r="J11" s="467">
        <f t="shared" si="0"/>
        <v>3387155</v>
      </c>
      <c r="K11" s="467">
        <f t="shared" si="0"/>
        <v>3319175</v>
      </c>
      <c r="L11" s="467">
        <f t="shared" si="0"/>
        <v>3191764</v>
      </c>
      <c r="M11" s="467">
        <f t="shared" si="0"/>
        <v>1912916</v>
      </c>
      <c r="N11" s="467">
        <f t="shared" si="0"/>
        <v>5464153.0899999999</v>
      </c>
      <c r="O11" s="467">
        <f t="shared" si="0"/>
        <v>48261911.75</v>
      </c>
    </row>
    <row r="12" spans="2:15" ht="15.75" thickBot="1" x14ac:dyDescent="0.3"/>
    <row r="13" spans="2:15" ht="15.75" thickBot="1" x14ac:dyDescent="0.3">
      <c r="B13">
        <v>2020</v>
      </c>
      <c r="C13" s="468">
        <v>4329811</v>
      </c>
      <c r="D13" s="468">
        <v>7616026</v>
      </c>
      <c r="E13" s="468">
        <v>5524920</v>
      </c>
      <c r="F13" s="468">
        <v>2995660</v>
      </c>
      <c r="G13" s="468">
        <v>3353076</v>
      </c>
      <c r="H13" s="468">
        <v>3224724</v>
      </c>
      <c r="I13" s="468">
        <v>3942531</v>
      </c>
      <c r="J13" s="468">
        <v>3387155</v>
      </c>
      <c r="K13" s="468">
        <v>3319175</v>
      </c>
      <c r="L13" s="468">
        <v>3191764</v>
      </c>
      <c r="M13" s="468">
        <v>1912916</v>
      </c>
      <c r="N13" s="468">
        <v>5464153</v>
      </c>
      <c r="O13" s="469">
        <v>48261912</v>
      </c>
    </row>
    <row r="14" spans="2:15" x14ac:dyDescent="0.25">
      <c r="B14" s="466">
        <v>0.03</v>
      </c>
      <c r="C14" s="467">
        <f>C13*$B$14+C13</f>
        <v>4459705.33</v>
      </c>
      <c r="D14" s="467">
        <f t="shared" ref="D14:O14" si="1">D13*$B$14+D13</f>
        <v>7844506.7800000003</v>
      </c>
      <c r="E14" s="467">
        <f t="shared" si="1"/>
        <v>5690667.5999999996</v>
      </c>
      <c r="F14" s="467">
        <f t="shared" si="1"/>
        <v>3085529.8</v>
      </c>
      <c r="G14" s="467">
        <f t="shared" si="1"/>
        <v>3453668.28</v>
      </c>
      <c r="H14" s="467">
        <f t="shared" si="1"/>
        <v>3321465.72</v>
      </c>
      <c r="I14" s="467">
        <f t="shared" si="1"/>
        <v>4060806.93</v>
      </c>
      <c r="J14" s="467">
        <f t="shared" si="1"/>
        <v>3488769.65</v>
      </c>
      <c r="K14" s="467">
        <f t="shared" si="1"/>
        <v>3418750.25</v>
      </c>
      <c r="L14" s="467">
        <f t="shared" si="1"/>
        <v>3287516.92</v>
      </c>
      <c r="M14" s="467">
        <f t="shared" si="1"/>
        <v>1970303.48</v>
      </c>
      <c r="N14" s="467">
        <f t="shared" si="1"/>
        <v>5628077.5899999999</v>
      </c>
      <c r="O14" s="467">
        <f t="shared" si="1"/>
        <v>49709769.359999999</v>
      </c>
    </row>
    <row r="15" spans="2:15" ht="15.75" thickBot="1" x14ac:dyDescent="0.3"/>
    <row r="16" spans="2:15" ht="15.75" thickBot="1" x14ac:dyDescent="0.3">
      <c r="B16">
        <v>2021</v>
      </c>
      <c r="C16" s="468">
        <v>4459705</v>
      </c>
      <c r="D16" s="468">
        <v>7844507</v>
      </c>
      <c r="E16" s="468">
        <v>5690668</v>
      </c>
      <c r="F16" s="468">
        <v>3085530</v>
      </c>
      <c r="G16" s="468">
        <v>3453668</v>
      </c>
      <c r="H16" s="468">
        <v>3321466</v>
      </c>
      <c r="I16" s="468">
        <v>4060807</v>
      </c>
      <c r="J16" s="468">
        <v>3488770</v>
      </c>
      <c r="K16" s="468">
        <v>3418750</v>
      </c>
      <c r="L16" s="468">
        <v>3287517</v>
      </c>
      <c r="M16" s="468">
        <v>1970303</v>
      </c>
      <c r="N16" s="468">
        <v>5628078</v>
      </c>
      <c r="O16" s="469">
        <v>49709769</v>
      </c>
    </row>
    <row r="17" spans="2:15" x14ac:dyDescent="0.25">
      <c r="B17" s="470">
        <v>5.7000000000000002E-2</v>
      </c>
      <c r="C17" s="467">
        <f>C16*$B$17+C16</f>
        <v>4713908.1849999996</v>
      </c>
      <c r="D17" s="467">
        <f t="shared" ref="D17:N17" si="2">D16*$B$17+D16</f>
        <v>8291643.8990000002</v>
      </c>
      <c r="E17" s="467">
        <f t="shared" si="2"/>
        <v>6015036.0760000004</v>
      </c>
      <c r="F17" s="467">
        <f t="shared" si="2"/>
        <v>3261405.21</v>
      </c>
      <c r="G17" s="467">
        <f t="shared" si="2"/>
        <v>3650527.0759999999</v>
      </c>
      <c r="H17" s="467">
        <f t="shared" si="2"/>
        <v>3510789.5619999999</v>
      </c>
      <c r="I17" s="467">
        <f t="shared" si="2"/>
        <v>4292272.9989999998</v>
      </c>
      <c r="J17" s="467">
        <f t="shared" si="2"/>
        <v>3687629.89</v>
      </c>
      <c r="K17" s="467">
        <f t="shared" si="2"/>
        <v>3613618.75</v>
      </c>
      <c r="L17" s="467">
        <f t="shared" si="2"/>
        <v>3474905.469</v>
      </c>
      <c r="M17" s="467">
        <f t="shared" si="2"/>
        <v>2082610.2709999999</v>
      </c>
      <c r="N17" s="467">
        <f t="shared" si="2"/>
        <v>5948878.4460000005</v>
      </c>
      <c r="O17" s="467">
        <f>O16*$B$17+O16</f>
        <v>52543225.832999997</v>
      </c>
    </row>
    <row r="18" spans="2:15" ht="15.75" thickBot="1" x14ac:dyDescent="0.3"/>
    <row r="19" spans="2:15" ht="15.75" thickBot="1" x14ac:dyDescent="0.3">
      <c r="B19">
        <v>2022</v>
      </c>
      <c r="C19" s="468">
        <f>C17</f>
        <v>4713908.1849999996</v>
      </c>
      <c r="D19" s="468">
        <f t="shared" ref="D19:O19" si="3">D17</f>
        <v>8291643.8990000002</v>
      </c>
      <c r="E19" s="468">
        <f t="shared" si="3"/>
        <v>6015036.0760000004</v>
      </c>
      <c r="F19" s="468">
        <f t="shared" si="3"/>
        <v>3261405.21</v>
      </c>
      <c r="G19" s="468">
        <f t="shared" si="3"/>
        <v>3650527.0759999999</v>
      </c>
      <c r="H19" s="468">
        <f t="shared" si="3"/>
        <v>3510789.5619999999</v>
      </c>
      <c r="I19" s="468">
        <f t="shared" si="3"/>
        <v>4292272.9989999998</v>
      </c>
      <c r="J19" s="468">
        <f t="shared" si="3"/>
        <v>3687629.89</v>
      </c>
      <c r="K19" s="468">
        <f t="shared" si="3"/>
        <v>3613618.75</v>
      </c>
      <c r="L19" s="468">
        <f t="shared" si="3"/>
        <v>3474905.469</v>
      </c>
      <c r="M19" s="468">
        <f t="shared" si="3"/>
        <v>2082610.2709999999</v>
      </c>
      <c r="N19" s="468">
        <f t="shared" si="3"/>
        <v>5948878.4460000005</v>
      </c>
      <c r="O19" s="485">
        <f t="shared" si="3"/>
        <v>52543225.832999997</v>
      </c>
    </row>
    <row r="20" spans="2:15" x14ac:dyDescent="0.25">
      <c r="B20" s="470">
        <v>0.13</v>
      </c>
      <c r="C20" s="467">
        <f>C19*$B$20+C19</f>
        <v>5326716.2490499998</v>
      </c>
      <c r="D20" s="467">
        <f t="shared" ref="D20:N20" si="4">D19*$B$20+D19</f>
        <v>9369557.605870001</v>
      </c>
      <c r="E20" s="467">
        <f t="shared" si="4"/>
        <v>6796990.7658800008</v>
      </c>
      <c r="F20" s="467">
        <f t="shared" si="4"/>
        <v>3685387.8873000001</v>
      </c>
      <c r="G20" s="467">
        <f t="shared" si="4"/>
        <v>4125095.5958799999</v>
      </c>
      <c r="H20" s="467">
        <f t="shared" si="4"/>
        <v>3967192.2050600001</v>
      </c>
      <c r="I20" s="467">
        <f t="shared" si="4"/>
        <v>4850268.4888699995</v>
      </c>
      <c r="J20" s="467">
        <f t="shared" si="4"/>
        <v>4167021.7757000001</v>
      </c>
      <c r="K20" s="467">
        <f t="shared" si="4"/>
        <v>4083389.1875</v>
      </c>
      <c r="L20" s="467">
        <f t="shared" si="4"/>
        <v>3926643.1799699999</v>
      </c>
      <c r="M20" s="467">
        <f t="shared" si="4"/>
        <v>2353349.60623</v>
      </c>
      <c r="N20" s="467">
        <f t="shared" si="4"/>
        <v>6722232.6439800002</v>
      </c>
      <c r="O20" s="467">
        <f>O19*$B$20+O19</f>
        <v>59373845.191289999</v>
      </c>
    </row>
    <row r="21" spans="2:15" ht="15.75" thickBot="1" x14ac:dyDescent="0.3"/>
    <row r="22" spans="2:15" ht="15.75" thickBot="1" x14ac:dyDescent="0.3">
      <c r="B22">
        <v>2023</v>
      </c>
      <c r="C22" s="468">
        <f>C20</f>
        <v>5326716.2490499998</v>
      </c>
      <c r="D22" s="468">
        <f t="shared" ref="D22:O22" si="5">D20</f>
        <v>9369557.605870001</v>
      </c>
      <c r="E22" s="468">
        <f t="shared" si="5"/>
        <v>6796990.7658800008</v>
      </c>
      <c r="F22" s="468">
        <f t="shared" si="5"/>
        <v>3685387.8873000001</v>
      </c>
      <c r="G22" s="468">
        <f t="shared" si="5"/>
        <v>4125095.5958799999</v>
      </c>
      <c r="H22" s="468">
        <f t="shared" si="5"/>
        <v>3967192.2050600001</v>
      </c>
      <c r="I22" s="468">
        <f t="shared" si="5"/>
        <v>4850268.4888699995</v>
      </c>
      <c r="J22" s="468">
        <f t="shared" si="5"/>
        <v>4167021.7757000001</v>
      </c>
      <c r="K22" s="468">
        <f t="shared" si="5"/>
        <v>4083389.1875</v>
      </c>
      <c r="L22" s="468">
        <f t="shared" si="5"/>
        <v>3926643.1799699999</v>
      </c>
      <c r="M22" s="468">
        <f t="shared" si="5"/>
        <v>2353349.60623</v>
      </c>
      <c r="N22" s="468">
        <f t="shared" si="5"/>
        <v>6722232.6439800002</v>
      </c>
      <c r="O22" s="485">
        <f t="shared" si="5"/>
        <v>59373845.191289999</v>
      </c>
    </row>
    <row r="23" spans="2:15" x14ac:dyDescent="0.25">
      <c r="B23" s="466"/>
      <c r="C23" s="467"/>
      <c r="D23" s="467"/>
      <c r="E23" s="467"/>
      <c r="F23" s="467"/>
      <c r="G23" s="467"/>
      <c r="H23" s="467"/>
      <c r="I23" s="467"/>
      <c r="J23" s="467"/>
      <c r="K23" s="467"/>
      <c r="L23" s="467"/>
      <c r="M23" s="467"/>
      <c r="N23" s="467"/>
      <c r="O23" s="467"/>
    </row>
    <row r="25" spans="2:15" ht="15.75" thickBot="1" x14ac:dyDescent="0.3"/>
    <row r="26" spans="2:15" ht="15.75" thickBot="1" x14ac:dyDescent="0.3">
      <c r="B26" s="476">
        <v>2019</v>
      </c>
    </row>
    <row r="27" spans="2:15" x14ac:dyDescent="0.25">
      <c r="B27" t="s">
        <v>280</v>
      </c>
      <c r="C27" s="444" t="s">
        <v>282</v>
      </c>
      <c r="D27" s="444" t="s">
        <v>283</v>
      </c>
      <c r="E27" s="444" t="s">
        <v>284</v>
      </c>
      <c r="F27" s="444" t="s">
        <v>285</v>
      </c>
      <c r="G27" s="444" t="s">
        <v>286</v>
      </c>
      <c r="H27" s="444" t="s">
        <v>287</v>
      </c>
      <c r="I27" s="444" t="s">
        <v>288</v>
      </c>
      <c r="J27" s="444" t="s">
        <v>289</v>
      </c>
      <c r="K27" s="444" t="s">
        <v>290</v>
      </c>
      <c r="L27" s="444" t="s">
        <v>291</v>
      </c>
      <c r="M27" s="444" t="s">
        <v>292</v>
      </c>
      <c r="N27" s="444" t="s">
        <v>293</v>
      </c>
      <c r="O27" s="444" t="s">
        <v>294</v>
      </c>
    </row>
    <row r="28" spans="2:15" x14ac:dyDescent="0.25">
      <c r="B28" t="s">
        <v>299</v>
      </c>
      <c r="C28" s="431">
        <v>2618200</v>
      </c>
      <c r="D28" s="431">
        <v>5244920</v>
      </c>
      <c r="E28" s="431">
        <v>3843630</v>
      </c>
      <c r="F28" s="431">
        <v>2101130</v>
      </c>
      <c r="G28" s="431">
        <v>1916742</v>
      </c>
      <c r="H28" s="431">
        <v>1476770</v>
      </c>
      <c r="I28" s="431">
        <v>2005460</v>
      </c>
      <c r="J28" s="431">
        <v>2171440</v>
      </c>
      <c r="K28" s="431">
        <v>1892120</v>
      </c>
      <c r="L28" s="431">
        <v>1187770</v>
      </c>
      <c r="M28" s="431">
        <v>899540</v>
      </c>
      <c r="N28" s="431">
        <v>3802903</v>
      </c>
      <c r="O28" s="431">
        <v>29160625</v>
      </c>
    </row>
    <row r="29" spans="2:15" x14ac:dyDescent="0.25">
      <c r="B29" t="s">
        <v>281</v>
      </c>
      <c r="C29" s="431">
        <v>700992</v>
      </c>
      <c r="D29" s="431">
        <v>3673573</v>
      </c>
      <c r="E29" s="431">
        <v>682391</v>
      </c>
      <c r="F29" s="431">
        <v>1512238</v>
      </c>
      <c r="G29" s="475">
        <v>-1915916</v>
      </c>
      <c r="H29" s="431">
        <v>201523</v>
      </c>
      <c r="I29" s="431">
        <v>872111</v>
      </c>
      <c r="J29" s="431">
        <v>915224</v>
      </c>
      <c r="K29" s="431">
        <v>102152</v>
      </c>
      <c r="L29" s="475">
        <v>-706905</v>
      </c>
      <c r="M29" s="475">
        <v>-666118</v>
      </c>
      <c r="N29" s="475">
        <v>-342448</v>
      </c>
      <c r="O29" s="431">
        <v>5028817</v>
      </c>
    </row>
    <row r="30" spans="2:15" x14ac:dyDescent="0.25">
      <c r="B30" s="444" t="s">
        <v>295</v>
      </c>
      <c r="C30" s="461">
        <f>C29/C28</f>
        <v>0.26773814070735619</v>
      </c>
      <c r="D30" s="461">
        <f t="shared" ref="D30:O30" si="6">D29/D28</f>
        <v>0.70040591658214046</v>
      </c>
      <c r="E30" s="461">
        <f t="shared" si="6"/>
        <v>0.17753816054094698</v>
      </c>
      <c r="F30" s="461">
        <f t="shared" si="6"/>
        <v>0.71972605217192653</v>
      </c>
      <c r="G30" s="477">
        <f t="shared" si="6"/>
        <v>-0.9995690604160602</v>
      </c>
      <c r="H30" s="461">
        <f t="shared" si="6"/>
        <v>0.13646200830190214</v>
      </c>
      <c r="I30" s="461">
        <f t="shared" si="6"/>
        <v>0.43486830951502398</v>
      </c>
      <c r="J30" s="461">
        <f t="shared" si="6"/>
        <v>0.42148251851306046</v>
      </c>
      <c r="K30" s="461">
        <f t="shared" si="6"/>
        <v>5.3988119146777161E-2</v>
      </c>
      <c r="L30" s="477">
        <f t="shared" si="6"/>
        <v>-0.59515310203153804</v>
      </c>
      <c r="M30" s="477">
        <f t="shared" si="6"/>
        <v>-0.74050959379238279</v>
      </c>
      <c r="N30" s="461">
        <f t="shared" si="6"/>
        <v>-9.0049101962369274E-2</v>
      </c>
      <c r="O30" s="478">
        <f t="shared" si="6"/>
        <v>0.17245230512034634</v>
      </c>
    </row>
    <row r="31" spans="2:15" ht="15.75" thickBot="1" x14ac:dyDescent="0.3"/>
    <row r="32" spans="2:15" ht="15.75" thickBot="1" x14ac:dyDescent="0.3">
      <c r="B32" s="476">
        <v>2022</v>
      </c>
    </row>
    <row r="33" spans="2:15" x14ac:dyDescent="0.25">
      <c r="B33" t="s">
        <v>280</v>
      </c>
      <c r="C33" t="s">
        <v>294</v>
      </c>
      <c r="D33" s="444" t="s">
        <v>296</v>
      </c>
    </row>
    <row r="34" spans="2:15" x14ac:dyDescent="0.25">
      <c r="B34" t="s">
        <v>299</v>
      </c>
      <c r="C34" s="431">
        <f>21991440-634000</f>
        <v>21357440</v>
      </c>
      <c r="D34" s="481">
        <f>C34/7*12</f>
        <v>36612754.285714284</v>
      </c>
    </row>
    <row r="35" spans="2:15" x14ac:dyDescent="0.25">
      <c r="B35" t="s">
        <v>281</v>
      </c>
      <c r="C35" s="475">
        <v>-8018241</v>
      </c>
      <c r="D35" s="482">
        <f>C35/7*12</f>
        <v>-13745556</v>
      </c>
    </row>
    <row r="36" spans="2:15" x14ac:dyDescent="0.25">
      <c r="B36" t="s">
        <v>295</v>
      </c>
      <c r="C36" s="480">
        <f>C35/C34</f>
        <v>-0.37543081005963264</v>
      </c>
      <c r="D36" s="480">
        <f>D35/D34</f>
        <v>-0.37543081005963264</v>
      </c>
    </row>
    <row r="37" spans="2:15" ht="15.75" thickBot="1" x14ac:dyDescent="0.3"/>
    <row r="38" spans="2:15" ht="15.75" thickBot="1" x14ac:dyDescent="0.3">
      <c r="B38" s="476">
        <v>2019</v>
      </c>
    </row>
    <row r="39" spans="2:15" x14ac:dyDescent="0.25">
      <c r="B39" t="s">
        <v>297</v>
      </c>
      <c r="C39" s="444" t="s">
        <v>298</v>
      </c>
      <c r="D39" s="444" t="s">
        <v>283</v>
      </c>
      <c r="E39" s="444" t="s">
        <v>284</v>
      </c>
      <c r="F39" s="444" t="s">
        <v>285</v>
      </c>
      <c r="G39" s="444" t="s">
        <v>286</v>
      </c>
      <c r="H39" s="444" t="s">
        <v>287</v>
      </c>
      <c r="I39" s="444" t="s">
        <v>288</v>
      </c>
      <c r="J39" s="444" t="s">
        <v>289</v>
      </c>
      <c r="K39" s="444" t="s">
        <v>290</v>
      </c>
      <c r="L39" s="444" t="s">
        <v>291</v>
      </c>
      <c r="M39" s="444" t="s">
        <v>292</v>
      </c>
      <c r="N39" s="444" t="s">
        <v>293</v>
      </c>
      <c r="O39" s="484" t="s">
        <v>294</v>
      </c>
    </row>
    <row r="40" spans="2:15" x14ac:dyDescent="0.25">
      <c r="B40" t="s">
        <v>299</v>
      </c>
      <c r="C40" s="431">
        <v>1426200</v>
      </c>
      <c r="D40" s="431">
        <v>1940970</v>
      </c>
      <c r="E40" s="431">
        <v>1393290</v>
      </c>
      <c r="F40" s="431">
        <v>689978</v>
      </c>
      <c r="G40" s="431">
        <v>1177527</v>
      </c>
      <c r="H40" s="431">
        <v>1584630</v>
      </c>
      <c r="I40" s="431">
        <v>1428930</v>
      </c>
      <c r="J40" s="431">
        <v>1029060</v>
      </c>
      <c r="K40" s="431">
        <v>1038060</v>
      </c>
      <c r="L40" s="431">
        <v>1338230</v>
      </c>
      <c r="M40" s="431">
        <v>846960</v>
      </c>
      <c r="N40" s="431">
        <v>1290600</v>
      </c>
      <c r="O40" s="471">
        <v>15184435</v>
      </c>
    </row>
    <row r="41" spans="2:15" x14ac:dyDescent="0.25">
      <c r="B41" t="s">
        <v>281</v>
      </c>
      <c r="C41" s="475">
        <v>-480353</v>
      </c>
      <c r="D41" s="431">
        <v>1463106</v>
      </c>
      <c r="E41" s="431">
        <v>671470</v>
      </c>
      <c r="F41" s="431">
        <v>212114</v>
      </c>
      <c r="G41" s="475">
        <v>-87735</v>
      </c>
      <c r="H41" s="431">
        <v>1106766</v>
      </c>
      <c r="I41" s="431">
        <v>266586</v>
      </c>
      <c r="J41" s="431">
        <v>401096</v>
      </c>
      <c r="K41" s="431">
        <v>210573</v>
      </c>
      <c r="L41" s="475">
        <v>-221865</v>
      </c>
      <c r="M41" s="475">
        <v>-16639</v>
      </c>
      <c r="N41" s="475">
        <v>-331434</v>
      </c>
      <c r="O41" s="471">
        <v>3193685</v>
      </c>
    </row>
    <row r="42" spans="2:15" x14ac:dyDescent="0.25">
      <c r="B42" s="444" t="s">
        <v>295</v>
      </c>
      <c r="C42" s="477">
        <f>C41/C40</f>
        <v>-0.33680619828916003</v>
      </c>
      <c r="D42" s="461">
        <f t="shared" ref="D42:O42" si="7">D41/D40</f>
        <v>0.75380144979056862</v>
      </c>
      <c r="E42" s="461">
        <f t="shared" si="7"/>
        <v>0.48193125623524175</v>
      </c>
      <c r="F42" s="461">
        <f t="shared" si="7"/>
        <v>0.30742139604451157</v>
      </c>
      <c r="G42" s="477">
        <f t="shared" si="7"/>
        <v>-7.4507845679971665E-2</v>
      </c>
      <c r="H42" s="483">
        <f t="shared" si="7"/>
        <v>0.69843812120179471</v>
      </c>
      <c r="I42" s="461">
        <f t="shared" si="7"/>
        <v>0.18656337259347905</v>
      </c>
      <c r="J42" s="461">
        <f t="shared" si="7"/>
        <v>0.38976930402503257</v>
      </c>
      <c r="K42" s="461">
        <f t="shared" si="7"/>
        <v>0.20285243627535982</v>
      </c>
      <c r="L42" s="477">
        <f t="shared" si="7"/>
        <v>-0.16578988664130978</v>
      </c>
      <c r="M42" s="477">
        <f t="shared" si="7"/>
        <v>-1.9645555870407103E-2</v>
      </c>
      <c r="N42" s="477">
        <f t="shared" si="7"/>
        <v>-0.25680613668061369</v>
      </c>
      <c r="O42" s="478">
        <f t="shared" si="7"/>
        <v>0.2103262320922708</v>
      </c>
    </row>
    <row r="43" spans="2:15" ht="15.75" thickBot="1" x14ac:dyDescent="0.3"/>
    <row r="44" spans="2:15" ht="15.75" thickBot="1" x14ac:dyDescent="0.3">
      <c r="B44" s="476">
        <v>2022</v>
      </c>
    </row>
    <row r="45" spans="2:15" x14ac:dyDescent="0.25">
      <c r="B45" t="s">
        <v>297</v>
      </c>
      <c r="C45" t="s">
        <v>294</v>
      </c>
      <c r="D45" s="444" t="s">
        <v>296</v>
      </c>
    </row>
    <row r="46" spans="2:15" x14ac:dyDescent="0.25">
      <c r="B46" t="s">
        <v>299</v>
      </c>
      <c r="C46" s="431">
        <v>12159660</v>
      </c>
      <c r="D46" s="481">
        <f>C46/7*12</f>
        <v>20845131.428571429</v>
      </c>
    </row>
    <row r="47" spans="2:15" x14ac:dyDescent="0.25">
      <c r="B47" t="s">
        <v>281</v>
      </c>
      <c r="C47" s="475">
        <v>-940082</v>
      </c>
      <c r="D47" s="482">
        <f>C47/7*12</f>
        <v>-1611569.142857143</v>
      </c>
    </row>
    <row r="48" spans="2:15" x14ac:dyDescent="0.25">
      <c r="B48" t="s">
        <v>295</v>
      </c>
      <c r="C48" s="461">
        <f>C47/C46</f>
        <v>-7.7311536671255607E-2</v>
      </c>
      <c r="D48" s="461">
        <f>D47/D46</f>
        <v>-7.7311536671255607E-2</v>
      </c>
    </row>
    <row r="49" spans="2:15" ht="15.75" thickBot="1" x14ac:dyDescent="0.3"/>
    <row r="50" spans="2:15" ht="15.75" thickBot="1" x14ac:dyDescent="0.3">
      <c r="B50" s="476">
        <v>2019</v>
      </c>
    </row>
    <row r="51" spans="2:15" x14ac:dyDescent="0.25">
      <c r="B51" t="s">
        <v>45</v>
      </c>
      <c r="C51" s="444" t="s">
        <v>298</v>
      </c>
      <c r="D51" s="444" t="s">
        <v>283</v>
      </c>
      <c r="E51" s="444" t="s">
        <v>284</v>
      </c>
      <c r="F51" s="444" t="s">
        <v>285</v>
      </c>
      <c r="G51" s="444" t="s">
        <v>286</v>
      </c>
      <c r="H51" s="444" t="s">
        <v>287</v>
      </c>
      <c r="I51" s="444" t="s">
        <v>288</v>
      </c>
      <c r="J51" s="444" t="s">
        <v>289</v>
      </c>
      <c r="K51" s="444" t="s">
        <v>290</v>
      </c>
      <c r="L51" s="444" t="s">
        <v>291</v>
      </c>
      <c r="M51" s="444" t="s">
        <v>292</v>
      </c>
      <c r="N51" s="444" t="s">
        <v>293</v>
      </c>
      <c r="O51" s="484" t="s">
        <v>294</v>
      </c>
    </row>
    <row r="52" spans="2:15" x14ac:dyDescent="0.25">
      <c r="B52" t="s">
        <v>299</v>
      </c>
      <c r="C52" s="431">
        <v>154300</v>
      </c>
      <c r="D52" s="431">
        <v>205010</v>
      </c>
      <c r="E52" s="431">
        <v>120480</v>
      </c>
      <c r="F52" s="431">
        <v>104100</v>
      </c>
      <c r="G52" s="431">
        <v>161145</v>
      </c>
      <c r="H52" s="431">
        <v>69400</v>
      </c>
      <c r="I52" s="431">
        <v>386710</v>
      </c>
      <c r="J52" s="431">
        <v>88000</v>
      </c>
      <c r="K52" s="431">
        <v>289020</v>
      </c>
      <c r="L52" s="431">
        <v>569500</v>
      </c>
      <c r="M52" s="431">
        <v>104100</v>
      </c>
      <c r="N52" s="431">
        <v>208200</v>
      </c>
      <c r="O52" s="471">
        <v>2459965</v>
      </c>
    </row>
    <row r="53" spans="2:15" x14ac:dyDescent="0.25">
      <c r="B53" t="s">
        <v>281</v>
      </c>
      <c r="C53" s="431">
        <v>154300</v>
      </c>
      <c r="D53" s="431">
        <v>205010</v>
      </c>
      <c r="E53" s="431">
        <v>120480</v>
      </c>
      <c r="F53" s="475">
        <v>-358998</v>
      </c>
      <c r="G53" s="475">
        <v>-185955</v>
      </c>
      <c r="H53" s="475">
        <v>-104600</v>
      </c>
      <c r="I53" s="431">
        <v>225340</v>
      </c>
      <c r="J53" s="431">
        <v>88000</v>
      </c>
      <c r="K53" s="431">
        <v>235220</v>
      </c>
      <c r="L53" s="431">
        <v>397302</v>
      </c>
      <c r="M53" s="475">
        <v>-14900</v>
      </c>
      <c r="N53" s="431">
        <v>208200</v>
      </c>
      <c r="O53" s="471">
        <v>969399</v>
      </c>
    </row>
    <row r="54" spans="2:15" x14ac:dyDescent="0.25">
      <c r="B54" t="s">
        <v>295</v>
      </c>
      <c r="C54" s="461">
        <f>C53/C52</f>
        <v>1</v>
      </c>
      <c r="D54" s="461">
        <f t="shared" ref="D54:O54" si="8">D53/D52</f>
        <v>1</v>
      </c>
      <c r="E54" s="461">
        <f t="shared" si="8"/>
        <v>1</v>
      </c>
      <c r="F54" s="477">
        <f t="shared" si="8"/>
        <v>-3.4485878962536023</v>
      </c>
      <c r="G54" s="477">
        <f t="shared" si="8"/>
        <v>-1.1539607186074654</v>
      </c>
      <c r="H54" s="477">
        <f t="shared" si="8"/>
        <v>-1.5072046109510087</v>
      </c>
      <c r="I54" s="461">
        <f t="shared" si="8"/>
        <v>0.58271055829950091</v>
      </c>
      <c r="J54" s="461">
        <f t="shared" si="8"/>
        <v>1</v>
      </c>
      <c r="K54" s="461">
        <f t="shared" si="8"/>
        <v>0.8138537125458446</v>
      </c>
      <c r="L54" s="461">
        <f t="shared" si="8"/>
        <v>0.69763301141352063</v>
      </c>
      <c r="M54" s="477">
        <f t="shared" si="8"/>
        <v>-0.14313160422670509</v>
      </c>
      <c r="N54" s="461">
        <f t="shared" si="8"/>
        <v>1</v>
      </c>
      <c r="O54" s="478">
        <f t="shared" si="8"/>
        <v>0.3940702408367599</v>
      </c>
    </row>
    <row r="55" spans="2:15" ht="15.75" thickBot="1" x14ac:dyDescent="0.3">
      <c r="F55" s="479"/>
    </row>
    <row r="56" spans="2:15" ht="15.75" thickBot="1" x14ac:dyDescent="0.3">
      <c r="B56" s="476">
        <v>2022</v>
      </c>
    </row>
    <row r="57" spans="2:15" x14ac:dyDescent="0.25">
      <c r="B57" t="s">
        <v>45</v>
      </c>
      <c r="C57" t="s">
        <v>294</v>
      </c>
      <c r="D57" t="s">
        <v>296</v>
      </c>
    </row>
    <row r="58" spans="2:15" x14ac:dyDescent="0.25">
      <c r="B58" t="s">
        <v>299</v>
      </c>
      <c r="C58" s="431">
        <v>972760</v>
      </c>
      <c r="D58" s="481">
        <f>C58/7*12</f>
        <v>1667588.5714285714</v>
      </c>
    </row>
    <row r="59" spans="2:15" x14ac:dyDescent="0.25">
      <c r="B59" t="s">
        <v>281</v>
      </c>
      <c r="C59" s="431">
        <v>49885</v>
      </c>
      <c r="D59" s="481">
        <f>C59/7*12</f>
        <v>85517.142857142855</v>
      </c>
    </row>
    <row r="60" spans="2:15" x14ac:dyDescent="0.25">
      <c r="B60" t="s">
        <v>295</v>
      </c>
      <c r="C60" s="461">
        <f>C59/C58</f>
        <v>5.1281919486821002E-2</v>
      </c>
      <c r="D60" s="461">
        <f>D59/D58</f>
        <v>5.1281919486821002E-2</v>
      </c>
    </row>
    <row r="61" spans="2:15" ht="15.75" thickBot="1" x14ac:dyDescent="0.3"/>
    <row r="62" spans="2:15" ht="15.75" thickBot="1" x14ac:dyDescent="0.3">
      <c r="B62" s="476">
        <v>2019</v>
      </c>
    </row>
    <row r="63" spans="2:15" x14ac:dyDescent="0.25">
      <c r="B63" t="s">
        <v>47</v>
      </c>
      <c r="C63" s="444" t="s">
        <v>298</v>
      </c>
      <c r="D63" s="444" t="s">
        <v>283</v>
      </c>
      <c r="E63" s="444" t="s">
        <v>284</v>
      </c>
      <c r="F63" s="444" t="s">
        <v>285</v>
      </c>
      <c r="G63" s="444" t="s">
        <v>286</v>
      </c>
      <c r="H63" s="444" t="s">
        <v>287</v>
      </c>
      <c r="I63" s="444" t="s">
        <v>288</v>
      </c>
      <c r="J63" s="444" t="s">
        <v>289</v>
      </c>
      <c r="K63" s="444" t="s">
        <v>290</v>
      </c>
      <c r="L63" s="444" t="s">
        <v>291</v>
      </c>
      <c r="M63" s="444" t="s">
        <v>292</v>
      </c>
      <c r="N63" s="444" t="s">
        <v>293</v>
      </c>
      <c r="O63" s="444" t="s">
        <v>294</v>
      </c>
    </row>
    <row r="64" spans="2:15" x14ac:dyDescent="0.25">
      <c r="B64" t="s">
        <v>299</v>
      </c>
      <c r="C64" s="431">
        <v>5000</v>
      </c>
      <c r="D64" s="431">
        <v>3300</v>
      </c>
      <c r="E64" s="431">
        <v>6600</v>
      </c>
      <c r="F64" s="431">
        <v>13200</v>
      </c>
      <c r="G64" s="431">
        <v>0</v>
      </c>
      <c r="H64" s="431">
        <v>0</v>
      </c>
      <c r="I64" s="431">
        <v>6600</v>
      </c>
      <c r="J64" s="431">
        <v>0</v>
      </c>
      <c r="K64" s="431">
        <v>3300</v>
      </c>
      <c r="L64" s="431">
        <v>3300</v>
      </c>
      <c r="M64" s="431">
        <v>6600</v>
      </c>
      <c r="N64" s="431">
        <v>3300</v>
      </c>
      <c r="O64" s="431">
        <v>51200</v>
      </c>
    </row>
    <row r="65" spans="2:15" x14ac:dyDescent="0.25">
      <c r="B65" t="s">
        <v>281</v>
      </c>
      <c r="C65" s="431">
        <v>5000</v>
      </c>
      <c r="D65" s="431">
        <v>3300</v>
      </c>
      <c r="E65" s="431">
        <v>6600</v>
      </c>
      <c r="F65" s="431">
        <v>13200</v>
      </c>
      <c r="G65" s="431">
        <v>0</v>
      </c>
      <c r="H65" s="431">
        <v>0</v>
      </c>
      <c r="I65" s="431">
        <v>6600</v>
      </c>
      <c r="J65" s="431">
        <v>0</v>
      </c>
      <c r="K65" s="431">
        <v>3300</v>
      </c>
      <c r="L65" s="431">
        <v>3300</v>
      </c>
      <c r="M65" s="431">
        <v>6600</v>
      </c>
      <c r="N65" s="431">
        <v>3300</v>
      </c>
      <c r="O65" s="431">
        <v>51200</v>
      </c>
    </row>
    <row r="66" spans="2:15" x14ac:dyDescent="0.25">
      <c r="B66" t="s">
        <v>295</v>
      </c>
      <c r="C66" s="461">
        <f>C65/C64</f>
        <v>1</v>
      </c>
      <c r="D66" s="461">
        <f t="shared" ref="D66:O66" si="9">D65/D64</f>
        <v>1</v>
      </c>
      <c r="E66" s="461">
        <f t="shared" si="9"/>
        <v>1</v>
      </c>
      <c r="F66" s="461">
        <f t="shared" si="9"/>
        <v>1</v>
      </c>
      <c r="G66" s="477" t="e">
        <f t="shared" si="9"/>
        <v>#DIV/0!</v>
      </c>
      <c r="H66" s="477" t="e">
        <f t="shared" si="9"/>
        <v>#DIV/0!</v>
      </c>
      <c r="I66" s="461">
        <f t="shared" si="9"/>
        <v>1</v>
      </c>
      <c r="J66" s="477" t="e">
        <f t="shared" si="9"/>
        <v>#DIV/0!</v>
      </c>
      <c r="K66" s="461">
        <f t="shared" si="9"/>
        <v>1</v>
      </c>
      <c r="L66" s="461">
        <f t="shared" si="9"/>
        <v>1</v>
      </c>
      <c r="M66" s="461">
        <f t="shared" si="9"/>
        <v>1</v>
      </c>
      <c r="N66" s="461">
        <f t="shared" si="9"/>
        <v>1</v>
      </c>
      <c r="O66" s="461">
        <f t="shared" si="9"/>
        <v>1</v>
      </c>
    </row>
    <row r="67" spans="2:15" ht="15.75" thickBot="1" x14ac:dyDescent="0.3"/>
    <row r="68" spans="2:15" ht="15.75" thickBot="1" x14ac:dyDescent="0.3">
      <c r="B68" s="476">
        <v>2022</v>
      </c>
    </row>
    <row r="69" spans="2:15" x14ac:dyDescent="0.25">
      <c r="B69" t="s">
        <v>45</v>
      </c>
      <c r="C69" t="s">
        <v>294</v>
      </c>
      <c r="D69" t="s">
        <v>296</v>
      </c>
    </row>
    <row r="70" spans="2:15" x14ac:dyDescent="0.25">
      <c r="B70" t="s">
        <v>299</v>
      </c>
      <c r="C70" s="431">
        <v>378900</v>
      </c>
      <c r="D70" s="481">
        <f>C70/7*12</f>
        <v>649542.85714285716</v>
      </c>
    </row>
    <row r="71" spans="2:15" x14ac:dyDescent="0.25">
      <c r="B71" t="s">
        <v>281</v>
      </c>
      <c r="C71" s="475">
        <v>-55100</v>
      </c>
      <c r="D71" s="481">
        <f>C71/7*12</f>
        <v>-94457.142857142855</v>
      </c>
    </row>
    <row r="72" spans="2:15" x14ac:dyDescent="0.25">
      <c r="B72" t="s">
        <v>295</v>
      </c>
      <c r="C72" s="461">
        <f>C71/C70</f>
        <v>-0.14542095539720243</v>
      </c>
      <c r="D72" s="461">
        <f>D71/D70</f>
        <v>-0.14542095539720243</v>
      </c>
    </row>
    <row r="75" spans="2:15" x14ac:dyDescent="0.25">
      <c r="C75" t="s">
        <v>300</v>
      </c>
      <c r="D75" s="481">
        <f>D34+D46+D58+D70</f>
        <v>59775017.142857149</v>
      </c>
    </row>
  </sheetData>
  <mergeCells count="11">
    <mergeCell ref="B6:C6"/>
    <mergeCell ref="B7:C7"/>
    <mergeCell ref="I2:J2"/>
    <mergeCell ref="I3:J3"/>
    <mergeCell ref="I4:J4"/>
    <mergeCell ref="I5:J5"/>
    <mergeCell ref="F2:G2"/>
    <mergeCell ref="B2:C2"/>
    <mergeCell ref="B3:C3"/>
    <mergeCell ref="B4:C4"/>
    <mergeCell ref="B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A1:O49"/>
  <sheetViews>
    <sheetView showGridLines="0" tabSelected="1" zoomScale="80" zoomScaleNormal="80" workbookViewId="0">
      <selection activeCell="M23" sqref="M23"/>
    </sheetView>
  </sheetViews>
  <sheetFormatPr baseColWidth="10" defaultRowHeight="15" x14ac:dyDescent="0.25"/>
  <cols>
    <col min="1" max="1" width="42" style="5" customWidth="1"/>
    <col min="2" max="2" width="23.42578125" style="5" customWidth="1"/>
    <col min="3" max="3" width="20.85546875" style="5" bestFit="1" customWidth="1"/>
    <col min="4" max="4" width="19.28515625" style="5" customWidth="1"/>
    <col min="5" max="5" width="18.85546875" style="5" customWidth="1"/>
    <col min="6" max="6" width="18" style="5" customWidth="1"/>
    <col min="7" max="7" width="18.28515625" style="5" customWidth="1"/>
    <col min="8" max="8" width="18.140625" style="5" customWidth="1"/>
    <col min="9" max="9" width="18.7109375" style="5" bestFit="1" customWidth="1"/>
    <col min="10" max="10" width="21.140625" style="5" bestFit="1" customWidth="1"/>
    <col min="11" max="11" width="21.85546875" style="5" bestFit="1" customWidth="1"/>
    <col min="12" max="12" width="19.85546875" style="5" bestFit="1" customWidth="1"/>
    <col min="13" max="13" width="18.42578125" style="5" bestFit="1" customWidth="1"/>
    <col min="14" max="14" width="18" style="5" bestFit="1" customWidth="1"/>
    <col min="15" max="15" width="15.85546875" style="5" customWidth="1"/>
  </cols>
  <sheetData>
    <row r="1" spans="1:15" x14ac:dyDescent="0.25">
      <c r="A1" s="1"/>
      <c r="B1" s="2"/>
      <c r="C1" s="2"/>
      <c r="D1" s="2"/>
      <c r="E1" s="3"/>
      <c r="F1" s="2"/>
      <c r="G1" s="2"/>
      <c r="H1" s="2"/>
      <c r="I1" s="2"/>
      <c r="J1" s="2"/>
      <c r="K1" s="2"/>
      <c r="L1" s="2"/>
      <c r="M1" s="2"/>
      <c r="N1" s="2"/>
      <c r="O1" s="2"/>
    </row>
    <row r="2" spans="1:15" x14ac:dyDescent="0.25">
      <c r="A2" s="4"/>
      <c r="B2" s="2"/>
      <c r="C2" s="2"/>
      <c r="D2" s="2"/>
      <c r="E2" s="3" t="s">
        <v>0</v>
      </c>
      <c r="F2" s="2"/>
      <c r="G2" s="2"/>
      <c r="H2" s="2"/>
      <c r="I2" s="2"/>
      <c r="J2" s="2"/>
      <c r="K2" s="2"/>
      <c r="L2" s="2"/>
      <c r="M2" s="2"/>
      <c r="N2" s="2"/>
      <c r="O2" s="2"/>
    </row>
    <row r="3" spans="1:15" x14ac:dyDescent="0.25">
      <c r="B3" s="2"/>
      <c r="C3" s="2"/>
      <c r="D3" s="2"/>
      <c r="E3" s="2"/>
      <c r="F3" s="2"/>
      <c r="G3" s="2"/>
      <c r="H3" s="2"/>
      <c r="I3" s="2"/>
      <c r="J3" s="2"/>
      <c r="K3" s="2"/>
      <c r="L3" s="2"/>
      <c r="M3" s="2"/>
      <c r="N3" s="2"/>
      <c r="O3" s="2"/>
    </row>
    <row r="4" spans="1:15" ht="15.75" x14ac:dyDescent="0.25">
      <c r="B4" s="6"/>
      <c r="C4" s="802" t="s">
        <v>1</v>
      </c>
      <c r="D4" s="802"/>
      <c r="E4" s="803" t="s">
        <v>33</v>
      </c>
      <c r="F4" s="804"/>
      <c r="G4" s="2"/>
      <c r="H4" s="2"/>
      <c r="I4" s="2"/>
      <c r="J4" s="7"/>
      <c r="K4" s="2"/>
      <c r="L4" s="2"/>
      <c r="M4" s="2"/>
      <c r="N4" s="2"/>
      <c r="O4" s="2"/>
    </row>
    <row r="5" spans="1:15" x14ac:dyDescent="0.25">
      <c r="F5" s="8"/>
      <c r="G5" s="8"/>
      <c r="H5" s="2"/>
      <c r="I5" s="2"/>
      <c r="J5" s="7"/>
      <c r="K5" s="2"/>
      <c r="L5" s="2"/>
      <c r="M5" s="2"/>
      <c r="N5" s="2"/>
      <c r="O5" s="2"/>
    </row>
    <row r="6" spans="1:15" x14ac:dyDescent="0.25">
      <c r="A6" s="805" t="s">
        <v>2</v>
      </c>
      <c r="B6" s="805"/>
      <c r="C6" s="805"/>
      <c r="D6" s="805"/>
      <c r="F6" s="8"/>
      <c r="G6" s="8"/>
      <c r="H6" s="2"/>
      <c r="I6" s="2"/>
      <c r="J6" s="7"/>
      <c r="K6" s="2"/>
      <c r="L6" s="2"/>
      <c r="M6" s="2"/>
      <c r="N6" s="2"/>
      <c r="O6" s="2"/>
    </row>
    <row r="7" spans="1:15" ht="15.75" thickBot="1" x14ac:dyDescent="0.3">
      <c r="B7" s="2"/>
      <c r="C7" s="2"/>
      <c r="E7" s="2"/>
      <c r="F7" s="2"/>
      <c r="G7" s="2"/>
      <c r="H7" s="2"/>
      <c r="K7" s="9"/>
    </row>
    <row r="8" spans="1:15" ht="38.25" x14ac:dyDescent="0.25">
      <c r="A8" s="10" t="s">
        <v>3</v>
      </c>
      <c r="B8" s="11" t="s">
        <v>4</v>
      </c>
      <c r="C8" s="12" t="s">
        <v>5</v>
      </c>
      <c r="D8" s="13" t="s">
        <v>6</v>
      </c>
      <c r="E8" s="14" t="s">
        <v>7</v>
      </c>
      <c r="F8" s="14" t="s">
        <v>8</v>
      </c>
      <c r="G8" s="15" t="s">
        <v>9</v>
      </c>
      <c r="H8" s="15" t="s">
        <v>10</v>
      </c>
      <c r="I8" s="15" t="s">
        <v>11</v>
      </c>
      <c r="J8" s="16" t="s">
        <v>12</v>
      </c>
      <c r="K8" s="17" t="s">
        <v>13</v>
      </c>
      <c r="L8" s="17" t="s">
        <v>14</v>
      </c>
      <c r="M8" s="18" t="s">
        <v>15</v>
      </c>
      <c r="N8" s="520" t="s">
        <v>16</v>
      </c>
      <c r="O8" s="19" t="s">
        <v>17</v>
      </c>
    </row>
    <row r="9" spans="1:15" x14ac:dyDescent="0.25">
      <c r="A9" s="28" t="str">
        <f>+'B) Reajuste Tarifas y Ocupación'!A12</f>
        <v>Cabaña Chinquihue</v>
      </c>
      <c r="B9" s="545">
        <f>+I31</f>
        <v>39531000</v>
      </c>
      <c r="C9" s="546">
        <f>+H31</f>
        <v>20580000</v>
      </c>
      <c r="D9" s="547">
        <f>SUM(B9:C9)</f>
        <v>60111000</v>
      </c>
      <c r="E9" s="20">
        <f>+'C) Estimación Costos Directos'!H12</f>
        <v>0</v>
      </c>
      <c r="F9" s="20">
        <f>+'C) Estimación Costos Directos'!H23+'C) Estimación Costos Directos'!H27+'C) Estimación Costos Directos'!H28+'C) Estimación Costos Directos'!H29+'C) Estimación Costos Directos'!H33+'C) Estimación Costos Directos'!H46+'C) Estimación Costos Directos'!H53+'C) Estimación Costos Directos'!H30+'C) Estimación Costos Directos'!H31+'C) Estimación Costos Directos'!H32+'C) Estimación Costos Directos'!H47</f>
        <v>22601725</v>
      </c>
      <c r="G9" s="20">
        <f>+'C) Estimación Costos Directos'!H68</f>
        <v>0</v>
      </c>
      <c r="H9" s="20">
        <f>'C) Estimación Costos Directos'!H25+'C) Estimación Costos Directos'!H74</f>
        <v>277726</v>
      </c>
      <c r="I9" s="20">
        <f>+'C) Estimación Costos Directos'!H80-E9-F9-G9-H9</f>
        <v>4134017</v>
      </c>
      <c r="J9" s="21">
        <f>SUM(E9:I9)</f>
        <v>27013468</v>
      </c>
      <c r="K9" s="22">
        <f>IFERROR(+'D) Costos Indirectos '!$AN$15*(J9/$J$13),0)</f>
        <v>33684468.61543145</v>
      </c>
      <c r="L9" s="23">
        <f>SUM(J9:K9)</f>
        <v>60697936.61543145</v>
      </c>
      <c r="M9" s="24">
        <f>D9-L9</f>
        <v>-586936.61543145031</v>
      </c>
      <c r="N9" s="521">
        <f>D9-J9</f>
        <v>33097532</v>
      </c>
      <c r="O9" s="25">
        <v>0.53</v>
      </c>
    </row>
    <row r="10" spans="1:15" x14ac:dyDescent="0.25">
      <c r="A10" s="28" t="str">
        <f>+'B) Reajuste Tarifas y Ocupación'!A15</f>
        <v>Cabañas Moraleda</v>
      </c>
      <c r="B10" s="545">
        <f>I41</f>
        <v>16421800</v>
      </c>
      <c r="C10" s="546">
        <f>+H41</f>
        <v>8512000</v>
      </c>
      <c r="D10" s="547">
        <f t="shared" ref="D10:D11" si="0">SUM(B10:C10)</f>
        <v>24933800</v>
      </c>
      <c r="E10" s="20">
        <f>+'C) Estimación Costos Directos'!H84</f>
        <v>0</v>
      </c>
      <c r="F10" s="20">
        <f>+'C) Estimación Costos Directos'!H99+'C) Estimación Costos Directos'!H100+'C) Estimación Costos Directos'!H101+'C) Estimación Costos Directos'!H102+'C) Estimación Costos Directos'!H104+'C) Estimación Costos Directos'!H118+'C) Estimación Costos Directos'!H125+'C) Estimación Costos Directos'!H95+'C) Estimación Costos Directos'!H103+'C) Estimación Costos Directos'!H105+'C) Estimación Costos Directos'!H119</f>
        <v>4967111</v>
      </c>
      <c r="G10" s="20">
        <f>+'C) Estimación Costos Directos'!H140</f>
        <v>0</v>
      </c>
      <c r="H10" s="20">
        <f>'C) Estimación Costos Directos'!H97+'C) Estimación Costos Directos'!H146</f>
        <v>30000</v>
      </c>
      <c r="I10" s="20">
        <f>+'C) Estimación Costos Directos'!H152-E10-F10-G10-H10</f>
        <v>1242617</v>
      </c>
      <c r="J10" s="21">
        <f>SUM(E10:I10)</f>
        <v>6239728</v>
      </c>
      <c r="K10" s="22">
        <f>IFERROR(+'D) Costos Indirectos '!$AN$15*(J10/$J$13),0)</f>
        <v>7780634.5332938684</v>
      </c>
      <c r="L10" s="23">
        <f t="shared" ref="L10:L12" si="1">SUM(J10:K10)</f>
        <v>14020362.533293869</v>
      </c>
      <c r="M10" s="24">
        <f>D10-L10</f>
        <v>10913437.466706131</v>
      </c>
      <c r="N10" s="521">
        <f>D10-J10</f>
        <v>18694072</v>
      </c>
      <c r="O10" s="25">
        <v>0.27</v>
      </c>
    </row>
    <row r="11" spans="1:15" x14ac:dyDescent="0.25">
      <c r="A11" s="28" t="str">
        <f>+'B) Reajuste Tarifas y Ocupación'!A18</f>
        <v>Quincho</v>
      </c>
      <c r="B11" s="545">
        <f>+I45</f>
        <v>3868000</v>
      </c>
      <c r="C11" s="546">
        <f>+H45</f>
        <v>1826000</v>
      </c>
      <c r="D11" s="547">
        <f t="shared" si="0"/>
        <v>5694000</v>
      </c>
      <c r="E11" s="20">
        <f>+'C) Estimación Costos Directos'!H156</f>
        <v>0</v>
      </c>
      <c r="F11" s="20">
        <f>+'C) Estimación Costos Directos'!H171+'C) Estimación Costos Directos'!H172+'C) Estimación Costos Directos'!H173+'C) Estimación Costos Directos'!H197+'C) Estimación Costos Directos'!H167+'C) Estimación Costos Directos'!H174+'C) Estimación Costos Directos'!H175+'C) Estimación Costos Directos'!H176+'C) Estimación Costos Directos'!H177+'C) Estimación Costos Directos'!H190+'C) Estimación Costos Directos'!H191</f>
        <v>800000</v>
      </c>
      <c r="G11" s="20">
        <f>+'C) Estimación Costos Directos'!H212</f>
        <v>0</v>
      </c>
      <c r="H11" s="26">
        <f>+'C) Estimación Costos Directos'!H218+'C) Estimación Costos Directos'!H169</f>
        <v>0</v>
      </c>
      <c r="I11" s="26">
        <f>+'C) Estimación Costos Directos'!H224-E11-F11-G11-H11</f>
        <v>0</v>
      </c>
      <c r="J11" s="21">
        <f>SUM(E11:I11)</f>
        <v>800000</v>
      </c>
      <c r="K11" s="27">
        <f>IFERROR(+'D) Costos Indirectos '!$AN$15*(J11/$J$13),0)</f>
        <v>997560.73127467965</v>
      </c>
      <c r="L11" s="23">
        <f t="shared" si="1"/>
        <v>1797560.7312746798</v>
      </c>
      <c r="M11" s="24">
        <f>D11-L11</f>
        <v>3896439.2687253202</v>
      </c>
      <c r="N11" s="521">
        <f>D11-J11</f>
        <v>4894000</v>
      </c>
      <c r="O11" s="25">
        <v>0.17</v>
      </c>
    </row>
    <row r="12" spans="1:15" x14ac:dyDescent="0.25">
      <c r="A12" s="28" t="str">
        <f>+'B) Reajuste Tarifas y Ocupación'!A19</f>
        <v>Cancha</v>
      </c>
      <c r="B12" s="29">
        <f>I49</f>
        <v>382000</v>
      </c>
      <c r="C12" s="30">
        <f>H49</f>
        <v>116000</v>
      </c>
      <c r="D12" s="31">
        <f>SUM(B12:C12)</f>
        <v>498000</v>
      </c>
      <c r="E12" s="20">
        <f>+'C) Estimación Costos Directos'!H228</f>
        <v>0</v>
      </c>
      <c r="F12" s="20">
        <f>+'C) Estimación Costos Directos'!H243+'C) Estimación Costos Directos'!H244+'C) Estimación Costos Directos'!H245+'C) Estimación Costos Directos'!H246+'C) Estimación Costos Directos'!H247+'C) Estimación Costos Directos'!H248+'C) Estimación Costos Directos'!H249+'C) Estimación Costos Directos'!H239+'C) Estimación Costos Directos'!H262+'C) Estimación Costos Directos'!H263+'C) Estimación Costos Directos'!H269</f>
        <v>0</v>
      </c>
      <c r="G12" s="20">
        <f>+'C) Estimación Costos Directos'!H284</f>
        <v>0</v>
      </c>
      <c r="H12" s="21">
        <f>+'C) Estimación Costos Directos'!H290+'C) Estimación Costos Directos'!H241</f>
        <v>0</v>
      </c>
      <c r="I12" s="26">
        <f>+'C) Estimación Costos Directos'!H296-E12-F12-G12-H12</f>
        <v>0</v>
      </c>
      <c r="J12" s="21">
        <f>SUM(E12:I12)</f>
        <v>0</v>
      </c>
      <c r="K12" s="27">
        <f>IFERROR(+'D) Costos Indirectos '!$AN$15*(J12/$J$13),0)</f>
        <v>0</v>
      </c>
      <c r="L12" s="23">
        <f t="shared" si="1"/>
        <v>0</v>
      </c>
      <c r="M12" s="24">
        <f>D12-L12</f>
        <v>498000</v>
      </c>
      <c r="N12" s="521">
        <f>D12-J12</f>
        <v>498000</v>
      </c>
      <c r="O12" s="25">
        <v>0.03</v>
      </c>
    </row>
    <row r="13" spans="1:15" ht="15.75" thickBot="1" x14ac:dyDescent="0.3">
      <c r="A13" s="32" t="s">
        <v>18</v>
      </c>
      <c r="B13" s="33">
        <f>SUM(B9:B12)</f>
        <v>60202800</v>
      </c>
      <c r="C13" s="34">
        <f>SUM(C9:C12)</f>
        <v>31034000</v>
      </c>
      <c r="D13" s="35">
        <f>SUM(D9:D12)</f>
        <v>91236800</v>
      </c>
      <c r="E13" s="35">
        <f>SUM(E9:E12)</f>
        <v>0</v>
      </c>
      <c r="F13" s="35">
        <f t="shared" ref="F13:G13" si="2">SUM(F9:F12)</f>
        <v>28368836</v>
      </c>
      <c r="G13" s="35">
        <f t="shared" si="2"/>
        <v>0</v>
      </c>
      <c r="H13" s="35">
        <f>SUM(H9:H12)</f>
        <v>307726</v>
      </c>
      <c r="I13" s="33">
        <f>SUM(I9:I12)</f>
        <v>5376634</v>
      </c>
      <c r="J13" s="35">
        <f>SUM(J9:J12)</f>
        <v>34053196</v>
      </c>
      <c r="K13" s="36">
        <f>SUM(K9:K12)</f>
        <v>42462663.879999995</v>
      </c>
      <c r="L13" s="35">
        <f t="shared" ref="L13" si="3">SUM(L9:L12)</f>
        <v>76515859.879999995</v>
      </c>
      <c r="M13" s="37">
        <f>SUM(M9:M12)</f>
        <v>14720940.120000001</v>
      </c>
      <c r="N13" s="493">
        <f>SUM(N9:N12)</f>
        <v>57183604</v>
      </c>
      <c r="O13" s="38">
        <f>SUM(O9:O12)</f>
        <v>1</v>
      </c>
    </row>
    <row r="14" spans="1:15" x14ac:dyDescent="0.25">
      <c r="A14" s="39"/>
      <c r="B14" s="39"/>
      <c r="C14" s="40"/>
      <c r="D14" s="40"/>
      <c r="E14" s="40"/>
      <c r="F14" s="40"/>
      <c r="G14" s="40"/>
      <c r="H14" s="40"/>
      <c r="I14" s="40"/>
      <c r="J14" s="40"/>
      <c r="K14" s="40"/>
      <c r="L14" s="40"/>
      <c r="M14" s="2"/>
      <c r="N14" s="490"/>
      <c r="O14" s="2"/>
    </row>
    <row r="15" spans="1:15" x14ac:dyDescent="0.25">
      <c r="A15" s="39"/>
      <c r="B15" s="39"/>
      <c r="C15" s="39"/>
      <c r="D15" s="491"/>
      <c r="E15" s="40"/>
      <c r="F15" s="40"/>
      <c r="G15" s="41"/>
      <c r="H15" s="40"/>
      <c r="I15" s="40"/>
      <c r="J15" s="2"/>
      <c r="K15" s="40"/>
      <c r="L15" s="40"/>
      <c r="M15" s="2"/>
      <c r="N15" s="42"/>
      <c r="O15" s="2"/>
    </row>
    <row r="16" spans="1:15" x14ac:dyDescent="0.25">
      <c r="A16" s="39"/>
      <c r="B16" s="39"/>
      <c r="C16" s="39"/>
      <c r="D16" s="491"/>
      <c r="E16" s="40"/>
      <c r="F16" s="40"/>
      <c r="G16" s="40"/>
      <c r="H16" s="40"/>
      <c r="I16" s="40"/>
      <c r="J16" s="40"/>
      <c r="K16" s="40"/>
      <c r="L16" s="615" t="s">
        <v>308</v>
      </c>
      <c r="M16" s="617">
        <f>M13/D13</f>
        <v>0.16134871148483945</v>
      </c>
      <c r="N16" s="616">
        <f>N13/D13</f>
        <v>0.62676029847605352</v>
      </c>
      <c r="O16" s="43"/>
    </row>
    <row r="17" spans="1:15" x14ac:dyDescent="0.25">
      <c r="A17" s="39"/>
      <c r="B17" s="39"/>
      <c r="C17" s="39"/>
      <c r="D17" s="492"/>
      <c r="E17" s="40"/>
      <c r="F17" s="40"/>
      <c r="G17" s="40"/>
      <c r="H17" s="40"/>
      <c r="I17" s="40"/>
      <c r="J17" s="40"/>
      <c r="K17" s="40"/>
      <c r="L17" s="43"/>
      <c r="M17" s="43"/>
      <c r="N17" s="43"/>
      <c r="O17" s="43"/>
    </row>
    <row r="18" spans="1:15" x14ac:dyDescent="0.25">
      <c r="A18" s="805" t="s">
        <v>19</v>
      </c>
      <c r="B18" s="805"/>
      <c r="C18" s="805"/>
      <c r="D18" s="805"/>
      <c r="E18" s="40"/>
      <c r="F18" s="40"/>
      <c r="G18" s="40"/>
      <c r="H18" s="40"/>
      <c r="I18" s="40"/>
      <c r="J18" s="40"/>
      <c r="K18" s="40"/>
    </row>
    <row r="19" spans="1:15" ht="15.75" thickBot="1" x14ac:dyDescent="0.3">
      <c r="A19" s="2"/>
      <c r="B19" s="2"/>
      <c r="C19" s="2"/>
      <c r="D19" s="2"/>
      <c r="E19" s="2"/>
      <c r="F19" s="2"/>
      <c r="G19" s="2"/>
      <c r="H19" s="44"/>
      <c r="I19" s="44"/>
      <c r="J19" s="7"/>
      <c r="K19" s="7"/>
    </row>
    <row r="20" spans="1:15" ht="15.75" x14ac:dyDescent="0.25">
      <c r="A20" s="806" t="s">
        <v>20</v>
      </c>
      <c r="B20" s="808" t="s">
        <v>21</v>
      </c>
      <c r="C20" s="810" t="s">
        <v>22</v>
      </c>
      <c r="D20" s="812" t="s">
        <v>336</v>
      </c>
      <c r="E20" s="813"/>
      <c r="F20" s="813"/>
      <c r="G20" s="814"/>
      <c r="H20" s="815" t="s">
        <v>23</v>
      </c>
      <c r="I20" s="817" t="s">
        <v>4</v>
      </c>
      <c r="J20" s="819" t="s">
        <v>24</v>
      </c>
      <c r="K20" s="45"/>
    </row>
    <row r="21" spans="1:15" ht="15.75" thickBot="1" x14ac:dyDescent="0.3">
      <c r="A21" s="807"/>
      <c r="B21" s="809"/>
      <c r="C21" s="811"/>
      <c r="D21" s="46" t="s">
        <v>25</v>
      </c>
      <c r="E21" s="47" t="s">
        <v>26</v>
      </c>
      <c r="F21" s="47" t="s">
        <v>27</v>
      </c>
      <c r="G21" s="48" t="s">
        <v>28</v>
      </c>
      <c r="H21" s="816"/>
      <c r="I21" s="818"/>
      <c r="J21" s="820"/>
      <c r="K21" s="49"/>
    </row>
    <row r="22" spans="1:15" x14ac:dyDescent="0.25">
      <c r="A22" s="821" t="str">
        <f>+'B) Reajuste Tarifas y Ocupación'!A12</f>
        <v>Cabaña Chinquihue</v>
      </c>
      <c r="B22" s="824" t="str">
        <f>+'B) Reajuste Tarifas y Ocupación'!B12</f>
        <v>Cabaña</v>
      </c>
      <c r="C22" s="50" t="s">
        <v>337</v>
      </c>
      <c r="D22" s="51">
        <f>+'B) Reajuste Tarifas y Ocupación'!J12</f>
        <v>54700</v>
      </c>
      <c r="E22" s="52">
        <f>+'B) Reajuste Tarifas y Ocupación'!K12</f>
        <v>84100</v>
      </c>
      <c r="F22" s="52">
        <f>+'B) Reajuste Tarifas y Ocupación'!L12</f>
        <v>100000</v>
      </c>
      <c r="G22" s="53">
        <f>+'B) Reajuste Tarifas y Ocupación'!M12</f>
        <v>104800</v>
      </c>
      <c r="H22" s="826"/>
      <c r="I22" s="828"/>
      <c r="J22" s="830"/>
      <c r="K22" s="54"/>
    </row>
    <row r="23" spans="1:15" x14ac:dyDescent="0.25">
      <c r="A23" s="822"/>
      <c r="B23" s="825"/>
      <c r="C23" s="55" t="s">
        <v>29</v>
      </c>
      <c r="D23" s="56">
        <f>+'B) Reajuste Tarifas y Ocupación'!U12</f>
        <v>700</v>
      </c>
      <c r="E23" s="57">
        <f>'B) Reajuste Tarifas y Ocupación'!V12</f>
        <v>10</v>
      </c>
      <c r="F23" s="57">
        <f>+'B) Reajuste Tarifas y Ocupación'!W12</f>
        <v>4</v>
      </c>
      <c r="G23" s="58">
        <f>+'B) Reajuste Tarifas y Ocupación'!X12</f>
        <v>0</v>
      </c>
      <c r="H23" s="827"/>
      <c r="I23" s="829"/>
      <c r="J23" s="831"/>
      <c r="K23" s="59"/>
    </row>
    <row r="24" spans="1:15" x14ac:dyDescent="0.25">
      <c r="A24" s="822"/>
      <c r="B24" s="825"/>
      <c r="C24" s="60" t="s">
        <v>30</v>
      </c>
      <c r="D24" s="61">
        <f>D23*D22</f>
        <v>38290000</v>
      </c>
      <c r="E24" s="62">
        <f>E23*E22</f>
        <v>841000</v>
      </c>
      <c r="F24" s="62">
        <f t="shared" ref="F24:G24" si="4">F23*F22</f>
        <v>400000</v>
      </c>
      <c r="G24" s="62">
        <f t="shared" si="4"/>
        <v>0</v>
      </c>
      <c r="H24" s="63">
        <f>(E22-D22)*D23</f>
        <v>20580000</v>
      </c>
      <c r="I24" s="64">
        <f>SUM(D24:G24)</f>
        <v>39531000</v>
      </c>
      <c r="J24" s="65">
        <f>H24+I24</f>
        <v>60111000</v>
      </c>
      <c r="K24" s="66"/>
    </row>
    <row r="25" spans="1:15" x14ac:dyDescent="0.25">
      <c r="A25" s="822"/>
      <c r="B25" s="825" t="str">
        <f>+'B) Reajuste Tarifas y Ocupación'!B13</f>
        <v>Early check-in/Late check-out</v>
      </c>
      <c r="C25" s="832"/>
      <c r="D25" s="834"/>
      <c r="E25" s="844"/>
      <c r="F25" s="844"/>
      <c r="G25" s="847"/>
      <c r="H25" s="848"/>
      <c r="I25" s="838"/>
      <c r="J25" s="833"/>
      <c r="K25" s="54"/>
    </row>
    <row r="26" spans="1:15" x14ac:dyDescent="0.25">
      <c r="A26" s="822"/>
      <c r="B26" s="825"/>
      <c r="C26" s="832"/>
      <c r="D26" s="834"/>
      <c r="E26" s="844"/>
      <c r="F26" s="844"/>
      <c r="G26" s="847"/>
      <c r="H26" s="848"/>
      <c r="I26" s="838"/>
      <c r="J26" s="833"/>
      <c r="K26" s="59"/>
    </row>
    <row r="27" spans="1:15" ht="15.75" thickBot="1" x14ac:dyDescent="0.3">
      <c r="A27" s="822"/>
      <c r="B27" s="825"/>
      <c r="C27" s="67"/>
      <c r="D27" s="68"/>
      <c r="E27" s="69"/>
      <c r="F27" s="69"/>
      <c r="G27" s="70"/>
      <c r="H27" s="71"/>
      <c r="I27" s="72"/>
      <c r="J27" s="73"/>
      <c r="K27" s="66"/>
    </row>
    <row r="28" spans="1:15" x14ac:dyDescent="0.25">
      <c r="A28" s="822"/>
      <c r="B28" s="825" t="str">
        <f>+'B) Reajuste Tarifas y Ocupación'!B14</f>
        <v>Cabaña</v>
      </c>
      <c r="C28" s="50" t="s">
        <v>337</v>
      </c>
      <c r="D28" s="834"/>
      <c r="E28" s="74">
        <f>+'B) Reajuste Tarifas y Ocupación'!K14</f>
        <v>25300</v>
      </c>
      <c r="F28" s="74">
        <f>+'B) Reajuste Tarifas y Ocupación'!L14</f>
        <v>30000</v>
      </c>
      <c r="G28" s="75">
        <f>+'B) Reajuste Tarifas y Ocupación'!M14</f>
        <v>31500</v>
      </c>
      <c r="H28" s="835"/>
      <c r="I28" s="836"/>
      <c r="J28" s="837"/>
      <c r="K28" s="54"/>
    </row>
    <row r="29" spans="1:15" x14ac:dyDescent="0.25">
      <c r="A29" s="822"/>
      <c r="B29" s="825"/>
      <c r="C29" s="55" t="s">
        <v>29</v>
      </c>
      <c r="D29" s="834"/>
      <c r="E29" s="57">
        <f>+'B) Reajuste Tarifas y Ocupación'!V14</f>
        <v>0</v>
      </c>
      <c r="F29" s="57">
        <f>+'B) Reajuste Tarifas y Ocupación'!W14</f>
        <v>0</v>
      </c>
      <c r="G29" s="58">
        <f>+'B) Reajuste Tarifas y Ocupación'!X14</f>
        <v>0</v>
      </c>
      <c r="H29" s="835"/>
      <c r="I29" s="836"/>
      <c r="J29" s="837"/>
      <c r="K29" s="59"/>
    </row>
    <row r="30" spans="1:15" x14ac:dyDescent="0.25">
      <c r="A30" s="822"/>
      <c r="B30" s="825"/>
      <c r="C30" s="60" t="s">
        <v>30</v>
      </c>
      <c r="D30" s="68"/>
      <c r="E30" s="62">
        <f>E29*E28</f>
        <v>0</v>
      </c>
      <c r="F30" s="62">
        <f t="shared" ref="F30:G30" si="5">F29*F28</f>
        <v>0</v>
      </c>
      <c r="G30" s="62">
        <f t="shared" si="5"/>
        <v>0</v>
      </c>
      <c r="H30" s="63">
        <f>(E28-D28)*D29</f>
        <v>0</v>
      </c>
      <c r="I30" s="64">
        <f>SUM(D30:G30)</f>
        <v>0</v>
      </c>
      <c r="J30" s="65">
        <f>H30+I30</f>
        <v>0</v>
      </c>
      <c r="K30" s="66"/>
    </row>
    <row r="31" spans="1:15" ht="15.75" thickBot="1" x14ac:dyDescent="0.3">
      <c r="A31" s="823"/>
      <c r="B31" s="845" t="s">
        <v>31</v>
      </c>
      <c r="C31" s="846"/>
      <c r="D31" s="76">
        <f>+D24+D27+D30</f>
        <v>38290000</v>
      </c>
      <c r="E31" s="77">
        <f t="shared" ref="E31:J31" si="6">+E24+E27+E30</f>
        <v>841000</v>
      </c>
      <c r="F31" s="77">
        <f>+F24+F27+F30</f>
        <v>400000</v>
      </c>
      <c r="G31" s="78">
        <f t="shared" si="6"/>
        <v>0</v>
      </c>
      <c r="H31" s="637">
        <f t="shared" si="6"/>
        <v>20580000</v>
      </c>
      <c r="I31" s="638">
        <f t="shared" si="6"/>
        <v>39531000</v>
      </c>
      <c r="J31" s="639">
        <f t="shared" si="6"/>
        <v>60111000</v>
      </c>
      <c r="K31" s="79"/>
    </row>
    <row r="32" spans="1:15" x14ac:dyDescent="0.25">
      <c r="A32" s="849" t="str">
        <f>+'B) Reajuste Tarifas y Ocupación'!A15</f>
        <v>Cabañas Moraleda</v>
      </c>
      <c r="B32" s="842" t="str">
        <f>+'B) Reajuste Tarifas y Ocupación'!B15</f>
        <v>Cabaña</v>
      </c>
      <c r="C32" s="50" t="s">
        <v>337</v>
      </c>
      <c r="D32" s="80">
        <f>+'B) Reajuste Tarifas y Ocupación'!J15</f>
        <v>41800</v>
      </c>
      <c r="E32" s="81">
        <f>+'B) Reajuste Tarifas y Ocupación'!K15</f>
        <v>64200</v>
      </c>
      <c r="F32" s="81">
        <f>+'B) Reajuste Tarifas y Ocupación'!L15</f>
        <v>76300</v>
      </c>
      <c r="G32" s="82">
        <f>+'B) Reajuste Tarifas y Ocupación'!M15</f>
        <v>80000</v>
      </c>
      <c r="H32" s="851"/>
      <c r="I32" s="852"/>
      <c r="J32" s="839"/>
    </row>
    <row r="33" spans="1:10" x14ac:dyDescent="0.25">
      <c r="A33" s="849"/>
      <c r="B33" s="842"/>
      <c r="C33" s="83" t="s">
        <v>29</v>
      </c>
      <c r="D33" s="84">
        <f>+'B) Reajuste Tarifas y Ocupación'!U15</f>
        <v>380</v>
      </c>
      <c r="E33" s="85">
        <f>+'B) Reajuste Tarifas y Ocupación'!V15</f>
        <v>6</v>
      </c>
      <c r="F33" s="85">
        <f>+'B) Reajuste Tarifas y Ocupación'!W15</f>
        <v>2</v>
      </c>
      <c r="G33" s="86">
        <f>+'B) Reajuste Tarifas y Ocupación'!X15</f>
        <v>0</v>
      </c>
      <c r="H33" s="835"/>
      <c r="I33" s="836"/>
      <c r="J33" s="840"/>
    </row>
    <row r="34" spans="1:10" x14ac:dyDescent="0.25">
      <c r="A34" s="849"/>
      <c r="B34" s="843"/>
      <c r="C34" s="87" t="s">
        <v>30</v>
      </c>
      <c r="D34" s="88">
        <f>D33*D32</f>
        <v>15884000</v>
      </c>
      <c r="E34" s="89">
        <f t="shared" ref="E34:G34" si="7">E33*E32</f>
        <v>385200</v>
      </c>
      <c r="F34" s="89">
        <f t="shared" si="7"/>
        <v>152600</v>
      </c>
      <c r="G34" s="89">
        <f t="shared" si="7"/>
        <v>0</v>
      </c>
      <c r="H34" s="90">
        <f>(E32-D32)*D33</f>
        <v>8512000</v>
      </c>
      <c r="I34" s="91">
        <f>SUM(D34:G34)</f>
        <v>16421800</v>
      </c>
      <c r="J34" s="92">
        <f>H34+I34</f>
        <v>24933800</v>
      </c>
    </row>
    <row r="35" spans="1:10" x14ac:dyDescent="0.25">
      <c r="A35" s="849"/>
      <c r="B35" s="841" t="str">
        <f>+'B) Reajuste Tarifas y Ocupación'!B16</f>
        <v>Early check-in/Late check-out</v>
      </c>
      <c r="C35" s="832"/>
      <c r="D35" s="834"/>
      <c r="E35" s="844"/>
      <c r="F35" s="844"/>
      <c r="G35" s="847"/>
      <c r="H35" s="848"/>
      <c r="I35" s="838"/>
      <c r="J35" s="833"/>
    </row>
    <row r="36" spans="1:10" x14ac:dyDescent="0.25">
      <c r="A36" s="849"/>
      <c r="B36" s="842"/>
      <c r="C36" s="832"/>
      <c r="D36" s="834"/>
      <c r="E36" s="844"/>
      <c r="F36" s="844"/>
      <c r="G36" s="847"/>
      <c r="H36" s="848"/>
      <c r="I36" s="838"/>
      <c r="J36" s="833"/>
    </row>
    <row r="37" spans="1:10" ht="15.75" thickBot="1" x14ac:dyDescent="0.3">
      <c r="A37" s="849"/>
      <c r="B37" s="843"/>
      <c r="C37" s="67"/>
      <c r="D37" s="68"/>
      <c r="E37" s="69"/>
      <c r="F37" s="69"/>
      <c r="G37" s="70"/>
      <c r="H37" s="71"/>
      <c r="I37" s="72"/>
      <c r="J37" s="73"/>
    </row>
    <row r="38" spans="1:10" x14ac:dyDescent="0.25">
      <c r="A38" s="849"/>
      <c r="B38" s="841" t="str">
        <f>+'B) Reajuste Tarifas y Ocupación'!B17</f>
        <v xml:space="preserve">Cabaña </v>
      </c>
      <c r="C38" s="50" t="s">
        <v>337</v>
      </c>
      <c r="D38" s="834"/>
      <c r="E38" s="81">
        <f>+'B) Reajuste Tarifas y Ocupación'!K17</f>
        <v>19300</v>
      </c>
      <c r="F38" s="81">
        <f>+'B) Reajuste Tarifas y Ocupación'!L17</f>
        <v>22900</v>
      </c>
      <c r="G38" s="82">
        <f>+'B) Reajuste Tarifas y Ocupación'!M17</f>
        <v>24000</v>
      </c>
      <c r="H38" s="858"/>
      <c r="I38" s="859"/>
      <c r="J38" s="854"/>
    </row>
    <row r="39" spans="1:10" x14ac:dyDescent="0.25">
      <c r="A39" s="849"/>
      <c r="B39" s="842"/>
      <c r="C39" s="83" t="s">
        <v>29</v>
      </c>
      <c r="D39" s="834"/>
      <c r="E39" s="85">
        <f>+'B) Reajuste Tarifas y Ocupación'!V17</f>
        <v>0</v>
      </c>
      <c r="F39" s="85">
        <f>+'B) Reajuste Tarifas y Ocupación'!W17</f>
        <v>0</v>
      </c>
      <c r="G39" s="86">
        <f>+'B) Reajuste Tarifas y Ocupación'!X17</f>
        <v>0</v>
      </c>
      <c r="H39" s="858"/>
      <c r="I39" s="859"/>
      <c r="J39" s="854"/>
    </row>
    <row r="40" spans="1:10" x14ac:dyDescent="0.25">
      <c r="A40" s="849"/>
      <c r="B40" s="843"/>
      <c r="C40" s="87" t="s">
        <v>30</v>
      </c>
      <c r="D40" s="68"/>
      <c r="E40" s="89">
        <f t="shared" ref="E40:G40" si="8">E39*E38</f>
        <v>0</v>
      </c>
      <c r="F40" s="89">
        <f t="shared" si="8"/>
        <v>0</v>
      </c>
      <c r="G40" s="89">
        <f t="shared" si="8"/>
        <v>0</v>
      </c>
      <c r="H40" s="90">
        <f>(E38-D38)*D39</f>
        <v>0</v>
      </c>
      <c r="I40" s="91">
        <f>SUM(D40:G40)</f>
        <v>0</v>
      </c>
      <c r="J40" s="92">
        <f>H40+I40</f>
        <v>0</v>
      </c>
    </row>
    <row r="41" spans="1:10" ht="15.75" thickBot="1" x14ac:dyDescent="0.3">
      <c r="A41" s="850"/>
      <c r="B41" s="856" t="s">
        <v>31</v>
      </c>
      <c r="C41" s="857"/>
      <c r="D41" s="93">
        <f>+D34+D37+D40</f>
        <v>15884000</v>
      </c>
      <c r="E41" s="94">
        <f t="shared" ref="E41:J41" si="9">+E34+E37+E40</f>
        <v>385200</v>
      </c>
      <c r="F41" s="94">
        <f>+F34+F37+F40</f>
        <v>152600</v>
      </c>
      <c r="G41" s="95">
        <f t="shared" si="9"/>
        <v>0</v>
      </c>
      <c r="H41" s="640">
        <f t="shared" si="9"/>
        <v>8512000</v>
      </c>
      <c r="I41" s="641">
        <f t="shared" si="9"/>
        <v>16421800</v>
      </c>
      <c r="J41" s="642">
        <f t="shared" si="9"/>
        <v>24933800</v>
      </c>
    </row>
    <row r="42" spans="1:10" x14ac:dyDescent="0.25">
      <c r="A42" s="855" t="str">
        <f>+'B) Reajuste Tarifas y Ocupación'!A18</f>
        <v>Quincho</v>
      </c>
      <c r="B42" s="860" t="str">
        <f>+'B) Reajuste Tarifas y Ocupación'!B18</f>
        <v xml:space="preserve">Arriendo </v>
      </c>
      <c r="C42" s="50" t="s">
        <v>337</v>
      </c>
      <c r="D42" s="96">
        <f>+'B) Reajuste Tarifas y Ocupación'!J18</f>
        <v>61700</v>
      </c>
      <c r="E42" s="97">
        <f>+'B) Reajuste Tarifas y Ocupación'!K18</f>
        <v>94900</v>
      </c>
      <c r="F42" s="97">
        <f>+'B) Reajuste Tarifas y Ocupación'!L18</f>
        <v>112900</v>
      </c>
      <c r="G42" s="98">
        <f>+'B) Reajuste Tarifas y Ocupación'!M18</f>
        <v>118200</v>
      </c>
      <c r="H42" s="861"/>
      <c r="I42" s="863"/>
      <c r="J42" s="853"/>
    </row>
    <row r="43" spans="1:10" x14ac:dyDescent="0.25">
      <c r="A43" s="849"/>
      <c r="B43" s="842"/>
      <c r="C43" s="83" t="s">
        <v>29</v>
      </c>
      <c r="D43" s="84">
        <f>+'B) Reajuste Tarifas y Ocupación'!U18</f>
        <v>55</v>
      </c>
      <c r="E43" s="85">
        <f>+'B) Reajuste Tarifas y Ocupación'!V18</f>
        <v>5</v>
      </c>
      <c r="F43" s="85">
        <f>+'B) Reajuste Tarifas y Ocupación'!W18</f>
        <v>0</v>
      </c>
      <c r="G43" s="86">
        <f>+'B) Reajuste Tarifas y Ocupación'!X18</f>
        <v>0</v>
      </c>
      <c r="H43" s="862"/>
      <c r="I43" s="864"/>
      <c r="J43" s="840"/>
    </row>
    <row r="44" spans="1:10" x14ac:dyDescent="0.25">
      <c r="A44" s="849"/>
      <c r="B44" s="843"/>
      <c r="C44" s="87" t="s">
        <v>30</v>
      </c>
      <c r="D44" s="88">
        <f>D43*D42</f>
        <v>3393500</v>
      </c>
      <c r="E44" s="89">
        <f>E43*E42</f>
        <v>474500</v>
      </c>
      <c r="F44" s="89">
        <f t="shared" ref="F44:G44" si="10">F43*F42</f>
        <v>0</v>
      </c>
      <c r="G44" s="89">
        <f t="shared" si="10"/>
        <v>0</v>
      </c>
      <c r="H44" s="90">
        <f>(E42-D42)*D43</f>
        <v>1826000</v>
      </c>
      <c r="I44" s="91">
        <f>SUM(D44:G44)</f>
        <v>3868000</v>
      </c>
      <c r="J44" s="92">
        <f>H44+I44</f>
        <v>5694000</v>
      </c>
    </row>
    <row r="45" spans="1:10" ht="15.75" thickBot="1" x14ac:dyDescent="0.3">
      <c r="A45" s="850"/>
      <c r="B45" s="856" t="s">
        <v>31</v>
      </c>
      <c r="C45" s="857"/>
      <c r="D45" s="93">
        <f>+D44</f>
        <v>3393500</v>
      </c>
      <c r="E45" s="94">
        <f t="shared" ref="E45:J45" si="11">+E44</f>
        <v>474500</v>
      </c>
      <c r="F45" s="94">
        <f t="shared" si="11"/>
        <v>0</v>
      </c>
      <c r="G45" s="95">
        <f t="shared" si="11"/>
        <v>0</v>
      </c>
      <c r="H45" s="640">
        <f t="shared" si="11"/>
        <v>1826000</v>
      </c>
      <c r="I45" s="641">
        <f t="shared" si="11"/>
        <v>3868000</v>
      </c>
      <c r="J45" s="642">
        <f t="shared" si="11"/>
        <v>5694000</v>
      </c>
    </row>
    <row r="46" spans="1:10" x14ac:dyDescent="0.25">
      <c r="A46" s="855" t="str">
        <f>+'B) Reajuste Tarifas y Ocupación'!A19</f>
        <v>Cancha</v>
      </c>
      <c r="B46" s="860" t="str">
        <f>+'B) Reajuste Tarifas y Ocupación'!B19</f>
        <v>Arriendo (hora)</v>
      </c>
      <c r="C46" s="50" t="s">
        <v>337</v>
      </c>
      <c r="D46" s="96">
        <f>+'B) Reajuste Tarifas y Ocupación'!J19</f>
        <v>10800</v>
      </c>
      <c r="E46" s="97">
        <f>+'B) Reajuste Tarifas y Ocupación'!K19</f>
        <v>16600</v>
      </c>
      <c r="F46" s="97">
        <f>+'B) Reajuste Tarifas y Ocupación'!L19</f>
        <v>19700</v>
      </c>
      <c r="G46" s="98">
        <f>+'B) Reajuste Tarifas y Ocupación'!M19</f>
        <v>20600</v>
      </c>
      <c r="H46" s="861"/>
      <c r="I46" s="863"/>
      <c r="J46" s="853"/>
    </row>
    <row r="47" spans="1:10" x14ac:dyDescent="0.25">
      <c r="A47" s="849"/>
      <c r="B47" s="842"/>
      <c r="C47" s="83" t="s">
        <v>29</v>
      </c>
      <c r="D47" s="84">
        <f>+'B) Reajuste Tarifas y Ocupación'!U19</f>
        <v>20</v>
      </c>
      <c r="E47" s="85">
        <f>+'B) Reajuste Tarifas y Ocupación'!V19</f>
        <v>10</v>
      </c>
      <c r="F47" s="85">
        <f>+'B) Reajuste Tarifas y Ocupación'!W19</f>
        <v>0</v>
      </c>
      <c r="G47" s="86">
        <f>+'B) Reajuste Tarifas y Ocupación'!X19</f>
        <v>0</v>
      </c>
      <c r="H47" s="862"/>
      <c r="I47" s="864"/>
      <c r="J47" s="840"/>
    </row>
    <row r="48" spans="1:10" x14ac:dyDescent="0.25">
      <c r="A48" s="849"/>
      <c r="B48" s="843"/>
      <c r="C48" s="87" t="s">
        <v>30</v>
      </c>
      <c r="D48" s="88">
        <f>D47*D46</f>
        <v>216000</v>
      </c>
      <c r="E48" s="89">
        <f>E47*E46</f>
        <v>166000</v>
      </c>
      <c r="F48" s="89">
        <f t="shared" ref="F48:G48" si="12">F47*F46</f>
        <v>0</v>
      </c>
      <c r="G48" s="89">
        <f t="shared" si="12"/>
        <v>0</v>
      </c>
      <c r="H48" s="90">
        <f>(E46-D46)*D47</f>
        <v>116000</v>
      </c>
      <c r="I48" s="91">
        <f>SUM(D48:G48)</f>
        <v>382000</v>
      </c>
      <c r="J48" s="92">
        <f>H48+I48</f>
        <v>498000</v>
      </c>
    </row>
    <row r="49" spans="1:10" ht="15.75" thickBot="1" x14ac:dyDescent="0.3">
      <c r="A49" s="850"/>
      <c r="B49" s="856" t="s">
        <v>31</v>
      </c>
      <c r="C49" s="857"/>
      <c r="D49" s="93">
        <f>SUM(D48)</f>
        <v>216000</v>
      </c>
      <c r="E49" s="94">
        <f t="shared" ref="E49:J49" si="13">SUM(E48)</f>
        <v>166000</v>
      </c>
      <c r="F49" s="94">
        <f>SUM(F48)</f>
        <v>0</v>
      </c>
      <c r="G49" s="95">
        <f t="shared" si="13"/>
        <v>0</v>
      </c>
      <c r="H49" s="640">
        <f t="shared" si="13"/>
        <v>116000</v>
      </c>
      <c r="I49" s="641">
        <f t="shared" si="13"/>
        <v>382000</v>
      </c>
      <c r="J49" s="642">
        <f t="shared" si="13"/>
        <v>498000</v>
      </c>
    </row>
  </sheetData>
  <mergeCells count="63">
    <mergeCell ref="A46:A49"/>
    <mergeCell ref="B46:B48"/>
    <mergeCell ref="H46:H47"/>
    <mergeCell ref="I46:I47"/>
    <mergeCell ref="J46:J47"/>
    <mergeCell ref="B49:C49"/>
    <mergeCell ref="I38:I39"/>
    <mergeCell ref="B41:C41"/>
    <mergeCell ref="B42:B44"/>
    <mergeCell ref="H42:H43"/>
    <mergeCell ref="I42:I43"/>
    <mergeCell ref="A32:A41"/>
    <mergeCell ref="B32:B34"/>
    <mergeCell ref="H32:H33"/>
    <mergeCell ref="I32:I33"/>
    <mergeCell ref="J42:J43"/>
    <mergeCell ref="J35:J36"/>
    <mergeCell ref="J38:J39"/>
    <mergeCell ref="A42:A45"/>
    <mergeCell ref="B45:C45"/>
    <mergeCell ref="F35:F36"/>
    <mergeCell ref="G35:G36"/>
    <mergeCell ref="H35:H36"/>
    <mergeCell ref="I35:I36"/>
    <mergeCell ref="B38:B40"/>
    <mergeCell ref="D38:D39"/>
    <mergeCell ref="H38:H39"/>
    <mergeCell ref="I25:I26"/>
    <mergeCell ref="J32:J33"/>
    <mergeCell ref="B35:B37"/>
    <mergeCell ref="C35:C36"/>
    <mergeCell ref="D35:D36"/>
    <mergeCell ref="E35:E36"/>
    <mergeCell ref="B31:C31"/>
    <mergeCell ref="D25:D26"/>
    <mergeCell ref="E25:E26"/>
    <mergeCell ref="F25:F26"/>
    <mergeCell ref="G25:G26"/>
    <mergeCell ref="H25:H26"/>
    <mergeCell ref="H20:H21"/>
    <mergeCell ref="I20:I21"/>
    <mergeCell ref="J20:J21"/>
    <mergeCell ref="A22:A31"/>
    <mergeCell ref="B22:B24"/>
    <mergeCell ref="H22:H23"/>
    <mergeCell ref="I22:I23"/>
    <mergeCell ref="J22:J23"/>
    <mergeCell ref="B25:B27"/>
    <mergeCell ref="C25:C26"/>
    <mergeCell ref="J25:J26"/>
    <mergeCell ref="B28:B30"/>
    <mergeCell ref="D28:D29"/>
    <mergeCell ref="H28:H29"/>
    <mergeCell ref="I28:I29"/>
    <mergeCell ref="J28:J29"/>
    <mergeCell ref="C4:D4"/>
    <mergeCell ref="E4:F4"/>
    <mergeCell ref="A6:D6"/>
    <mergeCell ref="A18:D18"/>
    <mergeCell ref="A20:A21"/>
    <mergeCell ref="B20:B21"/>
    <mergeCell ref="C20:C21"/>
    <mergeCell ref="D20:G20"/>
  </mergeCells>
  <conditionalFormatting sqref="B9:M13">
    <cfRule type="cellIs" dxfId="16" priority="4" stopIfTrue="1" operator="lessThan">
      <formula>0</formula>
    </cfRule>
  </conditionalFormatting>
  <conditionalFormatting sqref="C14:L14 D14:D16 E15:F15 H15:I15 K15:L15 E16:K18">
    <cfRule type="cellIs" dxfId="15" priority="6" stopIfTrue="1" operator="lessThan">
      <formula>0</formula>
    </cfRule>
  </conditionalFormatting>
  <conditionalFormatting sqref="M16">
    <cfRule type="cellIs" dxfId="14" priority="2" operator="lessThan">
      <formula>0</formula>
    </cfRule>
  </conditionalFormatting>
  <conditionalFormatting sqref="M16:N16">
    <cfRule type="cellIs" dxfId="13" priority="3" operator="between">
      <formula>0</formula>
      <formula>1</formula>
    </cfRule>
  </conditionalFormatting>
  <conditionalFormatting sqref="N9:N13">
    <cfRule type="cellIs" dxfId="12" priority="1" operator="lessThan">
      <formula>0</formula>
    </cfRule>
  </conditionalFormatting>
  <hyperlinks>
    <hyperlink ref="A6:D6" location="'Índice Tablas'!A1" display="TABLA 1: RESUMEN DE INGRESOS Y EGRESOS DE CENTROS DE BENEFICIOS" xr:uid="{00000000-0004-0000-0300-000000000000}"/>
    <hyperlink ref="A18:D18" location="'Índice Tablas'!A1" display="TABLA 2: DETALLE DE INGRESOS POR PRESTACIÓN Y SEGMENTO" xr:uid="{00000000-0004-0000-0300-00000100000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92D050"/>
  </sheetPr>
  <dimension ref="A1:Y33"/>
  <sheetViews>
    <sheetView showGridLines="0" zoomScale="90" zoomScaleNormal="90" workbookViewId="0">
      <pane xSplit="2" ySplit="11" topLeftCell="J12" activePane="bottomRight" state="frozen"/>
      <selection pane="topRight" activeCell="C1" sqref="C1"/>
      <selection pane="bottomLeft" activeCell="A12" sqref="A12"/>
      <selection pane="bottomRight" activeCell="T27" sqref="T27"/>
    </sheetView>
  </sheetViews>
  <sheetFormatPr baseColWidth="10" defaultRowHeight="15" x14ac:dyDescent="0.25"/>
  <cols>
    <col min="1" max="1" width="28" customWidth="1"/>
    <col min="2" max="2" width="20.5703125" customWidth="1"/>
    <col min="3" max="3" width="9.5703125" bestFit="1" customWidth="1"/>
    <col min="4" max="5" width="13.5703125" bestFit="1" customWidth="1"/>
    <col min="6" max="6" width="13.85546875" customWidth="1"/>
    <col min="7" max="9" width="13.5703125" bestFit="1" customWidth="1"/>
    <col min="10" max="10" width="9.5703125" bestFit="1" customWidth="1"/>
    <col min="11" max="13" width="13.5703125" bestFit="1" customWidth="1"/>
    <col min="14" max="17" width="12.7109375" customWidth="1"/>
    <col min="18" max="18" width="11.85546875" customWidth="1"/>
    <col min="19" max="19" width="21" bestFit="1" customWidth="1"/>
    <col min="20" max="20" width="38.28515625" customWidth="1"/>
    <col min="22" max="24" width="13.42578125" bestFit="1" customWidth="1"/>
    <col min="25" max="25" width="19.42578125" bestFit="1" customWidth="1"/>
  </cols>
  <sheetData>
    <row r="1" spans="1:25" x14ac:dyDescent="0.25">
      <c r="A1" s="741"/>
      <c r="B1" s="742"/>
      <c r="C1" s="742"/>
      <c r="D1" s="742"/>
      <c r="E1" s="742"/>
      <c r="F1" s="743"/>
      <c r="G1" s="742"/>
      <c r="H1" s="742"/>
      <c r="I1" s="742"/>
      <c r="J1" s="742"/>
      <c r="K1" s="741"/>
      <c r="L1" s="742"/>
      <c r="M1" s="742"/>
      <c r="N1" s="742"/>
      <c r="O1" s="742"/>
      <c r="P1" s="742"/>
      <c r="Q1" s="742"/>
      <c r="R1" s="742"/>
      <c r="S1" s="742"/>
      <c r="T1" s="742"/>
      <c r="U1" s="742"/>
      <c r="V1" s="742"/>
      <c r="W1" s="742"/>
      <c r="X1" s="742"/>
      <c r="Y1" s="742"/>
    </row>
    <row r="2" spans="1:25" x14ac:dyDescent="0.25">
      <c r="A2" s="744"/>
      <c r="B2" s="742"/>
      <c r="C2" s="742"/>
      <c r="D2" s="742"/>
      <c r="E2" s="742"/>
      <c r="F2" s="743" t="s">
        <v>32</v>
      </c>
      <c r="G2" s="742"/>
      <c r="H2" s="742"/>
      <c r="I2" s="742"/>
      <c r="J2" s="742"/>
      <c r="K2" s="744"/>
      <c r="L2" s="742"/>
      <c r="M2" s="742"/>
      <c r="N2" s="742"/>
      <c r="O2" s="742"/>
      <c r="P2" s="742"/>
      <c r="Q2" s="742"/>
      <c r="R2" s="742"/>
      <c r="S2" s="742"/>
      <c r="T2" s="742"/>
      <c r="U2" s="742"/>
      <c r="V2" s="742"/>
      <c r="W2" s="742"/>
      <c r="X2" s="742"/>
      <c r="Y2" s="742"/>
    </row>
    <row r="3" spans="1:25" x14ac:dyDescent="0.25">
      <c r="A3" s="5"/>
      <c r="B3" s="742"/>
      <c r="C3" s="742"/>
      <c r="D3" s="742"/>
      <c r="E3" s="742"/>
      <c r="F3" s="742"/>
      <c r="G3" s="742"/>
      <c r="H3" s="742"/>
      <c r="I3" s="742"/>
      <c r="J3" s="742"/>
      <c r="K3" s="5"/>
      <c r="L3" s="745"/>
      <c r="M3" s="742"/>
      <c r="N3" s="742"/>
      <c r="O3" s="742"/>
      <c r="P3" s="742"/>
      <c r="Q3" s="742"/>
      <c r="R3" s="742"/>
      <c r="S3" s="742"/>
      <c r="T3" s="742"/>
      <c r="U3" s="742"/>
      <c r="V3" s="742"/>
      <c r="W3" s="742"/>
      <c r="X3" s="742"/>
      <c r="Y3" s="742"/>
    </row>
    <row r="4" spans="1:25" ht="15.75" thickBot="1" x14ac:dyDescent="0.3">
      <c r="A4" s="5"/>
      <c r="B4" s="746"/>
      <c r="C4" s="746"/>
      <c r="D4" s="742"/>
      <c r="E4" s="742"/>
      <c r="F4" s="742"/>
      <c r="G4" s="742"/>
      <c r="H4" s="742"/>
      <c r="I4" s="742"/>
      <c r="J4" s="742"/>
      <c r="K4" s="5"/>
      <c r="L4" s="746"/>
      <c r="M4" s="742"/>
      <c r="N4" s="742"/>
      <c r="O4" s="742"/>
      <c r="P4" s="742"/>
      <c r="Q4" s="742"/>
      <c r="R4" s="742"/>
      <c r="S4" s="742"/>
      <c r="T4" s="742"/>
      <c r="U4" s="742"/>
      <c r="V4" s="742"/>
      <c r="W4" s="742"/>
      <c r="X4" s="742"/>
      <c r="Y4" s="742"/>
    </row>
    <row r="5" spans="1:25" ht="15.75" thickBot="1" x14ac:dyDescent="0.3">
      <c r="A5" s="5"/>
      <c r="B5" s="746"/>
      <c r="C5" s="746"/>
      <c r="D5" s="865" t="s">
        <v>1</v>
      </c>
      <c r="E5" s="866"/>
      <c r="F5" s="867" t="s">
        <v>33</v>
      </c>
      <c r="G5" s="868"/>
      <c r="H5" s="743"/>
      <c r="I5" s="743"/>
      <c r="J5" s="743"/>
      <c r="K5" s="5"/>
      <c r="L5" s="745"/>
      <c r="M5" s="742"/>
      <c r="N5" s="742"/>
      <c r="O5" s="742"/>
      <c r="P5" s="742"/>
      <c r="Q5" s="742"/>
      <c r="R5" s="742"/>
      <c r="S5" s="7"/>
      <c r="T5" s="742"/>
      <c r="U5" s="742"/>
      <c r="V5" s="742"/>
      <c r="W5" s="742"/>
      <c r="X5" s="742"/>
      <c r="Y5" s="742"/>
    </row>
    <row r="6" spans="1:25" x14ac:dyDescent="0.25">
      <c r="A6" s="5"/>
      <c r="B6" s="746"/>
      <c r="C6" s="746"/>
      <c r="D6" s="747"/>
      <c r="E6" s="747"/>
      <c r="F6" s="743"/>
      <c r="G6" s="743"/>
      <c r="H6" s="743"/>
      <c r="I6" s="743"/>
      <c r="J6" s="743"/>
      <c r="K6" s="5"/>
      <c r="L6" s="746"/>
      <c r="M6" s="742"/>
      <c r="N6" s="742"/>
      <c r="O6" s="742"/>
      <c r="P6" s="742"/>
      <c r="Q6" s="742"/>
      <c r="R6" s="742"/>
      <c r="S6" s="7"/>
      <c r="T6" s="742"/>
      <c r="U6" s="742"/>
      <c r="V6" s="742"/>
      <c r="W6" s="742"/>
      <c r="X6" s="742"/>
      <c r="Y6" s="742"/>
    </row>
    <row r="7" spans="1:25" x14ac:dyDescent="0.25">
      <c r="A7" s="5"/>
      <c r="B7" s="746"/>
      <c r="C7" s="746"/>
      <c r="D7" s="747"/>
      <c r="E7" s="747"/>
      <c r="F7" s="743"/>
      <c r="G7" s="743"/>
      <c r="H7" s="743"/>
      <c r="I7" s="743"/>
      <c r="J7" s="743"/>
      <c r="K7" s="5"/>
      <c r="L7" s="746"/>
      <c r="M7" s="742"/>
      <c r="N7" s="742"/>
      <c r="O7" s="742"/>
      <c r="P7" s="742"/>
      <c r="Q7" s="742"/>
      <c r="R7" s="742"/>
      <c r="S7" s="99"/>
      <c r="T7" s="742"/>
      <c r="U7" s="742"/>
      <c r="V7" s="742"/>
      <c r="W7" s="742"/>
      <c r="X7" s="742"/>
      <c r="Y7" s="742"/>
    </row>
    <row r="8" spans="1:25" x14ac:dyDescent="0.25">
      <c r="A8" s="869" t="s">
        <v>34</v>
      </c>
      <c r="B8" s="869"/>
      <c r="C8" s="869"/>
      <c r="D8" s="748"/>
      <c r="E8" s="743"/>
      <c r="F8" s="743"/>
      <c r="G8" s="742"/>
      <c r="H8" s="742"/>
      <c r="I8" s="742"/>
      <c r="J8" s="742"/>
      <c r="K8" s="742"/>
      <c r="L8" s="548"/>
      <c r="M8" s="742"/>
      <c r="N8" s="742"/>
      <c r="O8" s="742"/>
      <c r="P8" s="742"/>
      <c r="Q8" s="742"/>
      <c r="R8" s="742"/>
      <c r="S8" s="869" t="s">
        <v>35</v>
      </c>
      <c r="T8" s="869"/>
      <c r="U8" s="869"/>
      <c r="V8" s="100"/>
      <c r="W8" s="742"/>
      <c r="X8" s="742"/>
      <c r="Y8" s="742"/>
    </row>
    <row r="9" spans="1:25" ht="15.75" thickBot="1" x14ac:dyDescent="0.3"/>
    <row r="10" spans="1:25" ht="15.75" customHeight="1" x14ac:dyDescent="0.25">
      <c r="A10" s="870" t="s">
        <v>3</v>
      </c>
      <c r="B10" s="872" t="s">
        <v>21</v>
      </c>
      <c r="C10" s="874" t="s">
        <v>338</v>
      </c>
      <c r="D10" s="875"/>
      <c r="E10" s="875"/>
      <c r="F10" s="876"/>
      <c r="G10" s="877" t="s">
        <v>36</v>
      </c>
      <c r="H10" s="878"/>
      <c r="I10" s="879"/>
      <c r="J10" s="874" t="s">
        <v>339</v>
      </c>
      <c r="K10" s="875"/>
      <c r="L10" s="875"/>
      <c r="M10" s="876"/>
      <c r="N10" s="887" t="s">
        <v>331</v>
      </c>
      <c r="O10" s="888"/>
      <c r="P10" s="888"/>
      <c r="Q10" s="889"/>
      <c r="R10" s="749"/>
      <c r="S10" s="880" t="s">
        <v>20</v>
      </c>
      <c r="T10" s="882" t="s">
        <v>21</v>
      </c>
      <c r="U10" s="884" t="s">
        <v>344</v>
      </c>
      <c r="V10" s="885"/>
      <c r="W10" s="885"/>
      <c r="X10" s="886"/>
      <c r="Y10" s="890" t="s">
        <v>38</v>
      </c>
    </row>
    <row r="11" spans="1:25" ht="30.75" thickBot="1" x14ac:dyDescent="0.3">
      <c r="A11" s="871"/>
      <c r="B11" s="873"/>
      <c r="C11" s="750" t="s">
        <v>39</v>
      </c>
      <c r="D11" s="751" t="s">
        <v>26</v>
      </c>
      <c r="E11" s="751" t="s">
        <v>27</v>
      </c>
      <c r="F11" s="752" t="s">
        <v>28</v>
      </c>
      <c r="G11" s="753" t="s">
        <v>26</v>
      </c>
      <c r="H11" s="754" t="s">
        <v>27</v>
      </c>
      <c r="I11" s="755" t="s">
        <v>28</v>
      </c>
      <c r="J11" s="750" t="s">
        <v>39</v>
      </c>
      <c r="K11" s="751" t="s">
        <v>26</v>
      </c>
      <c r="L11" s="751" t="s">
        <v>27</v>
      </c>
      <c r="M11" s="752" t="s">
        <v>28</v>
      </c>
      <c r="N11" s="756" t="s">
        <v>39</v>
      </c>
      <c r="O11" s="757" t="s">
        <v>332</v>
      </c>
      <c r="P11" s="757" t="s">
        <v>333</v>
      </c>
      <c r="Q11" s="758" t="s">
        <v>334</v>
      </c>
      <c r="R11" s="749"/>
      <c r="S11" s="881"/>
      <c r="T11" s="883"/>
      <c r="U11" s="759" t="s">
        <v>25</v>
      </c>
      <c r="V11" s="760" t="s">
        <v>26</v>
      </c>
      <c r="W11" s="760" t="s">
        <v>27</v>
      </c>
      <c r="X11" s="761" t="s">
        <v>28</v>
      </c>
      <c r="Y11" s="891"/>
    </row>
    <row r="12" spans="1:25" x14ac:dyDescent="0.25">
      <c r="A12" s="892" t="s">
        <v>40</v>
      </c>
      <c r="B12" s="101" t="s">
        <v>41</v>
      </c>
      <c r="C12" s="522">
        <v>52300</v>
      </c>
      <c r="D12" s="102">
        <v>80400</v>
      </c>
      <c r="E12" s="102">
        <v>95600</v>
      </c>
      <c r="F12" s="549">
        <v>100200</v>
      </c>
      <c r="G12" s="770">
        <v>4.4999999999999998E-2</v>
      </c>
      <c r="H12" s="771">
        <v>4.4999999999999998E-2</v>
      </c>
      <c r="I12" s="772">
        <v>4.4999999999999998E-2</v>
      </c>
      <c r="J12" s="522">
        <f>IF(OR(C12=0,C12=""),0,CEILING(K12*0.65,100))</f>
        <v>54700</v>
      </c>
      <c r="K12" s="102">
        <f>CEILING($D12*(1+$G12),100)</f>
        <v>84100</v>
      </c>
      <c r="L12" s="102">
        <f>CEILING($E12*(1+$H12),100)</f>
        <v>100000</v>
      </c>
      <c r="M12" s="523">
        <f>CEILING($F12*(1+$I12),100)</f>
        <v>104800</v>
      </c>
      <c r="N12" s="522">
        <f>J12-C12</f>
        <v>2400</v>
      </c>
      <c r="O12" s="102">
        <f t="shared" ref="O12:Q12" si="0">K12-D12</f>
        <v>3700</v>
      </c>
      <c r="P12" s="102">
        <f t="shared" si="0"/>
        <v>4400</v>
      </c>
      <c r="Q12" s="523">
        <f t="shared" si="0"/>
        <v>4600</v>
      </c>
      <c r="R12" s="103"/>
      <c r="S12" s="895" t="str">
        <f>+A12</f>
        <v>Cabaña Chinquihue</v>
      </c>
      <c r="T12" s="727" t="str">
        <f>+B12</f>
        <v>Cabaña</v>
      </c>
      <c r="U12" s="532">
        <v>700</v>
      </c>
      <c r="V12" s="104">
        <v>10</v>
      </c>
      <c r="W12" s="104">
        <v>4</v>
      </c>
      <c r="X12" s="535"/>
      <c r="Y12" s="762">
        <f>SUM(U12:X12)</f>
        <v>714</v>
      </c>
    </row>
    <row r="13" spans="1:25" x14ac:dyDescent="0.25">
      <c r="A13" s="893"/>
      <c r="B13" s="728" t="s">
        <v>42</v>
      </c>
      <c r="C13" s="898"/>
      <c r="D13" s="899"/>
      <c r="E13" s="899"/>
      <c r="F13" s="900"/>
      <c r="G13" s="904"/>
      <c r="H13" s="905"/>
      <c r="I13" s="906"/>
      <c r="J13" s="901"/>
      <c r="K13" s="902"/>
      <c r="L13" s="902"/>
      <c r="M13" s="903"/>
      <c r="N13" s="901"/>
      <c r="O13" s="902"/>
      <c r="P13" s="902"/>
      <c r="Q13" s="903"/>
      <c r="R13" s="103"/>
      <c r="S13" s="896"/>
      <c r="T13" s="729" t="str">
        <f>+B13</f>
        <v>Early check-in/Late check-out</v>
      </c>
      <c r="U13" s="533"/>
      <c r="V13" s="105"/>
      <c r="W13" s="105"/>
      <c r="X13" s="536"/>
      <c r="Y13" s="763"/>
    </row>
    <row r="14" spans="1:25" ht="15.75" thickBot="1" x14ac:dyDescent="0.3">
      <c r="A14" s="894"/>
      <c r="B14" s="730" t="s">
        <v>41</v>
      </c>
      <c r="C14" s="550"/>
      <c r="D14" s="106">
        <v>24200</v>
      </c>
      <c r="E14" s="106">
        <v>28700</v>
      </c>
      <c r="F14" s="551">
        <v>30100</v>
      </c>
      <c r="G14" s="904"/>
      <c r="H14" s="905"/>
      <c r="I14" s="906"/>
      <c r="J14" s="550"/>
      <c r="K14" s="106">
        <f>CEILING(K12*0.3,100)</f>
        <v>25300</v>
      </c>
      <c r="L14" s="106">
        <f>CEILING(L12*0.3,100)</f>
        <v>30000</v>
      </c>
      <c r="M14" s="524">
        <f>CEILING(M12*0.3,100)</f>
        <v>31500</v>
      </c>
      <c r="N14" s="550"/>
      <c r="O14" s="106">
        <f t="shared" ref="O14:O19" si="1">K14-D14</f>
        <v>1100</v>
      </c>
      <c r="P14" s="106">
        <f t="shared" ref="P14:P19" si="2">L14-E14</f>
        <v>1300</v>
      </c>
      <c r="Q14" s="524">
        <f t="shared" ref="Q14:Q19" si="3">M14-F14</f>
        <v>1400</v>
      </c>
      <c r="R14" s="103"/>
      <c r="S14" s="897"/>
      <c r="T14" s="731" t="str">
        <f>+B14</f>
        <v>Cabaña</v>
      </c>
      <c r="U14" s="533"/>
      <c r="V14" s="107"/>
      <c r="W14" s="107"/>
      <c r="X14" s="537"/>
      <c r="Y14" s="764">
        <f t="shared" ref="Y14" si="4">SUM(U14:X14)</f>
        <v>0</v>
      </c>
    </row>
    <row r="15" spans="1:25" ht="15.75" thickBot="1" x14ac:dyDescent="0.3">
      <c r="A15" s="907" t="s">
        <v>43</v>
      </c>
      <c r="B15" s="732" t="s">
        <v>41</v>
      </c>
      <c r="C15" s="528">
        <v>40000</v>
      </c>
      <c r="D15" s="113">
        <v>61400</v>
      </c>
      <c r="E15" s="113">
        <v>73000</v>
      </c>
      <c r="F15" s="529">
        <v>76500</v>
      </c>
      <c r="G15" s="770">
        <v>4.4999999999999998E-2</v>
      </c>
      <c r="H15" s="771">
        <v>4.4999999999999998E-2</v>
      </c>
      <c r="I15" s="772">
        <v>4.4999999999999998E-2</v>
      </c>
      <c r="J15" s="528">
        <f t="shared" ref="J15:J19" si="5">IF(OR(C15=0,C15=""),0,CEILING(K15*0.65,100))</f>
        <v>41800</v>
      </c>
      <c r="K15" s="113">
        <f t="shared" ref="K15:K19" si="6">CEILING($D15*(1+$G15),100)</f>
        <v>64200</v>
      </c>
      <c r="L15" s="113">
        <f t="shared" ref="L15:L19" si="7">CEILING($E15*(1+$H15),100)</f>
        <v>76300</v>
      </c>
      <c r="M15" s="529">
        <f t="shared" ref="M15:M19" si="8">CEILING($F15*(1+$I15),100)</f>
        <v>80000</v>
      </c>
      <c r="N15" s="528">
        <f t="shared" ref="N15:N19" si="9">J15-C15</f>
        <v>1800</v>
      </c>
      <c r="O15" s="113">
        <f t="shared" si="1"/>
        <v>2800</v>
      </c>
      <c r="P15" s="113">
        <f t="shared" si="2"/>
        <v>3300</v>
      </c>
      <c r="Q15" s="529">
        <f t="shared" si="3"/>
        <v>3500</v>
      </c>
      <c r="R15" s="103"/>
      <c r="S15" s="895" t="str">
        <f>+A15</f>
        <v>Cabañas Moraleda</v>
      </c>
      <c r="T15" s="727" t="str">
        <f t="shared" ref="T15:T18" si="10">+B15</f>
        <v>Cabaña</v>
      </c>
      <c r="U15" s="532">
        <v>380</v>
      </c>
      <c r="V15" s="104">
        <v>6</v>
      </c>
      <c r="W15" s="104">
        <v>2</v>
      </c>
      <c r="X15" s="535"/>
      <c r="Y15" s="762">
        <f>SUM(U15:X15)</f>
        <v>388</v>
      </c>
    </row>
    <row r="16" spans="1:25" x14ac:dyDescent="0.25">
      <c r="A16" s="908"/>
      <c r="B16" s="108" t="s">
        <v>42</v>
      </c>
      <c r="C16" s="911"/>
      <c r="D16" s="912"/>
      <c r="E16" s="912"/>
      <c r="F16" s="913"/>
      <c r="G16" s="914"/>
      <c r="H16" s="915"/>
      <c r="I16" s="916"/>
      <c r="J16" s="911"/>
      <c r="K16" s="912"/>
      <c r="L16" s="912"/>
      <c r="M16" s="913"/>
      <c r="N16" s="911"/>
      <c r="O16" s="912"/>
      <c r="P16" s="912"/>
      <c r="Q16" s="913"/>
      <c r="R16" s="103"/>
      <c r="S16" s="896"/>
      <c r="T16" s="729" t="str">
        <f t="shared" si="10"/>
        <v>Early check-in/Late check-out</v>
      </c>
      <c r="U16" s="533"/>
      <c r="V16" s="105"/>
      <c r="W16" s="105"/>
      <c r="X16" s="536"/>
      <c r="Y16" s="763"/>
    </row>
    <row r="17" spans="1:25" ht="15.75" thickBot="1" x14ac:dyDescent="0.3">
      <c r="A17" s="909"/>
      <c r="B17" s="733" t="s">
        <v>44</v>
      </c>
      <c r="C17" s="552"/>
      <c r="D17" s="553">
        <v>18500</v>
      </c>
      <c r="E17" s="553">
        <v>21900</v>
      </c>
      <c r="F17" s="554">
        <v>23000</v>
      </c>
      <c r="G17" s="917"/>
      <c r="H17" s="918"/>
      <c r="I17" s="919"/>
      <c r="J17" s="555"/>
      <c r="K17" s="526">
        <f>CEILING(K15*0.3,100)</f>
        <v>19300</v>
      </c>
      <c r="L17" s="526">
        <f>CEILING(L15*0.3,100)</f>
        <v>22900</v>
      </c>
      <c r="M17" s="527">
        <f>CEILING(M15*0.3,100)</f>
        <v>24000</v>
      </c>
      <c r="N17" s="555"/>
      <c r="O17" s="526">
        <f t="shared" si="1"/>
        <v>800</v>
      </c>
      <c r="P17" s="526">
        <f t="shared" si="2"/>
        <v>1000</v>
      </c>
      <c r="Q17" s="527">
        <f t="shared" si="3"/>
        <v>1000</v>
      </c>
      <c r="R17" s="103"/>
      <c r="S17" s="910"/>
      <c r="T17" s="734" t="str">
        <f t="shared" si="10"/>
        <v xml:space="preserve">Cabaña </v>
      </c>
      <c r="U17" s="533"/>
      <c r="V17" s="110"/>
      <c r="W17" s="110"/>
      <c r="X17" s="538"/>
      <c r="Y17" s="765">
        <f t="shared" ref="Y17" si="11">SUM(U17:X17)</f>
        <v>0</v>
      </c>
    </row>
    <row r="18" spans="1:25" ht="15.75" thickBot="1" x14ac:dyDescent="0.3">
      <c r="A18" s="735" t="s">
        <v>45</v>
      </c>
      <c r="B18" s="112" t="s">
        <v>46</v>
      </c>
      <c r="C18" s="528">
        <v>59100</v>
      </c>
      <c r="D18" s="113">
        <v>90800</v>
      </c>
      <c r="E18" s="113">
        <v>108000</v>
      </c>
      <c r="F18" s="556">
        <v>113100</v>
      </c>
      <c r="G18" s="770">
        <v>4.4999999999999998E-2</v>
      </c>
      <c r="H18" s="771">
        <v>4.4999999999999998E-2</v>
      </c>
      <c r="I18" s="772">
        <v>4.4999999999999998E-2</v>
      </c>
      <c r="J18" s="528">
        <f t="shared" si="5"/>
        <v>61700</v>
      </c>
      <c r="K18" s="113">
        <f t="shared" si="6"/>
        <v>94900</v>
      </c>
      <c r="L18" s="113">
        <f t="shared" si="7"/>
        <v>112900</v>
      </c>
      <c r="M18" s="529">
        <f t="shared" si="8"/>
        <v>118200</v>
      </c>
      <c r="N18" s="528">
        <f t="shared" si="9"/>
        <v>2600</v>
      </c>
      <c r="O18" s="113">
        <f t="shared" si="1"/>
        <v>4100</v>
      </c>
      <c r="P18" s="113">
        <f t="shared" si="2"/>
        <v>4900</v>
      </c>
      <c r="Q18" s="529">
        <f t="shared" si="3"/>
        <v>5100</v>
      </c>
      <c r="R18" s="103"/>
      <c r="S18" s="736" t="str">
        <f>+A18</f>
        <v>Quincho</v>
      </c>
      <c r="T18" s="737" t="str">
        <f t="shared" si="10"/>
        <v xml:space="preserve">Arriendo </v>
      </c>
      <c r="U18" s="534">
        <v>55</v>
      </c>
      <c r="V18" s="114">
        <v>5</v>
      </c>
      <c r="W18" s="114"/>
      <c r="X18" s="539"/>
      <c r="Y18" s="766">
        <f>SUM(U18:X18)</f>
        <v>60</v>
      </c>
    </row>
    <row r="19" spans="1:25" ht="15.75" thickBot="1" x14ac:dyDescent="0.3">
      <c r="A19" s="738" t="s">
        <v>47</v>
      </c>
      <c r="B19" s="116" t="s">
        <v>48</v>
      </c>
      <c r="C19" s="530">
        <v>10300</v>
      </c>
      <c r="D19" s="117">
        <v>15800</v>
      </c>
      <c r="E19" s="117">
        <v>18800</v>
      </c>
      <c r="F19" s="557">
        <v>19700</v>
      </c>
      <c r="G19" s="773">
        <v>4.4999999999999998E-2</v>
      </c>
      <c r="H19" s="774">
        <v>4.4999999999999998E-2</v>
      </c>
      <c r="I19" s="775">
        <v>4.4999999999999998E-2</v>
      </c>
      <c r="J19" s="530">
        <f t="shared" si="5"/>
        <v>10800</v>
      </c>
      <c r="K19" s="117">
        <f t="shared" si="6"/>
        <v>16600</v>
      </c>
      <c r="L19" s="117">
        <f t="shared" si="7"/>
        <v>19700</v>
      </c>
      <c r="M19" s="531">
        <f t="shared" si="8"/>
        <v>20600</v>
      </c>
      <c r="N19" s="530">
        <f t="shared" si="9"/>
        <v>500</v>
      </c>
      <c r="O19" s="117">
        <f t="shared" si="1"/>
        <v>800</v>
      </c>
      <c r="P19" s="117">
        <f t="shared" si="2"/>
        <v>900</v>
      </c>
      <c r="Q19" s="531">
        <f t="shared" si="3"/>
        <v>900</v>
      </c>
      <c r="R19" s="103"/>
      <c r="S19" s="736" t="str">
        <f>+A19</f>
        <v>Cancha</v>
      </c>
      <c r="T19" s="737" t="str">
        <f>+B19</f>
        <v>Arriendo (hora)</v>
      </c>
      <c r="U19" s="534">
        <v>20</v>
      </c>
      <c r="V19" s="114">
        <v>10</v>
      </c>
      <c r="W19" s="114"/>
      <c r="X19" s="539"/>
      <c r="Y19" s="766">
        <f>SUM(U19:X19)</f>
        <v>30</v>
      </c>
    </row>
    <row r="25" spans="1:25" x14ac:dyDescent="0.25">
      <c r="E25" s="739"/>
    </row>
    <row r="26" spans="1:25" x14ac:dyDescent="0.25">
      <c r="C26" s="431"/>
      <c r="D26" s="431"/>
      <c r="E26" s="431"/>
      <c r="F26" s="431"/>
    </row>
    <row r="27" spans="1:25" x14ac:dyDescent="0.25">
      <c r="C27" s="431"/>
      <c r="D27" s="431"/>
      <c r="E27" s="431"/>
      <c r="F27" s="431"/>
    </row>
    <row r="28" spans="1:25" x14ac:dyDescent="0.25">
      <c r="C28" s="431"/>
      <c r="D28" s="431"/>
      <c r="E28" s="431"/>
      <c r="F28" s="431"/>
      <c r="G28" s="740"/>
      <c r="H28" s="740"/>
      <c r="I28" s="740"/>
    </row>
    <row r="29" spans="1:25" x14ac:dyDescent="0.25">
      <c r="C29" s="431"/>
      <c r="D29" s="431"/>
      <c r="E29" s="431"/>
      <c r="F29" s="431"/>
      <c r="G29" s="740"/>
      <c r="H29" s="740"/>
      <c r="I29" s="740"/>
    </row>
    <row r="30" spans="1:25" x14ac:dyDescent="0.25">
      <c r="C30" s="431"/>
      <c r="D30" s="431"/>
      <c r="E30" s="431"/>
      <c r="F30" s="431"/>
      <c r="G30" s="740"/>
      <c r="H30" s="740"/>
      <c r="I30" s="740"/>
    </row>
    <row r="31" spans="1:25" x14ac:dyDescent="0.25">
      <c r="C31" s="431"/>
      <c r="D31" s="431"/>
      <c r="E31" s="431"/>
      <c r="F31" s="431"/>
    </row>
    <row r="32" spans="1:25" x14ac:dyDescent="0.25">
      <c r="C32" s="431"/>
      <c r="D32" s="431"/>
      <c r="E32" s="431"/>
      <c r="F32" s="431"/>
    </row>
    <row r="33" spans="3:6" x14ac:dyDescent="0.25">
      <c r="C33" s="431"/>
      <c r="D33" s="431"/>
      <c r="E33" s="431"/>
      <c r="F33" s="431"/>
    </row>
  </sheetData>
  <sheetProtection algorithmName="SHA-512" hashValue="YeYd5kMPEuAyiulCiaXjtH0wHHW8obuo79eh9QpGrMfT6ttu1bg8GWUyNYAjogk27Tk5Hly6E5CAerEl2zkeBw==" saltValue="Son6S8CfluFN0LYfTJ15AA==" spinCount="100000" sheet="1" objects="1" scenarios="1"/>
  <mergeCells count="27">
    <mergeCell ref="A15:A17"/>
    <mergeCell ref="S15:S17"/>
    <mergeCell ref="C16:F16"/>
    <mergeCell ref="G16:I17"/>
    <mergeCell ref="J16:M16"/>
    <mergeCell ref="N16:Q16"/>
    <mergeCell ref="Y10:Y11"/>
    <mergeCell ref="A12:A14"/>
    <mergeCell ref="S12:S14"/>
    <mergeCell ref="C13:F13"/>
    <mergeCell ref="J13:M13"/>
    <mergeCell ref="G13:I13"/>
    <mergeCell ref="G14:I14"/>
    <mergeCell ref="N13:Q13"/>
    <mergeCell ref="D5:E5"/>
    <mergeCell ref="F5:G5"/>
    <mergeCell ref="A8:C8"/>
    <mergeCell ref="S8:U8"/>
    <mergeCell ref="A10:A11"/>
    <mergeCell ref="B10:B11"/>
    <mergeCell ref="C10:F10"/>
    <mergeCell ref="G10:I10"/>
    <mergeCell ref="J10:M10"/>
    <mergeCell ref="S10:S11"/>
    <mergeCell ref="T10:T11"/>
    <mergeCell ref="U10:X10"/>
    <mergeCell ref="N10:Q10"/>
  </mergeCells>
  <hyperlinks>
    <hyperlink ref="A8:C8" location="'Índice Tablas'!A1" display="TABLA 3: REAJUSTE DE TARIFAS POR PRESTACIÓN Y SEGMENTO" xr:uid="{00000000-0004-0000-0400-000000000000}"/>
    <hyperlink ref="S8:U8" location="'Índice Tablas'!A1" display="TABLA 4: METAS DE OCUPACIÓN POR PRESTACIÓN Y SEGMENTO" xr:uid="{00000000-0004-0000-0400-000001000000}"/>
  </hyperlinks>
  <pageMargins left="0.7" right="0.7" top="0.75" bottom="0.75" header="0.3" footer="0.3"/>
  <pageSetup paperSize="11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BEA29-BA54-4ACE-97A2-CA9E34A32BF5}">
  <dimension ref="A3:L12"/>
  <sheetViews>
    <sheetView workbookViewId="0">
      <selection activeCell="D16" sqref="D16"/>
    </sheetView>
  </sheetViews>
  <sheetFormatPr baseColWidth="10" defaultRowHeight="15" x14ac:dyDescent="0.25"/>
  <cols>
    <col min="1" max="1" width="18.7109375" bestFit="1" customWidth="1"/>
    <col min="2" max="2" width="27.28515625" bestFit="1" customWidth="1"/>
    <col min="3" max="3" width="11.7109375" bestFit="1" customWidth="1"/>
    <col min="9" max="10" width="11.85546875" bestFit="1" customWidth="1"/>
    <col min="12" max="12" width="11.85546875" bestFit="1" customWidth="1"/>
  </cols>
  <sheetData>
    <row r="3" spans="1:12" x14ac:dyDescent="0.25">
      <c r="A3" t="s">
        <v>3</v>
      </c>
      <c r="B3" t="s">
        <v>21</v>
      </c>
      <c r="C3" s="920" t="s">
        <v>345</v>
      </c>
      <c r="D3" s="920"/>
      <c r="E3" s="920"/>
      <c r="F3" s="920"/>
    </row>
    <row r="4" spans="1:12" x14ac:dyDescent="0.25">
      <c r="C4" s="444" t="s">
        <v>25</v>
      </c>
      <c r="D4" s="444" t="s">
        <v>167</v>
      </c>
      <c r="E4" s="444" t="s">
        <v>168</v>
      </c>
      <c r="F4" s="444" t="s">
        <v>169</v>
      </c>
      <c r="H4">
        <v>1.19</v>
      </c>
    </row>
    <row r="5" spans="1:12" x14ac:dyDescent="0.25">
      <c r="A5" t="s">
        <v>40</v>
      </c>
      <c r="B5" t="s">
        <v>41</v>
      </c>
      <c r="C5" s="431">
        <v>54700</v>
      </c>
      <c r="D5" s="431">
        <v>84100</v>
      </c>
      <c r="E5" s="431">
        <v>100000</v>
      </c>
      <c r="F5" s="431">
        <v>104800</v>
      </c>
      <c r="H5" s="481">
        <f>E5/$H$4</f>
        <v>84033.613445378156</v>
      </c>
      <c r="I5" s="481">
        <f>F5/$H$4</f>
        <v>88067.226890756312</v>
      </c>
      <c r="K5" t="b">
        <f>H5&gt;D5</f>
        <v>0</v>
      </c>
      <c r="L5" t="b">
        <f>I5&gt;D5</f>
        <v>1</v>
      </c>
    </row>
    <row r="6" spans="1:12" x14ac:dyDescent="0.25">
      <c r="B6" t="s">
        <v>42</v>
      </c>
      <c r="C6" s="431"/>
      <c r="D6" s="431"/>
      <c r="E6" s="431"/>
      <c r="F6" s="431"/>
      <c r="H6" s="481"/>
      <c r="I6" s="481"/>
    </row>
    <row r="7" spans="1:12" x14ac:dyDescent="0.25">
      <c r="B7" t="s">
        <v>41</v>
      </c>
      <c r="C7" s="431"/>
      <c r="D7" s="431">
        <v>25300</v>
      </c>
      <c r="E7" s="431">
        <v>30000</v>
      </c>
      <c r="F7" s="431">
        <v>31500</v>
      </c>
      <c r="H7" s="481">
        <f t="shared" ref="H7:H12" si="0">E7/$H$4</f>
        <v>25210.084033613446</v>
      </c>
      <c r="I7" s="481">
        <f t="shared" ref="I7:I12" si="1">F7/$H$4</f>
        <v>26470.588235294119</v>
      </c>
      <c r="K7" t="b">
        <f t="shared" ref="K7:K12" si="2">H7&gt;D7</f>
        <v>0</v>
      </c>
      <c r="L7" t="b">
        <f t="shared" ref="L7:L12" si="3">I7&gt;D7</f>
        <v>1</v>
      </c>
    </row>
    <row r="8" spans="1:12" x14ac:dyDescent="0.25">
      <c r="A8" t="s">
        <v>43</v>
      </c>
      <c r="B8" t="s">
        <v>41</v>
      </c>
      <c r="C8" s="431">
        <v>41800</v>
      </c>
      <c r="D8" s="431">
        <v>64200</v>
      </c>
      <c r="E8" s="431">
        <v>76300</v>
      </c>
      <c r="F8" s="431">
        <v>80000</v>
      </c>
      <c r="H8" s="481">
        <f t="shared" si="0"/>
        <v>64117.647058823532</v>
      </c>
      <c r="I8" s="481">
        <f t="shared" si="1"/>
        <v>67226.890756302528</v>
      </c>
      <c r="K8" t="b">
        <f t="shared" si="2"/>
        <v>0</v>
      </c>
      <c r="L8" t="b">
        <f t="shared" si="3"/>
        <v>1</v>
      </c>
    </row>
    <row r="9" spans="1:12" x14ac:dyDescent="0.25">
      <c r="B9" t="s">
        <v>42</v>
      </c>
      <c r="C9" s="431"/>
      <c r="D9" s="431"/>
      <c r="E9" s="431"/>
      <c r="F9" s="431"/>
      <c r="H9" s="481"/>
      <c r="I9" s="481"/>
    </row>
    <row r="10" spans="1:12" x14ac:dyDescent="0.25">
      <c r="B10" t="s">
        <v>44</v>
      </c>
      <c r="C10" s="431"/>
      <c r="D10" s="431">
        <v>19300</v>
      </c>
      <c r="E10" s="431">
        <v>22900</v>
      </c>
      <c r="F10" s="431">
        <v>24000</v>
      </c>
      <c r="H10" s="481">
        <f t="shared" si="0"/>
        <v>19243.697478991598</v>
      </c>
      <c r="I10" s="481">
        <f t="shared" si="1"/>
        <v>20168.067226890758</v>
      </c>
      <c r="K10" t="b">
        <f t="shared" si="2"/>
        <v>0</v>
      </c>
      <c r="L10" t="b">
        <f t="shared" si="3"/>
        <v>1</v>
      </c>
    </row>
    <row r="11" spans="1:12" x14ac:dyDescent="0.25">
      <c r="A11" t="s">
        <v>45</v>
      </c>
      <c r="B11" t="s">
        <v>46</v>
      </c>
      <c r="C11" s="431">
        <v>61700</v>
      </c>
      <c r="D11" s="431">
        <v>94900</v>
      </c>
      <c r="E11" s="431">
        <v>112900</v>
      </c>
      <c r="F11" s="431">
        <v>118200</v>
      </c>
      <c r="H11" s="481">
        <f t="shared" si="0"/>
        <v>94873.94957983194</v>
      </c>
      <c r="I11" s="481">
        <f t="shared" si="1"/>
        <v>99327.731092436981</v>
      </c>
      <c r="K11" t="b">
        <f t="shared" si="2"/>
        <v>0</v>
      </c>
      <c r="L11" t="b">
        <f t="shared" si="3"/>
        <v>1</v>
      </c>
    </row>
    <row r="12" spans="1:12" x14ac:dyDescent="0.25">
      <c r="A12" t="s">
        <v>47</v>
      </c>
      <c r="B12" t="s">
        <v>48</v>
      </c>
      <c r="C12" s="431">
        <v>10800</v>
      </c>
      <c r="D12" s="431">
        <v>16600</v>
      </c>
      <c r="E12" s="431">
        <v>19700</v>
      </c>
      <c r="F12" s="431">
        <v>20600</v>
      </c>
      <c r="H12" s="481">
        <f t="shared" si="0"/>
        <v>16554.621848739498</v>
      </c>
      <c r="I12" s="481">
        <f t="shared" si="1"/>
        <v>17310.9243697479</v>
      </c>
      <c r="K12" t="b">
        <f t="shared" si="2"/>
        <v>0</v>
      </c>
      <c r="L12" t="b">
        <f t="shared" si="3"/>
        <v>1</v>
      </c>
    </row>
  </sheetData>
  <mergeCells count="1">
    <mergeCell ref="C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69D70-C633-44AD-AED2-2A7A5AEE37C6}">
  <dimension ref="B1:M11"/>
  <sheetViews>
    <sheetView workbookViewId="0">
      <selection activeCell="J17" sqref="J17"/>
    </sheetView>
  </sheetViews>
  <sheetFormatPr baseColWidth="10" defaultRowHeight="15" x14ac:dyDescent="0.25"/>
  <cols>
    <col min="1" max="1" width="11.42578125" style="385"/>
    <col min="2" max="2" width="24.42578125" style="385" customWidth="1"/>
    <col min="3" max="3" width="29.85546875" style="385" customWidth="1"/>
    <col min="4" max="10" width="11.42578125" style="385"/>
    <col min="11" max="11" width="3.28515625" style="385" customWidth="1"/>
    <col min="12" max="16384" width="11.42578125" style="385"/>
  </cols>
  <sheetData>
    <row r="1" spans="2:13" ht="15.75" thickBot="1" x14ac:dyDescent="0.3"/>
    <row r="2" spans="2:13" ht="16.5" thickBot="1" x14ac:dyDescent="0.3">
      <c r="B2" s="927" t="s">
        <v>3</v>
      </c>
      <c r="C2" s="929" t="s">
        <v>21</v>
      </c>
      <c r="D2" s="931" t="s">
        <v>309</v>
      </c>
      <c r="E2" s="932"/>
      <c r="F2" s="932"/>
      <c r="G2" s="933"/>
      <c r="H2" s="708">
        <v>1.19</v>
      </c>
      <c r="I2" s="708">
        <v>1.05</v>
      </c>
      <c r="J2" s="708">
        <v>1.1000000000000001</v>
      </c>
    </row>
    <row r="3" spans="2:13" ht="26.25" thickBot="1" x14ac:dyDescent="0.3">
      <c r="B3" s="928"/>
      <c r="C3" s="930"/>
      <c r="D3" s="725" t="s">
        <v>39</v>
      </c>
      <c r="E3" s="703" t="s">
        <v>26</v>
      </c>
      <c r="F3" s="703" t="s">
        <v>27</v>
      </c>
      <c r="G3" s="704" t="s">
        <v>28</v>
      </c>
      <c r="I3" s="709" t="s">
        <v>27</v>
      </c>
      <c r="J3" s="710" t="s">
        <v>28</v>
      </c>
    </row>
    <row r="4" spans="2:13" x14ac:dyDescent="0.25">
      <c r="B4" s="934" t="s">
        <v>40</v>
      </c>
      <c r="C4" s="101" t="s">
        <v>41</v>
      </c>
      <c r="D4" s="522">
        <v>49800</v>
      </c>
      <c r="E4" s="102">
        <v>76500</v>
      </c>
      <c r="F4" s="102">
        <v>80200</v>
      </c>
      <c r="G4" s="523">
        <v>164100</v>
      </c>
      <c r="I4" s="522">
        <f>+E4*$H$2*$I$2</f>
        <v>95586.75</v>
      </c>
      <c r="J4" s="523">
        <f>+E4*$H$2*$J$2</f>
        <v>100138.50000000001</v>
      </c>
      <c r="L4" s="711">
        <f>(I4-F4)/F4</f>
        <v>0.19185473815461346</v>
      </c>
      <c r="M4" s="712">
        <f>(J4-G4)/G4</f>
        <v>-0.3897714808043875</v>
      </c>
    </row>
    <row r="5" spans="2:13" x14ac:dyDescent="0.25">
      <c r="B5" s="935"/>
      <c r="C5" s="698" t="s">
        <v>42</v>
      </c>
      <c r="D5" s="924"/>
      <c r="E5" s="925"/>
      <c r="F5" s="925"/>
      <c r="G5" s="926"/>
      <c r="I5" s="693">
        <f t="shared" ref="I5:I10" si="0">+E5*$H$2*$I$2</f>
        <v>0</v>
      </c>
      <c r="J5" s="694">
        <f t="shared" ref="J5:J10" si="1">+E5*$H$2*$J$2</f>
        <v>0</v>
      </c>
      <c r="L5" s="713"/>
      <c r="M5" s="714"/>
    </row>
    <row r="6" spans="2:13" ht="15.75" thickBot="1" x14ac:dyDescent="0.3">
      <c r="B6" s="936"/>
      <c r="C6" s="699" t="s">
        <v>41</v>
      </c>
      <c r="D6" s="726"/>
      <c r="E6" s="700">
        <v>23000</v>
      </c>
      <c r="F6" s="700">
        <v>24100</v>
      </c>
      <c r="G6" s="696">
        <v>49300</v>
      </c>
      <c r="I6" s="695">
        <f t="shared" si="0"/>
        <v>28738.5</v>
      </c>
      <c r="J6" s="696">
        <f t="shared" si="1"/>
        <v>30107.000000000004</v>
      </c>
      <c r="L6" s="715">
        <f t="shared" ref="L6:L11" si="2">(I6-F6)/F6</f>
        <v>0.19246887966804979</v>
      </c>
      <c r="M6" s="716">
        <f t="shared" ref="M6:M11" si="3">(J6-G6)/G6</f>
        <v>-0.38931034482758614</v>
      </c>
    </row>
    <row r="7" spans="2:13" x14ac:dyDescent="0.25">
      <c r="B7" s="921" t="s">
        <v>43</v>
      </c>
      <c r="C7" s="108" t="s">
        <v>41</v>
      </c>
      <c r="D7" s="109">
        <v>38000</v>
      </c>
      <c r="E7" s="697">
        <v>58400</v>
      </c>
      <c r="F7" s="697">
        <v>69800</v>
      </c>
      <c r="G7" s="525">
        <v>120100</v>
      </c>
      <c r="I7" s="109">
        <f t="shared" si="0"/>
        <v>72970.8</v>
      </c>
      <c r="J7" s="525">
        <f t="shared" si="1"/>
        <v>76445.600000000006</v>
      </c>
      <c r="L7" s="717">
        <f t="shared" si="2"/>
        <v>4.5426934097421247E-2</v>
      </c>
      <c r="M7" s="718">
        <f t="shared" si="3"/>
        <v>-0.3634837635303913</v>
      </c>
    </row>
    <row r="8" spans="2:13" x14ac:dyDescent="0.25">
      <c r="B8" s="922"/>
      <c r="C8" s="698" t="s">
        <v>42</v>
      </c>
      <c r="D8" s="924"/>
      <c r="E8" s="925"/>
      <c r="F8" s="925"/>
      <c r="G8" s="926"/>
      <c r="I8" s="693">
        <f t="shared" si="0"/>
        <v>0</v>
      </c>
      <c r="J8" s="694">
        <f t="shared" si="1"/>
        <v>0</v>
      </c>
      <c r="L8" s="713"/>
      <c r="M8" s="714"/>
    </row>
    <row r="9" spans="2:13" ht="15.75" thickBot="1" x14ac:dyDescent="0.3">
      <c r="B9" s="923"/>
      <c r="C9" s="705" t="s">
        <v>44</v>
      </c>
      <c r="D9" s="555"/>
      <c r="E9" s="701">
        <v>17600</v>
      </c>
      <c r="F9" s="701">
        <v>21000</v>
      </c>
      <c r="G9" s="527">
        <v>36100</v>
      </c>
      <c r="I9" s="702">
        <f t="shared" si="0"/>
        <v>21991.200000000001</v>
      </c>
      <c r="J9" s="527">
        <f t="shared" si="1"/>
        <v>23038.400000000001</v>
      </c>
      <c r="L9" s="719">
        <f t="shared" si="2"/>
        <v>4.7200000000000034E-2</v>
      </c>
      <c r="M9" s="720">
        <f t="shared" si="3"/>
        <v>-0.36181717451523543</v>
      </c>
    </row>
    <row r="10" spans="2:13" ht="15.75" thickBot="1" x14ac:dyDescent="0.3">
      <c r="B10" s="111" t="s">
        <v>45</v>
      </c>
      <c r="C10" s="112" t="s">
        <v>46</v>
      </c>
      <c r="D10" s="528">
        <v>56200</v>
      </c>
      <c r="E10" s="113">
        <v>86400</v>
      </c>
      <c r="F10" s="113">
        <v>103200</v>
      </c>
      <c r="G10" s="529">
        <v>181600</v>
      </c>
      <c r="I10" s="528">
        <f t="shared" si="0"/>
        <v>107956.8</v>
      </c>
      <c r="J10" s="529">
        <f t="shared" si="1"/>
        <v>113097.60000000001</v>
      </c>
      <c r="L10" s="721">
        <f t="shared" si="2"/>
        <v>4.6093023255813985E-2</v>
      </c>
      <c r="M10" s="722">
        <f t="shared" si="3"/>
        <v>-0.37721585903083699</v>
      </c>
    </row>
    <row r="11" spans="2:13" ht="15.75" thickBot="1" x14ac:dyDescent="0.3">
      <c r="B11" s="115" t="s">
        <v>47</v>
      </c>
      <c r="C11" s="116" t="s">
        <v>48</v>
      </c>
      <c r="D11" s="530">
        <v>9800</v>
      </c>
      <c r="E11" s="706">
        <v>15000</v>
      </c>
      <c r="F11" s="706">
        <v>8400</v>
      </c>
      <c r="G11" s="707">
        <v>9300</v>
      </c>
      <c r="I11" s="530">
        <f>+E11*I2*H2</f>
        <v>18742.5</v>
      </c>
      <c r="J11" s="531">
        <f>+E11*H2*J2</f>
        <v>19635</v>
      </c>
      <c r="L11" s="723">
        <f t="shared" si="2"/>
        <v>1.23125</v>
      </c>
      <c r="M11" s="724">
        <f t="shared" si="3"/>
        <v>1.1112903225806452</v>
      </c>
    </row>
  </sheetData>
  <mergeCells count="7">
    <mergeCell ref="B7:B9"/>
    <mergeCell ref="D8:G8"/>
    <mergeCell ref="B2:B3"/>
    <mergeCell ref="C2:C3"/>
    <mergeCell ref="D2:G2"/>
    <mergeCell ref="B4:B6"/>
    <mergeCell ref="D5:G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FF0000"/>
  </sheetPr>
  <dimension ref="A1:I304"/>
  <sheetViews>
    <sheetView showGridLines="0" topLeftCell="A100" zoomScale="80" zoomScaleNormal="80" workbookViewId="0">
      <selection activeCell="D100" sqref="D100"/>
    </sheetView>
  </sheetViews>
  <sheetFormatPr baseColWidth="10" defaultRowHeight="15" x14ac:dyDescent="0.25"/>
  <cols>
    <col min="1" max="1" width="30.85546875" style="5" customWidth="1"/>
    <col min="2" max="2" width="21.140625" style="5" customWidth="1"/>
    <col min="3" max="3" width="57.42578125" style="5" bestFit="1" customWidth="1"/>
    <col min="4" max="4" width="18.5703125" style="5" customWidth="1"/>
    <col min="5" max="5" width="14.28515625" style="5" customWidth="1"/>
    <col min="6" max="6" width="14.42578125" style="118" customWidth="1"/>
    <col min="7" max="7" width="17" style="2" bestFit="1" customWidth="1"/>
    <col min="8" max="8" width="41.85546875" style="2" bestFit="1" customWidth="1"/>
    <col min="9" max="9" width="92.140625" style="582" bestFit="1" customWidth="1"/>
  </cols>
  <sheetData>
    <row r="1" spans="1:9" x14ac:dyDescent="0.25">
      <c r="C1" s="3"/>
      <c r="D1" s="3"/>
      <c r="F1" s="3"/>
      <c r="G1" s="3"/>
      <c r="H1" s="3"/>
    </row>
    <row r="2" spans="1:9" x14ac:dyDescent="0.25">
      <c r="C2" s="3"/>
      <c r="D2" s="3" t="s">
        <v>49</v>
      </c>
      <c r="F2" s="3"/>
      <c r="G2" s="3"/>
      <c r="H2" s="3"/>
    </row>
    <row r="3" spans="1:9" x14ac:dyDescent="0.25">
      <c r="C3" s="3"/>
      <c r="F3" s="3"/>
      <c r="G3" s="3"/>
      <c r="H3" s="3"/>
    </row>
    <row r="4" spans="1:9" ht="15.75" x14ac:dyDescent="0.25">
      <c r="C4" s="8" t="s">
        <v>1</v>
      </c>
      <c r="D4" s="803" t="s">
        <v>33</v>
      </c>
      <c r="E4" s="804"/>
      <c r="F4" s="3"/>
      <c r="G4" s="3"/>
      <c r="H4" s="3"/>
    </row>
    <row r="5" spans="1:9" x14ac:dyDescent="0.25">
      <c r="B5" s="3"/>
      <c r="C5" s="3"/>
      <c r="D5" s="3"/>
      <c r="E5" s="3"/>
      <c r="F5" s="3"/>
      <c r="G5" s="3"/>
      <c r="H5" s="3"/>
    </row>
    <row r="6" spans="1:9" x14ac:dyDescent="0.25">
      <c r="B6" s="3"/>
      <c r="C6" s="3"/>
      <c r="D6" s="3"/>
      <c r="E6" s="3"/>
      <c r="F6" s="3"/>
      <c r="G6" s="3"/>
      <c r="H6" s="3"/>
    </row>
    <row r="7" spans="1:9" x14ac:dyDescent="0.25">
      <c r="A7" s="937" t="s">
        <v>50</v>
      </c>
      <c r="B7" s="937"/>
      <c r="C7" s="937"/>
      <c r="D7" s="3"/>
      <c r="G7" s="5"/>
    </row>
    <row r="9" spans="1:9" x14ac:dyDescent="0.25">
      <c r="A9" s="938" t="s">
        <v>20</v>
      </c>
      <c r="B9" s="940" t="s">
        <v>51</v>
      </c>
      <c r="C9" s="942" t="s">
        <v>52</v>
      </c>
      <c r="D9" s="944" t="s">
        <v>53</v>
      </c>
      <c r="E9" s="946" t="s">
        <v>54</v>
      </c>
      <c r="F9" s="947"/>
      <c r="G9" s="948"/>
      <c r="H9" s="949" t="s">
        <v>335</v>
      </c>
      <c r="I9" s="951" t="s">
        <v>55</v>
      </c>
    </row>
    <row r="10" spans="1:9" ht="25.5" x14ac:dyDescent="0.25">
      <c r="A10" s="939"/>
      <c r="B10" s="941"/>
      <c r="C10" s="943"/>
      <c r="D10" s="945"/>
      <c r="E10" s="119" t="s">
        <v>56</v>
      </c>
      <c r="F10" s="120" t="s">
        <v>57</v>
      </c>
      <c r="G10" s="121" t="s">
        <v>58</v>
      </c>
      <c r="H10" s="950"/>
      <c r="I10" s="951"/>
    </row>
    <row r="11" spans="1:9" x14ac:dyDescent="0.25">
      <c r="A11" s="952" t="str">
        <f>+'B) Reajuste Tarifas y Ocupación'!A12</f>
        <v>Cabaña Chinquihue</v>
      </c>
      <c r="B11" s="122"/>
      <c r="C11" s="123" t="s">
        <v>59</v>
      </c>
      <c r="D11" s="124">
        <f>SUM(D12,D17,D19)</f>
        <v>22723267</v>
      </c>
      <c r="E11" s="125"/>
      <c r="F11" s="125"/>
      <c r="G11" s="124">
        <f>SUM(G12,G17,G19)</f>
        <v>225720</v>
      </c>
      <c r="H11" s="126">
        <f>SUM(H12,H17,H19)</f>
        <v>22948987</v>
      </c>
      <c r="I11" s="127"/>
    </row>
    <row r="12" spans="1:9" x14ac:dyDescent="0.25">
      <c r="A12" s="953"/>
      <c r="B12" s="128"/>
      <c r="C12" s="129" t="s">
        <v>60</v>
      </c>
      <c r="D12" s="130">
        <f>SUM(D13:D16)</f>
        <v>0</v>
      </c>
      <c r="E12" s="131"/>
      <c r="F12" s="131"/>
      <c r="G12" s="131">
        <f>SUM(G13:G16)</f>
        <v>0</v>
      </c>
      <c r="H12" s="130">
        <f>SUM(H13:H16)</f>
        <v>0</v>
      </c>
      <c r="I12" s="127"/>
    </row>
    <row r="13" spans="1:9" x14ac:dyDescent="0.25">
      <c r="A13" s="953"/>
      <c r="B13" s="132">
        <v>53103040100000</v>
      </c>
      <c r="C13" s="133" t="s">
        <v>61</v>
      </c>
      <c r="D13" s="134">
        <f>+'F) Remuneraciones'!M11</f>
        <v>0</v>
      </c>
      <c r="E13" s="135"/>
      <c r="F13" s="135"/>
      <c r="G13" s="135"/>
      <c r="H13" s="136"/>
      <c r="I13" s="127"/>
    </row>
    <row r="14" spans="1:9" x14ac:dyDescent="0.25">
      <c r="A14" s="953"/>
      <c r="B14" s="132">
        <v>53103050000000</v>
      </c>
      <c r="C14" s="133" t="s">
        <v>62</v>
      </c>
      <c r="D14" s="137"/>
      <c r="E14" s="138"/>
      <c r="F14" s="139"/>
      <c r="G14" s="140">
        <f>E14*F14</f>
        <v>0</v>
      </c>
      <c r="H14" s="136"/>
      <c r="I14" s="127"/>
    </row>
    <row r="15" spans="1:9" x14ac:dyDescent="0.25">
      <c r="A15" s="953"/>
      <c r="B15" s="132">
        <v>53103060000000</v>
      </c>
      <c r="C15" s="133" t="s">
        <v>63</v>
      </c>
      <c r="D15" s="137"/>
      <c r="E15" s="138"/>
      <c r="F15" s="139"/>
      <c r="G15" s="140">
        <f t="shared" ref="G15:G18" si="0">E15*F15</f>
        <v>0</v>
      </c>
      <c r="H15" s="136"/>
      <c r="I15" s="127"/>
    </row>
    <row r="16" spans="1:9" x14ac:dyDescent="0.25">
      <c r="A16" s="953"/>
      <c r="B16" s="132">
        <v>53103080010000</v>
      </c>
      <c r="C16" s="133" t="s">
        <v>64</v>
      </c>
      <c r="D16" s="137"/>
      <c r="E16" s="138"/>
      <c r="F16" s="139"/>
      <c r="G16" s="140">
        <f t="shared" si="0"/>
        <v>0</v>
      </c>
      <c r="H16" s="136"/>
      <c r="I16" s="127"/>
    </row>
    <row r="17" spans="1:9" x14ac:dyDescent="0.25">
      <c r="A17" s="953"/>
      <c r="B17" s="128"/>
      <c r="C17" s="129" t="s">
        <v>65</v>
      </c>
      <c r="D17" s="130">
        <f>SUM(D18)</f>
        <v>0</v>
      </c>
      <c r="E17" s="141"/>
      <c r="F17" s="141"/>
      <c r="G17" s="142">
        <f>SUM(G18:G18)</f>
        <v>0</v>
      </c>
      <c r="H17" s="130">
        <f>SUM(H18:H18)</f>
        <v>0</v>
      </c>
      <c r="I17" s="127"/>
    </row>
    <row r="18" spans="1:9" x14ac:dyDescent="0.25">
      <c r="A18" s="953"/>
      <c r="B18" s="132">
        <v>55201010100001</v>
      </c>
      <c r="C18" s="133" t="s">
        <v>66</v>
      </c>
      <c r="D18" s="137"/>
      <c r="E18" s="138"/>
      <c r="F18" s="139"/>
      <c r="G18" s="140">
        <f t="shared" si="0"/>
        <v>0</v>
      </c>
      <c r="H18" s="136"/>
      <c r="I18" s="127"/>
    </row>
    <row r="19" spans="1:9" x14ac:dyDescent="0.25">
      <c r="A19" s="953"/>
      <c r="B19" s="128"/>
      <c r="C19" s="129" t="s">
        <v>67</v>
      </c>
      <c r="D19" s="130">
        <f>SUM(D20:D38)</f>
        <v>22723267</v>
      </c>
      <c r="E19" s="141"/>
      <c r="F19" s="141"/>
      <c r="G19" s="130">
        <f>SUM(G20:G38)</f>
        <v>225720</v>
      </c>
      <c r="H19" s="130">
        <f>SUM(H20:H38)</f>
        <v>22948987</v>
      </c>
      <c r="I19" s="127"/>
    </row>
    <row r="20" spans="1:9" x14ac:dyDescent="0.25">
      <c r="A20" s="953"/>
      <c r="B20" s="132">
        <v>53201010100000</v>
      </c>
      <c r="C20" s="143" t="s">
        <v>68</v>
      </c>
      <c r="D20" s="137"/>
      <c r="E20" s="138"/>
      <c r="F20" s="139"/>
      <c r="G20" s="140">
        <f>E20*F20</f>
        <v>0</v>
      </c>
      <c r="H20" s="136">
        <f>D20+G20</f>
        <v>0</v>
      </c>
      <c r="I20" s="127"/>
    </row>
    <row r="21" spans="1:9" x14ac:dyDescent="0.25">
      <c r="A21" s="953"/>
      <c r="B21" s="132">
        <v>53202010100000</v>
      </c>
      <c r="C21" s="143" t="s">
        <v>69</v>
      </c>
      <c r="D21" s="137"/>
      <c r="E21" s="138">
        <v>0</v>
      </c>
      <c r="F21" s="139">
        <v>0</v>
      </c>
      <c r="G21" s="140">
        <f t="shared" ref="G21:G38" si="1">E21*F21</f>
        <v>0</v>
      </c>
      <c r="H21" s="136">
        <f t="shared" ref="H21:H38" si="2">D21+G21</f>
        <v>0</v>
      </c>
      <c r="I21" s="127"/>
    </row>
    <row r="22" spans="1:9" x14ac:dyDescent="0.25">
      <c r="A22" s="953"/>
      <c r="B22" s="132">
        <v>53203010100000</v>
      </c>
      <c r="C22" s="143" t="s">
        <v>70</v>
      </c>
      <c r="D22" s="144"/>
      <c r="E22" s="145"/>
      <c r="F22" s="146"/>
      <c r="G22" s="140">
        <f t="shared" si="1"/>
        <v>0</v>
      </c>
      <c r="H22" s="136">
        <f t="shared" si="2"/>
        <v>0</v>
      </c>
      <c r="I22" s="127"/>
    </row>
    <row r="23" spans="1:9" x14ac:dyDescent="0.25">
      <c r="A23" s="953"/>
      <c r="B23" s="132">
        <v>53203030000000</v>
      </c>
      <c r="C23" s="143" t="s">
        <v>71</v>
      </c>
      <c r="D23" s="144">
        <v>1706805</v>
      </c>
      <c r="E23" s="145"/>
      <c r="F23" s="146"/>
      <c r="G23" s="140">
        <f t="shared" si="1"/>
        <v>0</v>
      </c>
      <c r="H23" s="136">
        <f t="shared" si="2"/>
        <v>1706805</v>
      </c>
      <c r="I23" s="127" t="s">
        <v>347</v>
      </c>
    </row>
    <row r="24" spans="1:9" x14ac:dyDescent="0.25">
      <c r="A24" s="953"/>
      <c r="B24" s="132">
        <v>53204030000000</v>
      </c>
      <c r="C24" s="143" t="s">
        <v>72</v>
      </c>
      <c r="D24" s="144"/>
      <c r="E24" s="145">
        <v>28215</v>
      </c>
      <c r="F24" s="146">
        <v>8</v>
      </c>
      <c r="G24" s="140">
        <f t="shared" si="1"/>
        <v>225720</v>
      </c>
      <c r="H24" s="136">
        <f t="shared" si="2"/>
        <v>225720</v>
      </c>
      <c r="I24" s="585" t="s">
        <v>352</v>
      </c>
    </row>
    <row r="25" spans="1:9" x14ac:dyDescent="0.25">
      <c r="A25" s="953"/>
      <c r="B25" s="132">
        <v>53204100100001</v>
      </c>
      <c r="C25" s="143" t="s">
        <v>73</v>
      </c>
      <c r="D25" s="144">
        <v>168294</v>
      </c>
      <c r="E25" s="145"/>
      <c r="F25" s="146"/>
      <c r="G25" s="140">
        <f t="shared" si="1"/>
        <v>0</v>
      </c>
      <c r="H25" s="136">
        <f t="shared" si="2"/>
        <v>168294</v>
      </c>
      <c r="I25" s="127"/>
    </row>
    <row r="26" spans="1:9" x14ac:dyDescent="0.25">
      <c r="A26" s="953"/>
      <c r="B26" s="132">
        <v>53204130100000</v>
      </c>
      <c r="C26" s="143" t="s">
        <v>74</v>
      </c>
      <c r="D26" s="144"/>
      <c r="E26" s="145"/>
      <c r="F26" s="146"/>
      <c r="G26" s="140">
        <f t="shared" si="1"/>
        <v>0</v>
      </c>
      <c r="H26" s="136">
        <f t="shared" si="2"/>
        <v>0</v>
      </c>
      <c r="I26" s="127"/>
    </row>
    <row r="27" spans="1:9" x14ac:dyDescent="0.25">
      <c r="A27" s="953"/>
      <c r="B27" s="132">
        <v>53205010100000</v>
      </c>
      <c r="C27" s="143" t="s">
        <v>75</v>
      </c>
      <c r="D27" s="144">
        <v>9259954</v>
      </c>
      <c r="E27" s="145"/>
      <c r="F27" s="146"/>
      <c r="G27" s="140">
        <f t="shared" si="1"/>
        <v>0</v>
      </c>
      <c r="H27" s="136">
        <f t="shared" si="2"/>
        <v>9259954</v>
      </c>
      <c r="I27" s="585" t="s">
        <v>348</v>
      </c>
    </row>
    <row r="28" spans="1:9" x14ac:dyDescent="0.25">
      <c r="A28" s="953"/>
      <c r="B28" s="132">
        <v>53205020100000</v>
      </c>
      <c r="C28" s="143" t="s">
        <v>76</v>
      </c>
      <c r="D28" s="144">
        <v>2972147</v>
      </c>
      <c r="E28" s="145"/>
      <c r="F28" s="146"/>
      <c r="G28" s="140">
        <f t="shared" si="1"/>
        <v>0</v>
      </c>
      <c r="H28" s="136">
        <f t="shared" si="2"/>
        <v>2972147</v>
      </c>
      <c r="I28" s="585" t="s">
        <v>348</v>
      </c>
    </row>
    <row r="29" spans="1:9" x14ac:dyDescent="0.25">
      <c r="A29" s="953"/>
      <c r="B29" s="132">
        <v>53205030100000</v>
      </c>
      <c r="C29" s="143" t="s">
        <v>77</v>
      </c>
      <c r="D29" s="144">
        <v>1776543</v>
      </c>
      <c r="E29" s="145"/>
      <c r="F29" s="146"/>
      <c r="G29" s="140">
        <f t="shared" si="1"/>
        <v>0</v>
      </c>
      <c r="H29" s="136">
        <f t="shared" si="2"/>
        <v>1776543</v>
      </c>
      <c r="I29" s="585" t="s">
        <v>348</v>
      </c>
    </row>
    <row r="30" spans="1:9" x14ac:dyDescent="0.25">
      <c r="A30" s="953"/>
      <c r="B30" s="132">
        <v>53205050100000</v>
      </c>
      <c r="C30" s="143" t="s">
        <v>78</v>
      </c>
      <c r="D30" s="144">
        <v>104500</v>
      </c>
      <c r="E30" s="145"/>
      <c r="F30" s="146"/>
      <c r="G30" s="140">
        <f t="shared" si="1"/>
        <v>0</v>
      </c>
      <c r="H30" s="136">
        <f t="shared" si="2"/>
        <v>104500</v>
      </c>
      <c r="I30" s="585" t="s">
        <v>348</v>
      </c>
    </row>
    <row r="31" spans="1:9" x14ac:dyDescent="0.25">
      <c r="A31" s="953"/>
      <c r="B31" s="132">
        <v>53205060100000</v>
      </c>
      <c r="C31" s="143" t="s">
        <v>79</v>
      </c>
      <c r="D31" s="144"/>
      <c r="E31" s="145"/>
      <c r="F31" s="146"/>
      <c r="G31" s="140">
        <f t="shared" si="1"/>
        <v>0</v>
      </c>
      <c r="H31" s="136">
        <f t="shared" si="2"/>
        <v>0</v>
      </c>
      <c r="I31" s="127"/>
    </row>
    <row r="32" spans="1:9" x14ac:dyDescent="0.25">
      <c r="A32" s="953"/>
      <c r="B32" s="132">
        <v>53205070100000</v>
      </c>
      <c r="C32" s="143" t="s">
        <v>80</v>
      </c>
      <c r="D32" s="144"/>
      <c r="E32" s="145"/>
      <c r="F32" s="146"/>
      <c r="G32" s="140">
        <f t="shared" si="1"/>
        <v>0</v>
      </c>
      <c r="H32" s="136">
        <f t="shared" si="2"/>
        <v>0</v>
      </c>
      <c r="I32" s="127"/>
    </row>
    <row r="33" spans="1:9" x14ac:dyDescent="0.25">
      <c r="A33" s="953"/>
      <c r="B33" s="132">
        <v>53208010100000</v>
      </c>
      <c r="C33" s="143" t="s">
        <v>81</v>
      </c>
      <c r="D33" s="144">
        <v>4131752</v>
      </c>
      <c r="E33" s="145"/>
      <c r="F33" s="146"/>
      <c r="G33" s="140">
        <f t="shared" si="1"/>
        <v>0</v>
      </c>
      <c r="H33" s="136">
        <f t="shared" si="2"/>
        <v>4131752</v>
      </c>
      <c r="I33" s="127"/>
    </row>
    <row r="34" spans="1:9" x14ac:dyDescent="0.25">
      <c r="A34" s="953"/>
      <c r="B34" s="132">
        <v>53208070100001</v>
      </c>
      <c r="C34" s="143" t="s">
        <v>82</v>
      </c>
      <c r="D34" s="144"/>
      <c r="E34" s="145"/>
      <c r="F34" s="146"/>
      <c r="G34" s="140">
        <f t="shared" si="1"/>
        <v>0</v>
      </c>
      <c r="H34" s="136">
        <f t="shared" si="2"/>
        <v>0</v>
      </c>
      <c r="I34" s="127"/>
    </row>
    <row r="35" spans="1:9" x14ac:dyDescent="0.25">
      <c r="A35" s="953"/>
      <c r="B35" s="132">
        <v>53208100100001</v>
      </c>
      <c r="C35" s="143" t="s">
        <v>83</v>
      </c>
      <c r="D35" s="144"/>
      <c r="E35" s="145"/>
      <c r="F35" s="146"/>
      <c r="G35" s="140">
        <f t="shared" si="1"/>
        <v>0</v>
      </c>
      <c r="H35" s="136">
        <f t="shared" si="2"/>
        <v>0</v>
      </c>
      <c r="I35" s="127"/>
    </row>
    <row r="36" spans="1:9" x14ac:dyDescent="0.25">
      <c r="A36" s="953"/>
      <c r="B36" s="132">
        <v>53211030000000</v>
      </c>
      <c r="C36" s="143" t="s">
        <v>84</v>
      </c>
      <c r="D36" s="144"/>
      <c r="E36" s="145"/>
      <c r="F36" s="146"/>
      <c r="G36" s="140">
        <f t="shared" si="1"/>
        <v>0</v>
      </c>
      <c r="H36" s="136">
        <f t="shared" si="2"/>
        <v>0</v>
      </c>
      <c r="I36" s="127"/>
    </row>
    <row r="37" spans="1:9" x14ac:dyDescent="0.25">
      <c r="A37" s="953"/>
      <c r="B37" s="132">
        <v>53212020100000</v>
      </c>
      <c r="C37" s="143" t="s">
        <v>85</v>
      </c>
      <c r="D37" s="144">
        <v>2603272</v>
      </c>
      <c r="E37" s="145"/>
      <c r="F37" s="146"/>
      <c r="G37" s="140">
        <f t="shared" si="1"/>
        <v>0</v>
      </c>
      <c r="H37" s="136">
        <f t="shared" si="2"/>
        <v>2603272</v>
      </c>
      <c r="I37" s="127" t="s">
        <v>349</v>
      </c>
    </row>
    <row r="38" spans="1:9" x14ac:dyDescent="0.25">
      <c r="A38" s="953"/>
      <c r="B38" s="132">
        <v>53214020000000</v>
      </c>
      <c r="C38" s="143" t="s">
        <v>86</v>
      </c>
      <c r="D38" s="137"/>
      <c r="E38" s="138"/>
      <c r="F38" s="139"/>
      <c r="G38" s="140">
        <f t="shared" si="1"/>
        <v>0</v>
      </c>
      <c r="H38" s="136">
        <f t="shared" si="2"/>
        <v>0</v>
      </c>
      <c r="I38" s="127"/>
    </row>
    <row r="39" spans="1:9" x14ac:dyDescent="0.25">
      <c r="A39" s="953"/>
      <c r="B39" s="122"/>
      <c r="C39" s="123" t="s">
        <v>87</v>
      </c>
      <c r="D39" s="126">
        <f>SUM(D40,D45,D48,D59,D69,D77)</f>
        <v>4064481</v>
      </c>
      <c r="E39" s="125"/>
      <c r="F39" s="125"/>
      <c r="G39" s="126">
        <f>SUM(G40,G45,G48,G59,G69,G77)</f>
        <v>0</v>
      </c>
      <c r="H39" s="126">
        <f>SUM(H40,H45,H48,H59,H69,H77)</f>
        <v>4064481</v>
      </c>
      <c r="I39" s="127"/>
    </row>
    <row r="40" spans="1:9" x14ac:dyDescent="0.25">
      <c r="A40" s="953"/>
      <c r="B40" s="128"/>
      <c r="C40" s="129" t="s">
        <v>88</v>
      </c>
      <c r="D40" s="130">
        <f>SUM(D41:D44)</f>
        <v>0</v>
      </c>
      <c r="E40" s="141"/>
      <c r="F40" s="141"/>
      <c r="G40" s="142">
        <f>SUM(G41:G44)</f>
        <v>0</v>
      </c>
      <c r="H40" s="142">
        <f>SUM(H41:H44)</f>
        <v>0</v>
      </c>
      <c r="I40" s="127"/>
    </row>
    <row r="41" spans="1:9" x14ac:dyDescent="0.25">
      <c r="A41" s="953"/>
      <c r="B41" s="147">
        <v>53202020100000</v>
      </c>
      <c r="C41" s="133" t="s">
        <v>89</v>
      </c>
      <c r="D41" s="144">
        <v>0</v>
      </c>
      <c r="E41" s="145"/>
      <c r="F41" s="146"/>
      <c r="G41" s="140">
        <f t="shared" ref="G41:G79" si="3">E41*F41</f>
        <v>0</v>
      </c>
      <c r="H41" s="136">
        <f t="shared" ref="H41:H79" si="4">D41+G41</f>
        <v>0</v>
      </c>
      <c r="I41" s="585"/>
    </row>
    <row r="42" spans="1:9" x14ac:dyDescent="0.25">
      <c r="A42" s="953"/>
      <c r="B42" s="147">
        <v>53202030000000</v>
      </c>
      <c r="C42" s="133" t="s">
        <v>90</v>
      </c>
      <c r="D42" s="137">
        <v>0</v>
      </c>
      <c r="E42" s="138"/>
      <c r="F42" s="139"/>
      <c r="G42" s="140">
        <f t="shared" si="3"/>
        <v>0</v>
      </c>
      <c r="H42" s="136">
        <f t="shared" si="4"/>
        <v>0</v>
      </c>
      <c r="I42" s="585"/>
    </row>
    <row r="43" spans="1:9" x14ac:dyDescent="0.25">
      <c r="A43" s="953"/>
      <c r="B43" s="148">
        <v>53211020000000</v>
      </c>
      <c r="C43" s="133" t="s">
        <v>91</v>
      </c>
      <c r="D43" s="144"/>
      <c r="E43" s="145"/>
      <c r="F43" s="146"/>
      <c r="G43" s="140">
        <f t="shared" si="3"/>
        <v>0</v>
      </c>
      <c r="H43" s="136">
        <f t="shared" si="4"/>
        <v>0</v>
      </c>
      <c r="I43" s="127"/>
    </row>
    <row r="44" spans="1:9" x14ac:dyDescent="0.25">
      <c r="A44" s="953"/>
      <c r="B44" s="148">
        <v>53101004030000</v>
      </c>
      <c r="C44" s="133" t="s">
        <v>92</v>
      </c>
      <c r="D44" s="137"/>
      <c r="E44" s="138"/>
      <c r="F44" s="139"/>
      <c r="G44" s="140">
        <f t="shared" si="3"/>
        <v>0</v>
      </c>
      <c r="H44" s="136">
        <f t="shared" si="4"/>
        <v>0</v>
      </c>
      <c r="I44" s="127"/>
    </row>
    <row r="45" spans="1:9" x14ac:dyDescent="0.25">
      <c r="A45" s="953"/>
      <c r="B45" s="149"/>
      <c r="C45" s="129" t="s">
        <v>93</v>
      </c>
      <c r="D45" s="130">
        <f>SUM(D46:D47)</f>
        <v>1094444</v>
      </c>
      <c r="E45" s="141"/>
      <c r="F45" s="141"/>
      <c r="G45" s="142">
        <f>SUM(G46:G47)</f>
        <v>0</v>
      </c>
      <c r="H45" s="142">
        <f>SUM(H46:H47)</f>
        <v>1094444</v>
      </c>
      <c r="I45" s="127"/>
    </row>
    <row r="46" spans="1:9" x14ac:dyDescent="0.25">
      <c r="A46" s="953"/>
      <c r="B46" s="148">
        <v>53205080000000</v>
      </c>
      <c r="C46" s="150" t="s">
        <v>94</v>
      </c>
      <c r="D46" s="137">
        <v>1094444</v>
      </c>
      <c r="E46" s="138"/>
      <c r="F46" s="139"/>
      <c r="G46" s="140">
        <f t="shared" si="3"/>
        <v>0</v>
      </c>
      <c r="H46" s="136">
        <f t="shared" si="4"/>
        <v>1094444</v>
      </c>
      <c r="I46" s="585"/>
    </row>
    <row r="47" spans="1:9" x14ac:dyDescent="0.25">
      <c r="A47" s="953"/>
      <c r="B47" s="148">
        <v>53205990000000</v>
      </c>
      <c r="C47" s="133" t="s">
        <v>95</v>
      </c>
      <c r="D47" s="144"/>
      <c r="E47" s="145"/>
      <c r="F47" s="146"/>
      <c r="G47" s="140">
        <f t="shared" si="3"/>
        <v>0</v>
      </c>
      <c r="H47" s="136">
        <f t="shared" si="4"/>
        <v>0</v>
      </c>
      <c r="I47" s="127"/>
    </row>
    <row r="48" spans="1:9" x14ac:dyDescent="0.25">
      <c r="A48" s="953"/>
      <c r="B48" s="149"/>
      <c r="C48" s="129" t="s">
        <v>96</v>
      </c>
      <c r="D48" s="130">
        <f>SUM(D49:D58)</f>
        <v>2517704</v>
      </c>
      <c r="E48" s="141"/>
      <c r="F48" s="141"/>
      <c r="G48" s="130">
        <f>SUM(G49:G58)</f>
        <v>0</v>
      </c>
      <c r="H48" s="130">
        <f>SUM(H49:H58)</f>
        <v>2517704</v>
      </c>
      <c r="I48" s="127"/>
    </row>
    <row r="49" spans="1:9" x14ac:dyDescent="0.25">
      <c r="A49" s="953"/>
      <c r="B49" s="148">
        <v>53203010200000</v>
      </c>
      <c r="C49" s="133" t="s">
        <v>97</v>
      </c>
      <c r="D49" s="137"/>
      <c r="E49" s="137"/>
      <c r="F49" s="139"/>
      <c r="G49" s="140">
        <f t="shared" si="3"/>
        <v>0</v>
      </c>
      <c r="H49" s="136">
        <f t="shared" si="4"/>
        <v>0</v>
      </c>
      <c r="I49" s="585"/>
    </row>
    <row r="50" spans="1:9" x14ac:dyDescent="0.25">
      <c r="A50" s="953"/>
      <c r="B50" s="148">
        <v>53204010000000</v>
      </c>
      <c r="C50" s="143" t="s">
        <v>98</v>
      </c>
      <c r="D50" s="144"/>
      <c r="E50" s="144"/>
      <c r="F50" s="146"/>
      <c r="G50" s="140">
        <f t="shared" si="3"/>
        <v>0</v>
      </c>
      <c r="H50" s="136">
        <f t="shared" si="4"/>
        <v>0</v>
      </c>
      <c r="I50" s="585"/>
    </row>
    <row r="51" spans="1:9" x14ac:dyDescent="0.25">
      <c r="A51" s="953"/>
      <c r="B51" s="148">
        <v>53204040200000</v>
      </c>
      <c r="C51" s="143" t="s">
        <v>99</v>
      </c>
      <c r="D51" s="144"/>
      <c r="E51" s="144"/>
      <c r="F51" s="146"/>
      <c r="G51" s="140">
        <f t="shared" si="3"/>
        <v>0</v>
      </c>
      <c r="H51" s="136">
        <f t="shared" si="4"/>
        <v>0</v>
      </c>
      <c r="I51" s="585"/>
    </row>
    <row r="52" spans="1:9" x14ac:dyDescent="0.25">
      <c r="A52" s="953"/>
      <c r="B52" s="148">
        <v>53204060000000</v>
      </c>
      <c r="C52" s="143" t="s">
        <v>100</v>
      </c>
      <c r="D52" s="144"/>
      <c r="E52" s="144"/>
      <c r="F52" s="146"/>
      <c r="G52" s="140">
        <f t="shared" si="3"/>
        <v>0</v>
      </c>
      <c r="H52" s="136">
        <f t="shared" si="4"/>
        <v>0</v>
      </c>
      <c r="I52" s="585"/>
    </row>
    <row r="53" spans="1:9" x14ac:dyDescent="0.25">
      <c r="A53" s="953"/>
      <c r="B53" s="148">
        <v>53204070000000</v>
      </c>
      <c r="C53" s="150" t="s">
        <v>101</v>
      </c>
      <c r="D53" s="144">
        <v>1555580</v>
      </c>
      <c r="E53" s="144"/>
      <c r="F53" s="146"/>
      <c r="G53" s="140">
        <f t="shared" si="3"/>
        <v>0</v>
      </c>
      <c r="H53" s="136">
        <f t="shared" si="4"/>
        <v>1555580</v>
      </c>
      <c r="I53" s="585" t="s">
        <v>350</v>
      </c>
    </row>
    <row r="54" spans="1:9" x14ac:dyDescent="0.25">
      <c r="A54" s="953"/>
      <c r="B54" s="148">
        <v>53204080000000</v>
      </c>
      <c r="C54" s="143" t="s">
        <v>102</v>
      </c>
      <c r="D54" s="144">
        <v>285633</v>
      </c>
      <c r="E54" s="144"/>
      <c r="F54" s="146"/>
      <c r="G54" s="140">
        <f t="shared" si="3"/>
        <v>0</v>
      </c>
      <c r="H54" s="136">
        <f t="shared" si="4"/>
        <v>285633</v>
      </c>
      <c r="I54" s="585" t="s">
        <v>351</v>
      </c>
    </row>
    <row r="55" spans="1:9" x14ac:dyDescent="0.25">
      <c r="A55" s="953"/>
      <c r="B55" s="148">
        <v>53214010000000</v>
      </c>
      <c r="C55" s="143" t="s">
        <v>103</v>
      </c>
      <c r="D55" s="137">
        <v>676491</v>
      </c>
      <c r="E55" s="137"/>
      <c r="F55" s="139"/>
      <c r="G55" s="140">
        <f t="shared" si="3"/>
        <v>0</v>
      </c>
      <c r="H55" s="136">
        <f t="shared" si="4"/>
        <v>676491</v>
      </c>
      <c r="I55" s="127"/>
    </row>
    <row r="56" spans="1:9" x14ac:dyDescent="0.25">
      <c r="A56" s="953"/>
      <c r="B56" s="148">
        <v>53214040000000</v>
      </c>
      <c r="C56" s="143" t="s">
        <v>104</v>
      </c>
      <c r="D56" s="137"/>
      <c r="E56" s="137"/>
      <c r="F56" s="139"/>
      <c r="G56" s="140">
        <f t="shared" si="3"/>
        <v>0</v>
      </c>
      <c r="H56" s="136">
        <f t="shared" si="4"/>
        <v>0</v>
      </c>
      <c r="I56" s="127"/>
    </row>
    <row r="57" spans="1:9" x14ac:dyDescent="0.25">
      <c r="A57" s="953"/>
      <c r="B57" s="148">
        <v>55201010100004</v>
      </c>
      <c r="C57" s="133" t="s">
        <v>105</v>
      </c>
      <c r="D57" s="137"/>
      <c r="E57" s="137"/>
      <c r="F57" s="139"/>
      <c r="G57" s="140">
        <f t="shared" si="3"/>
        <v>0</v>
      </c>
      <c r="H57" s="136">
        <f t="shared" si="4"/>
        <v>0</v>
      </c>
      <c r="I57" s="127"/>
    </row>
    <row r="58" spans="1:9" x14ac:dyDescent="0.25">
      <c r="A58" s="953"/>
      <c r="B58" s="148">
        <v>55201010100005</v>
      </c>
      <c r="C58" s="133" t="s">
        <v>106</v>
      </c>
      <c r="D58" s="137"/>
      <c r="E58" s="137"/>
      <c r="F58" s="139"/>
      <c r="G58" s="140">
        <f t="shared" si="3"/>
        <v>0</v>
      </c>
      <c r="H58" s="136">
        <f t="shared" si="4"/>
        <v>0</v>
      </c>
      <c r="I58" s="127"/>
    </row>
    <row r="59" spans="1:9" x14ac:dyDescent="0.25">
      <c r="A59" s="953"/>
      <c r="B59" s="149"/>
      <c r="C59" s="129" t="s">
        <v>107</v>
      </c>
      <c r="D59" s="130">
        <f>SUM(D60:D68)</f>
        <v>220329</v>
      </c>
      <c r="E59" s="141"/>
      <c r="F59" s="141"/>
      <c r="G59" s="130"/>
      <c r="H59" s="130">
        <f>SUM(H60:H68)</f>
        <v>220329</v>
      </c>
      <c r="I59" s="127"/>
    </row>
    <row r="60" spans="1:9" x14ac:dyDescent="0.25">
      <c r="A60" s="953"/>
      <c r="B60" s="148">
        <v>53207010000000</v>
      </c>
      <c r="C60" s="133" t="s">
        <v>108</v>
      </c>
      <c r="D60" s="144"/>
      <c r="E60" s="144"/>
      <c r="F60" s="146"/>
      <c r="G60" s="140">
        <f t="shared" si="3"/>
        <v>0</v>
      </c>
      <c r="H60" s="136">
        <f t="shared" si="4"/>
        <v>0</v>
      </c>
      <c r="I60" s="127"/>
    </row>
    <row r="61" spans="1:9" x14ac:dyDescent="0.25">
      <c r="A61" s="953"/>
      <c r="B61" s="148">
        <v>53207020000000</v>
      </c>
      <c r="C61" s="133" t="s">
        <v>109</v>
      </c>
      <c r="D61" s="144"/>
      <c r="E61" s="144"/>
      <c r="F61" s="146"/>
      <c r="G61" s="140">
        <f t="shared" si="3"/>
        <v>0</v>
      </c>
      <c r="H61" s="136">
        <f t="shared" si="4"/>
        <v>0</v>
      </c>
      <c r="I61" s="127"/>
    </row>
    <row r="62" spans="1:9" x14ac:dyDescent="0.25">
      <c r="A62" s="953"/>
      <c r="B62" s="148">
        <v>53208020000000</v>
      </c>
      <c r="C62" s="133" t="s">
        <v>110</v>
      </c>
      <c r="D62" s="144"/>
      <c r="E62" s="144"/>
      <c r="F62" s="146"/>
      <c r="G62" s="140">
        <f t="shared" si="3"/>
        <v>0</v>
      </c>
      <c r="H62" s="136">
        <f t="shared" si="4"/>
        <v>0</v>
      </c>
      <c r="I62" s="127"/>
    </row>
    <row r="63" spans="1:9" x14ac:dyDescent="0.25">
      <c r="A63" s="953"/>
      <c r="B63" s="148">
        <v>53208990000000</v>
      </c>
      <c r="C63" s="133" t="s">
        <v>111</v>
      </c>
      <c r="D63" s="144"/>
      <c r="E63" s="144"/>
      <c r="F63" s="146"/>
      <c r="G63" s="140">
        <f t="shared" si="3"/>
        <v>0</v>
      </c>
      <c r="H63" s="136">
        <f t="shared" si="4"/>
        <v>0</v>
      </c>
      <c r="I63" s="127"/>
    </row>
    <row r="64" spans="1:9" x14ac:dyDescent="0.25">
      <c r="A64" s="953"/>
      <c r="B64" s="148">
        <v>53209010000000</v>
      </c>
      <c r="C64" s="133" t="s">
        <v>112</v>
      </c>
      <c r="D64" s="144"/>
      <c r="E64" s="144"/>
      <c r="F64" s="146"/>
      <c r="G64" s="140">
        <f t="shared" si="3"/>
        <v>0</v>
      </c>
      <c r="H64" s="136">
        <f t="shared" si="4"/>
        <v>0</v>
      </c>
      <c r="I64" s="127"/>
    </row>
    <row r="65" spans="1:9" x14ac:dyDescent="0.25">
      <c r="A65" s="953"/>
      <c r="B65" s="148">
        <v>53209040000000</v>
      </c>
      <c r="C65" s="133" t="s">
        <v>113</v>
      </c>
      <c r="D65" s="144"/>
      <c r="E65" s="144"/>
      <c r="F65" s="146"/>
      <c r="G65" s="140">
        <f t="shared" si="3"/>
        <v>0</v>
      </c>
      <c r="H65" s="136">
        <f t="shared" si="4"/>
        <v>0</v>
      </c>
      <c r="I65" s="127"/>
    </row>
    <row r="66" spans="1:9" x14ac:dyDescent="0.25">
      <c r="A66" s="953"/>
      <c r="B66" s="148">
        <v>53209050000000</v>
      </c>
      <c r="C66" s="133" t="s">
        <v>114</v>
      </c>
      <c r="D66" s="144">
        <v>220329</v>
      </c>
      <c r="E66" s="144"/>
      <c r="F66" s="146"/>
      <c r="G66" s="140">
        <f t="shared" si="3"/>
        <v>0</v>
      </c>
      <c r="H66" s="136">
        <f t="shared" si="4"/>
        <v>220329</v>
      </c>
      <c r="I66" s="127"/>
    </row>
    <row r="67" spans="1:9" x14ac:dyDescent="0.25">
      <c r="A67" s="953"/>
      <c r="B67" s="148">
        <v>53209990000000</v>
      </c>
      <c r="C67" s="133" t="s">
        <v>115</v>
      </c>
      <c r="D67" s="144"/>
      <c r="E67" s="144"/>
      <c r="F67" s="146"/>
      <c r="G67" s="140">
        <f t="shared" si="3"/>
        <v>0</v>
      </c>
      <c r="H67" s="136">
        <f t="shared" si="4"/>
        <v>0</v>
      </c>
      <c r="I67" s="127"/>
    </row>
    <row r="68" spans="1:9" x14ac:dyDescent="0.25">
      <c r="A68" s="953"/>
      <c r="B68" s="148">
        <v>53210020100000</v>
      </c>
      <c r="C68" s="133" t="s">
        <v>116</v>
      </c>
      <c r="D68" s="144"/>
      <c r="E68" s="144"/>
      <c r="F68" s="146"/>
      <c r="G68" s="140">
        <f t="shared" si="3"/>
        <v>0</v>
      </c>
      <c r="H68" s="136">
        <f t="shared" si="4"/>
        <v>0</v>
      </c>
      <c r="I68" s="585"/>
    </row>
    <row r="69" spans="1:9" x14ac:dyDescent="0.25">
      <c r="A69" s="953"/>
      <c r="B69" s="149"/>
      <c r="C69" s="129" t="s">
        <v>117</v>
      </c>
      <c r="D69" s="130">
        <f>SUM(D70:D76)</f>
        <v>109432</v>
      </c>
      <c r="E69" s="141"/>
      <c r="F69" s="141"/>
      <c r="G69" s="130">
        <f>SUM(G70:G76)</f>
        <v>0</v>
      </c>
      <c r="H69" s="130">
        <f>SUM(H70:H76)</f>
        <v>109432</v>
      </c>
      <c r="I69" s="127"/>
    </row>
    <row r="70" spans="1:9" x14ac:dyDescent="0.25">
      <c r="A70" s="953"/>
      <c r="B70" s="148">
        <v>53206030000000</v>
      </c>
      <c r="C70" s="133" t="s">
        <v>118</v>
      </c>
      <c r="D70" s="144"/>
      <c r="E70" s="144"/>
      <c r="F70" s="146"/>
      <c r="G70" s="140">
        <f t="shared" si="3"/>
        <v>0</v>
      </c>
      <c r="H70" s="136">
        <f t="shared" si="4"/>
        <v>0</v>
      </c>
      <c r="I70" s="127"/>
    </row>
    <row r="71" spans="1:9" x14ac:dyDescent="0.25">
      <c r="A71" s="953"/>
      <c r="B71" s="148">
        <v>53206040000000</v>
      </c>
      <c r="C71" s="133" t="s">
        <v>119</v>
      </c>
      <c r="D71" s="144"/>
      <c r="E71" s="144"/>
      <c r="F71" s="146"/>
      <c r="G71" s="140">
        <f t="shared" si="3"/>
        <v>0</v>
      </c>
      <c r="H71" s="136">
        <f t="shared" si="4"/>
        <v>0</v>
      </c>
      <c r="I71" s="127"/>
    </row>
    <row r="72" spans="1:9" x14ac:dyDescent="0.25">
      <c r="A72" s="953"/>
      <c r="B72" s="148">
        <v>53206060000000</v>
      </c>
      <c r="C72" s="133" t="s">
        <v>120</v>
      </c>
      <c r="D72" s="144"/>
      <c r="E72" s="144"/>
      <c r="F72" s="146"/>
      <c r="G72" s="140">
        <f t="shared" si="3"/>
        <v>0</v>
      </c>
      <c r="H72" s="136">
        <f t="shared" si="4"/>
        <v>0</v>
      </c>
      <c r="I72" s="127"/>
    </row>
    <row r="73" spans="1:9" x14ac:dyDescent="0.25">
      <c r="A73" s="953"/>
      <c r="B73" s="148">
        <v>53206070000000</v>
      </c>
      <c r="C73" s="133" t="s">
        <v>121</v>
      </c>
      <c r="D73" s="144"/>
      <c r="E73" s="144"/>
      <c r="F73" s="146"/>
      <c r="G73" s="140">
        <f t="shared" si="3"/>
        <v>0</v>
      </c>
      <c r="H73" s="136">
        <f t="shared" si="4"/>
        <v>0</v>
      </c>
      <c r="I73" s="127"/>
    </row>
    <row r="74" spans="1:9" x14ac:dyDescent="0.25">
      <c r="A74" s="953"/>
      <c r="B74" s="148">
        <v>53206990000000</v>
      </c>
      <c r="C74" s="133" t="s">
        <v>122</v>
      </c>
      <c r="D74" s="144">
        <v>109432</v>
      </c>
      <c r="E74" s="144"/>
      <c r="F74" s="146"/>
      <c r="G74" s="140">
        <f t="shared" si="3"/>
        <v>0</v>
      </c>
      <c r="H74" s="136">
        <f t="shared" si="4"/>
        <v>109432</v>
      </c>
      <c r="I74" s="127"/>
    </row>
    <row r="75" spans="1:9" x14ac:dyDescent="0.25">
      <c r="A75" s="953"/>
      <c r="B75" s="151">
        <v>53208030000000</v>
      </c>
      <c r="C75" s="152" t="s">
        <v>123</v>
      </c>
      <c r="D75" s="144"/>
      <c r="E75" s="144"/>
      <c r="F75" s="146"/>
      <c r="G75" s="140">
        <f t="shared" si="3"/>
        <v>0</v>
      </c>
      <c r="H75" s="136">
        <f t="shared" si="4"/>
        <v>0</v>
      </c>
      <c r="I75" s="127"/>
    </row>
    <row r="76" spans="1:9" x14ac:dyDescent="0.25">
      <c r="A76" s="953"/>
      <c r="B76" s="151">
        <v>53212060000000</v>
      </c>
      <c r="C76" s="153" t="s">
        <v>124</v>
      </c>
      <c r="D76" s="137"/>
      <c r="E76" s="137"/>
      <c r="F76" s="139"/>
      <c r="G76" s="140">
        <f t="shared" si="3"/>
        <v>0</v>
      </c>
      <c r="H76" s="136">
        <f t="shared" si="4"/>
        <v>0</v>
      </c>
      <c r="I76" s="127"/>
    </row>
    <row r="77" spans="1:9" x14ac:dyDescent="0.25">
      <c r="A77" s="953"/>
      <c r="B77" s="154"/>
      <c r="C77" s="155" t="s">
        <v>125</v>
      </c>
      <c r="D77" s="130">
        <f>SUM(D78:D79)</f>
        <v>122572</v>
      </c>
      <c r="E77" s="141"/>
      <c r="F77" s="141"/>
      <c r="G77" s="130">
        <f>SUM(G78:G79)</f>
        <v>0</v>
      </c>
      <c r="H77" s="130">
        <f>SUM(H78:H79)</f>
        <v>122572</v>
      </c>
      <c r="I77" s="127"/>
    </row>
    <row r="78" spans="1:9" x14ac:dyDescent="0.25">
      <c r="A78" s="953"/>
      <c r="B78" s="151">
        <v>53210020500000</v>
      </c>
      <c r="C78" s="153" t="s">
        <v>126</v>
      </c>
      <c r="D78" s="137"/>
      <c r="E78" s="137"/>
      <c r="F78" s="139"/>
      <c r="G78" s="140">
        <f t="shared" si="3"/>
        <v>0</v>
      </c>
      <c r="H78" s="136">
        <f t="shared" si="4"/>
        <v>0</v>
      </c>
      <c r="I78" s="127"/>
    </row>
    <row r="79" spans="1:9" x14ac:dyDescent="0.25">
      <c r="A79" s="953"/>
      <c r="B79" s="156">
        <v>53204999000000</v>
      </c>
      <c r="C79" s="157" t="s">
        <v>127</v>
      </c>
      <c r="D79" s="137">
        <v>122572</v>
      </c>
      <c r="E79" s="144"/>
      <c r="F79" s="146"/>
      <c r="G79" s="140">
        <f t="shared" si="3"/>
        <v>0</v>
      </c>
      <c r="H79" s="136">
        <f t="shared" si="4"/>
        <v>122572</v>
      </c>
      <c r="I79" s="127"/>
    </row>
    <row r="80" spans="1:9" x14ac:dyDescent="0.25">
      <c r="A80" s="954"/>
      <c r="B80" s="158"/>
      <c r="C80" s="159" t="s">
        <v>12</v>
      </c>
      <c r="D80" s="160">
        <f>SUM(D11,D39)</f>
        <v>26787748</v>
      </c>
      <c r="E80" s="161"/>
      <c r="F80" s="161"/>
      <c r="G80" s="160">
        <f>SUM(G11,G39)</f>
        <v>225720</v>
      </c>
      <c r="H80" s="160">
        <f>SUM(H11,H39)</f>
        <v>27013468</v>
      </c>
      <c r="I80" s="162"/>
    </row>
    <row r="81" spans="1:9" x14ac:dyDescent="0.25">
      <c r="A81" s="955" t="s">
        <v>20</v>
      </c>
      <c r="B81" s="956" t="s">
        <v>51</v>
      </c>
      <c r="C81" s="958" t="s">
        <v>52</v>
      </c>
      <c r="D81" s="960" t="s">
        <v>53</v>
      </c>
      <c r="E81" s="962" t="s">
        <v>54</v>
      </c>
      <c r="F81" s="963"/>
      <c r="G81" s="964"/>
      <c r="H81" s="965" t="str">
        <f>+H9</f>
        <v>COSTO DIRECTO ESTIMADO 2026</v>
      </c>
      <c r="I81" s="966" t="s">
        <v>55</v>
      </c>
    </row>
    <row r="82" spans="1:9" ht="25.5" x14ac:dyDescent="0.25">
      <c r="A82" s="939"/>
      <c r="B82" s="957"/>
      <c r="C82" s="959"/>
      <c r="D82" s="961"/>
      <c r="E82" s="163" t="s">
        <v>56</v>
      </c>
      <c r="F82" s="164" t="s">
        <v>57</v>
      </c>
      <c r="G82" s="165" t="s">
        <v>58</v>
      </c>
      <c r="H82" s="950"/>
      <c r="I82" s="966"/>
    </row>
    <row r="83" spans="1:9" x14ac:dyDescent="0.25">
      <c r="A83" s="967" t="str">
        <f>+'B) Reajuste Tarifas y Ocupación'!A15</f>
        <v>Cabañas Moraleda</v>
      </c>
      <c r="B83" s="166"/>
      <c r="C83" s="167" t="s">
        <v>59</v>
      </c>
      <c r="D83" s="168">
        <f>SUM(D84,D89,D91)</f>
        <v>4858165</v>
      </c>
      <c r="E83" s="169"/>
      <c r="F83" s="169"/>
      <c r="G83" s="168">
        <f>SUM(G84,G89,G91)</f>
        <v>112860</v>
      </c>
      <c r="H83" s="170">
        <f>SUM(H84,H89,H91)</f>
        <v>4971025</v>
      </c>
      <c r="I83" s="583"/>
    </row>
    <row r="84" spans="1:9" x14ac:dyDescent="0.25">
      <c r="A84" s="953"/>
      <c r="B84" s="154"/>
      <c r="C84" s="171" t="s">
        <v>60</v>
      </c>
      <c r="D84" s="172">
        <f>SUM(D85:D88)</f>
        <v>0</v>
      </c>
      <c r="E84" s="173"/>
      <c r="F84" s="173"/>
      <c r="G84" s="173">
        <f>SUM(G85:G88)</f>
        <v>0</v>
      </c>
      <c r="H84" s="172">
        <f>SUM(H85:H88)</f>
        <v>0</v>
      </c>
      <c r="I84" s="583"/>
    </row>
    <row r="85" spans="1:9" x14ac:dyDescent="0.25">
      <c r="A85" s="953"/>
      <c r="B85" s="151">
        <v>53103040100000</v>
      </c>
      <c r="C85" s="174" t="s">
        <v>128</v>
      </c>
      <c r="D85" s="175">
        <f>+'F) Remuneraciones'!M28</f>
        <v>0</v>
      </c>
      <c r="E85" s="176"/>
      <c r="F85" s="176"/>
      <c r="G85" s="176">
        <f t="shared" ref="G85:G110" si="5">E85*F85</f>
        <v>0</v>
      </c>
      <c r="H85" s="136">
        <f t="shared" ref="H85:H110" si="6">D85+G85</f>
        <v>0</v>
      </c>
      <c r="I85" s="583"/>
    </row>
    <row r="86" spans="1:9" x14ac:dyDescent="0.25">
      <c r="A86" s="953"/>
      <c r="B86" s="148">
        <v>53103050000000</v>
      </c>
      <c r="C86" s="178" t="s">
        <v>62</v>
      </c>
      <c r="D86" s="179"/>
      <c r="E86" s="180"/>
      <c r="F86" s="181"/>
      <c r="G86" s="140">
        <f t="shared" si="5"/>
        <v>0</v>
      </c>
      <c r="H86" s="136">
        <f t="shared" si="6"/>
        <v>0</v>
      </c>
      <c r="I86" s="583"/>
    </row>
    <row r="87" spans="1:9" x14ac:dyDescent="0.25">
      <c r="A87" s="953"/>
      <c r="B87" s="148">
        <v>53103060000000</v>
      </c>
      <c r="C87" s="178" t="s">
        <v>63</v>
      </c>
      <c r="D87" s="179"/>
      <c r="E87" s="180"/>
      <c r="F87" s="181"/>
      <c r="G87" s="140">
        <f t="shared" si="5"/>
        <v>0</v>
      </c>
      <c r="H87" s="136">
        <f t="shared" si="6"/>
        <v>0</v>
      </c>
      <c r="I87" s="583"/>
    </row>
    <row r="88" spans="1:9" x14ac:dyDescent="0.25">
      <c r="A88" s="953"/>
      <c r="B88" s="148">
        <v>53103080010000</v>
      </c>
      <c r="C88" s="178" t="s">
        <v>64</v>
      </c>
      <c r="D88" s="179"/>
      <c r="E88" s="180"/>
      <c r="F88" s="181"/>
      <c r="G88" s="140">
        <f t="shared" si="5"/>
        <v>0</v>
      </c>
      <c r="H88" s="136">
        <f t="shared" si="6"/>
        <v>0</v>
      </c>
      <c r="I88" s="162"/>
    </row>
    <row r="89" spans="1:9" x14ac:dyDescent="0.25">
      <c r="A89" s="953"/>
      <c r="B89" s="149"/>
      <c r="C89" s="182" t="s">
        <v>65</v>
      </c>
      <c r="D89" s="172">
        <f>SUM(D90)</f>
        <v>0</v>
      </c>
      <c r="E89" s="183"/>
      <c r="F89" s="183"/>
      <c r="G89" s="184">
        <f>SUM(G90:G90)</f>
        <v>0</v>
      </c>
      <c r="H89" s="172">
        <f>SUM(H90:H90)</f>
        <v>0</v>
      </c>
      <c r="I89" s="162"/>
    </row>
    <row r="90" spans="1:9" x14ac:dyDescent="0.25">
      <c r="A90" s="953"/>
      <c r="B90" s="148">
        <v>55201010100001</v>
      </c>
      <c r="C90" s="178" t="s">
        <v>66</v>
      </c>
      <c r="D90" s="179"/>
      <c r="E90" s="180"/>
      <c r="F90" s="181"/>
      <c r="G90" s="140">
        <f t="shared" si="5"/>
        <v>0</v>
      </c>
      <c r="H90" s="136">
        <f t="shared" si="6"/>
        <v>0</v>
      </c>
      <c r="I90" s="162"/>
    </row>
    <row r="91" spans="1:9" x14ac:dyDescent="0.25">
      <c r="A91" s="953"/>
      <c r="B91" s="149"/>
      <c r="C91" s="182" t="s">
        <v>67</v>
      </c>
      <c r="D91" s="172">
        <f>SUM(D92:D110)</f>
        <v>4858165</v>
      </c>
      <c r="E91" s="183"/>
      <c r="F91" s="183"/>
      <c r="G91" s="172">
        <f>SUM(G92:G110)</f>
        <v>112860</v>
      </c>
      <c r="H91" s="172">
        <f>SUM(H92:H110)</f>
        <v>4971025</v>
      </c>
      <c r="I91" s="162"/>
    </row>
    <row r="92" spans="1:9" x14ac:dyDescent="0.25">
      <c r="A92" s="953"/>
      <c r="B92" s="148">
        <v>53201010100000</v>
      </c>
      <c r="C92" s="178" t="s">
        <v>68</v>
      </c>
      <c r="D92" s="179"/>
      <c r="E92" s="180"/>
      <c r="F92" s="181"/>
      <c r="G92" s="140">
        <f t="shared" si="5"/>
        <v>0</v>
      </c>
      <c r="H92" s="136">
        <f t="shared" si="6"/>
        <v>0</v>
      </c>
      <c r="I92" s="162"/>
    </row>
    <row r="93" spans="1:9" x14ac:dyDescent="0.25">
      <c r="A93" s="953"/>
      <c r="B93" s="148">
        <v>53202010100000</v>
      </c>
      <c r="C93" s="185" t="s">
        <v>69</v>
      </c>
      <c r="D93" s="179"/>
      <c r="E93" s="180"/>
      <c r="F93" s="181"/>
      <c r="G93" s="140">
        <f t="shared" si="5"/>
        <v>0</v>
      </c>
      <c r="H93" s="136">
        <f t="shared" si="6"/>
        <v>0</v>
      </c>
      <c r="I93" s="585" t="s">
        <v>346</v>
      </c>
    </row>
    <row r="94" spans="1:9" x14ac:dyDescent="0.25">
      <c r="A94" s="953"/>
      <c r="B94" s="148">
        <v>53203010100000</v>
      </c>
      <c r="C94" s="185" t="s">
        <v>70</v>
      </c>
      <c r="D94" s="186"/>
      <c r="E94" s="187"/>
      <c r="F94" s="188"/>
      <c r="G94" s="140">
        <f t="shared" si="5"/>
        <v>0</v>
      </c>
      <c r="H94" s="136">
        <f t="shared" si="6"/>
        <v>0</v>
      </c>
      <c r="I94" s="162"/>
    </row>
    <row r="95" spans="1:9" x14ac:dyDescent="0.25">
      <c r="A95" s="953"/>
      <c r="B95" s="148">
        <v>53203030000000</v>
      </c>
      <c r="C95" s="185" t="s">
        <v>71</v>
      </c>
      <c r="D95" s="186">
        <v>193339</v>
      </c>
      <c r="E95" s="187"/>
      <c r="F95" s="188"/>
      <c r="G95" s="140">
        <f t="shared" si="5"/>
        <v>0</v>
      </c>
      <c r="H95" s="136">
        <f t="shared" si="6"/>
        <v>193339</v>
      </c>
      <c r="I95" s="585" t="s">
        <v>347</v>
      </c>
    </row>
    <row r="96" spans="1:9" x14ac:dyDescent="0.25">
      <c r="A96" s="953"/>
      <c r="B96" s="148">
        <v>53204030000000</v>
      </c>
      <c r="C96" s="185" t="s">
        <v>72</v>
      </c>
      <c r="D96" s="186"/>
      <c r="E96" s="187">
        <v>28215</v>
      </c>
      <c r="F96" s="188">
        <v>4</v>
      </c>
      <c r="G96" s="140">
        <f t="shared" si="5"/>
        <v>112860</v>
      </c>
      <c r="H96" s="136">
        <f t="shared" si="6"/>
        <v>112860</v>
      </c>
      <c r="I96" s="585"/>
    </row>
    <row r="97" spans="1:9" x14ac:dyDescent="0.25">
      <c r="A97" s="953"/>
      <c r="B97" s="148">
        <v>53204100100001</v>
      </c>
      <c r="C97" s="185" t="s">
        <v>129</v>
      </c>
      <c r="D97" s="186">
        <v>30000</v>
      </c>
      <c r="E97" s="187"/>
      <c r="F97" s="188"/>
      <c r="G97" s="140">
        <f t="shared" si="5"/>
        <v>0</v>
      </c>
      <c r="H97" s="136">
        <f t="shared" si="6"/>
        <v>30000</v>
      </c>
      <c r="I97" s="162"/>
    </row>
    <row r="98" spans="1:9" x14ac:dyDescent="0.25">
      <c r="A98" s="953"/>
      <c r="B98" s="148">
        <v>53204130100000</v>
      </c>
      <c r="C98" s="185" t="s">
        <v>74</v>
      </c>
      <c r="D98" s="186"/>
      <c r="E98" s="187"/>
      <c r="F98" s="188"/>
      <c r="G98" s="140">
        <f t="shared" si="5"/>
        <v>0</v>
      </c>
      <c r="H98" s="136">
        <f t="shared" si="6"/>
        <v>0</v>
      </c>
      <c r="I98" s="162"/>
    </row>
    <row r="99" spans="1:9" x14ac:dyDescent="0.25">
      <c r="A99" s="953"/>
      <c r="B99" s="148">
        <v>53205010100000</v>
      </c>
      <c r="C99" s="185" t="s">
        <v>75</v>
      </c>
      <c r="D99" s="186">
        <v>702379</v>
      </c>
      <c r="E99" s="187"/>
      <c r="F99" s="188"/>
      <c r="G99" s="140">
        <f t="shared" si="5"/>
        <v>0</v>
      </c>
      <c r="H99" s="136">
        <f t="shared" si="6"/>
        <v>702379</v>
      </c>
      <c r="I99" s="585" t="s">
        <v>348</v>
      </c>
    </row>
    <row r="100" spans="1:9" x14ac:dyDescent="0.25">
      <c r="A100" s="953"/>
      <c r="B100" s="148">
        <v>53205020100000</v>
      </c>
      <c r="C100" s="185" t="s">
        <v>76</v>
      </c>
      <c r="D100" s="186">
        <v>1159434</v>
      </c>
      <c r="E100" s="187"/>
      <c r="F100" s="188"/>
      <c r="G100" s="140">
        <f t="shared" si="5"/>
        <v>0</v>
      </c>
      <c r="H100" s="136">
        <f t="shared" si="6"/>
        <v>1159434</v>
      </c>
      <c r="I100" s="585" t="s">
        <v>348</v>
      </c>
    </row>
    <row r="101" spans="1:9" x14ac:dyDescent="0.25">
      <c r="A101" s="953"/>
      <c r="B101" s="148">
        <v>53205030100000</v>
      </c>
      <c r="C101" s="185" t="s">
        <v>77</v>
      </c>
      <c r="D101" s="186">
        <v>358241</v>
      </c>
      <c r="E101" s="187"/>
      <c r="F101" s="188"/>
      <c r="G101" s="140">
        <f t="shared" si="5"/>
        <v>0</v>
      </c>
      <c r="H101" s="136">
        <f t="shared" si="6"/>
        <v>358241</v>
      </c>
      <c r="I101" s="585" t="s">
        <v>348</v>
      </c>
    </row>
    <row r="102" spans="1:9" x14ac:dyDescent="0.25">
      <c r="A102" s="953"/>
      <c r="B102" s="148">
        <v>53205050100000</v>
      </c>
      <c r="C102" s="185" t="s">
        <v>78</v>
      </c>
      <c r="D102" s="186"/>
      <c r="E102" s="187"/>
      <c r="F102" s="188"/>
      <c r="G102" s="140">
        <f t="shared" si="5"/>
        <v>0</v>
      </c>
      <c r="H102" s="136">
        <f t="shared" si="6"/>
        <v>0</v>
      </c>
      <c r="I102" s="585" t="s">
        <v>348</v>
      </c>
    </row>
    <row r="103" spans="1:9" x14ac:dyDescent="0.25">
      <c r="A103" s="953"/>
      <c r="B103" s="148">
        <v>53205060100000</v>
      </c>
      <c r="C103" s="185" t="s">
        <v>79</v>
      </c>
      <c r="D103" s="186"/>
      <c r="E103" s="187"/>
      <c r="F103" s="188"/>
      <c r="G103" s="140">
        <f t="shared" si="5"/>
        <v>0</v>
      </c>
      <c r="H103" s="136">
        <f t="shared" si="6"/>
        <v>0</v>
      </c>
      <c r="I103" s="162"/>
    </row>
    <row r="104" spans="1:9" x14ac:dyDescent="0.25">
      <c r="A104" s="953"/>
      <c r="B104" s="148">
        <v>53205070100000</v>
      </c>
      <c r="C104" s="185" t="s">
        <v>80</v>
      </c>
      <c r="D104" s="186"/>
      <c r="E104" s="187"/>
      <c r="F104" s="188"/>
      <c r="G104" s="140">
        <f t="shared" si="5"/>
        <v>0</v>
      </c>
      <c r="H104" s="136">
        <f t="shared" si="6"/>
        <v>0</v>
      </c>
      <c r="I104" s="162"/>
    </row>
    <row r="105" spans="1:9" x14ac:dyDescent="0.25">
      <c r="A105" s="953"/>
      <c r="B105" s="151">
        <v>53208010100000</v>
      </c>
      <c r="C105" s="189" t="s">
        <v>81</v>
      </c>
      <c r="D105" s="186">
        <v>1928415</v>
      </c>
      <c r="E105" s="187"/>
      <c r="F105" s="188"/>
      <c r="G105" s="140">
        <f t="shared" si="5"/>
        <v>0</v>
      </c>
      <c r="H105" s="136">
        <f t="shared" si="6"/>
        <v>1928415</v>
      </c>
      <c r="I105" s="162"/>
    </row>
    <row r="106" spans="1:9" x14ac:dyDescent="0.25">
      <c r="A106" s="953"/>
      <c r="B106" s="151">
        <v>53208070100001</v>
      </c>
      <c r="C106" s="190" t="s">
        <v>82</v>
      </c>
      <c r="D106" s="186"/>
      <c r="E106" s="187"/>
      <c r="F106" s="188"/>
      <c r="G106" s="140">
        <f t="shared" si="5"/>
        <v>0</v>
      </c>
      <c r="H106" s="136">
        <f t="shared" si="6"/>
        <v>0</v>
      </c>
      <c r="I106" s="162"/>
    </row>
    <row r="107" spans="1:9" x14ac:dyDescent="0.25">
      <c r="A107" s="953"/>
      <c r="B107" s="151">
        <v>53208100100001</v>
      </c>
      <c r="C107" s="190" t="s">
        <v>83</v>
      </c>
      <c r="D107" s="186"/>
      <c r="E107" s="187"/>
      <c r="F107" s="188"/>
      <c r="G107" s="140">
        <f t="shared" si="5"/>
        <v>0</v>
      </c>
      <c r="H107" s="136">
        <f t="shared" si="6"/>
        <v>0</v>
      </c>
      <c r="I107" s="162"/>
    </row>
    <row r="108" spans="1:9" x14ac:dyDescent="0.25">
      <c r="A108" s="953"/>
      <c r="B108" s="151">
        <v>53211030000000</v>
      </c>
      <c r="C108" s="190" t="s">
        <v>84</v>
      </c>
      <c r="D108" s="186"/>
      <c r="E108" s="187"/>
      <c r="F108" s="188"/>
      <c r="G108" s="140">
        <f t="shared" si="5"/>
        <v>0</v>
      </c>
      <c r="H108" s="136">
        <f t="shared" si="6"/>
        <v>0</v>
      </c>
      <c r="I108" s="162" t="s">
        <v>349</v>
      </c>
    </row>
    <row r="109" spans="1:9" x14ac:dyDescent="0.25">
      <c r="A109" s="953"/>
      <c r="B109" s="151">
        <v>53212020100000</v>
      </c>
      <c r="C109" s="190" t="s">
        <v>85</v>
      </c>
      <c r="D109" s="186">
        <v>486357</v>
      </c>
      <c r="E109" s="187"/>
      <c r="F109" s="188"/>
      <c r="G109" s="140">
        <f t="shared" si="5"/>
        <v>0</v>
      </c>
      <c r="H109" s="136">
        <f t="shared" si="6"/>
        <v>486357</v>
      </c>
      <c r="I109" s="127"/>
    </row>
    <row r="110" spans="1:9" x14ac:dyDescent="0.25">
      <c r="A110" s="953"/>
      <c r="B110" s="151">
        <v>53214020000000</v>
      </c>
      <c r="C110" s="190" t="s">
        <v>86</v>
      </c>
      <c r="D110" s="179"/>
      <c r="E110" s="180"/>
      <c r="F110" s="181"/>
      <c r="G110" s="140">
        <f t="shared" si="5"/>
        <v>0</v>
      </c>
      <c r="H110" s="136">
        <f t="shared" si="6"/>
        <v>0</v>
      </c>
      <c r="I110" s="162"/>
    </row>
    <row r="111" spans="1:9" x14ac:dyDescent="0.25">
      <c r="A111" s="953"/>
      <c r="B111" s="166"/>
      <c r="C111" s="191" t="s">
        <v>87</v>
      </c>
      <c r="D111" s="170">
        <f>SUM(D112,D117,D120,D131,D141,D149)</f>
        <v>1168703</v>
      </c>
      <c r="E111" s="169"/>
      <c r="F111" s="169"/>
      <c r="G111" s="170">
        <f>SUM(G112,G117,G120,G131,G141,G149)</f>
        <v>100000</v>
      </c>
      <c r="H111" s="170">
        <f>SUM(H112,H117,H120,H131,H141,H149)</f>
        <v>1268703</v>
      </c>
      <c r="I111" s="162"/>
    </row>
    <row r="112" spans="1:9" x14ac:dyDescent="0.25">
      <c r="A112" s="953"/>
      <c r="B112" s="149"/>
      <c r="C112" s="182" t="s">
        <v>88</v>
      </c>
      <c r="D112" s="172">
        <f>SUM(D113:D116)</f>
        <v>0</v>
      </c>
      <c r="E112" s="183"/>
      <c r="F112" s="183"/>
      <c r="G112" s="184">
        <f>SUM(G113:G116)</f>
        <v>100000</v>
      </c>
      <c r="H112" s="184">
        <f>SUM(H113:H116)</f>
        <v>100000</v>
      </c>
      <c r="I112" s="585"/>
    </row>
    <row r="113" spans="1:9" x14ac:dyDescent="0.25">
      <c r="A113" s="953"/>
      <c r="B113" s="148">
        <v>53202020100000</v>
      </c>
      <c r="C113" s="178" t="s">
        <v>130</v>
      </c>
      <c r="D113" s="186"/>
      <c r="E113" s="187">
        <v>50000</v>
      </c>
      <c r="F113" s="188">
        <v>1</v>
      </c>
      <c r="G113" s="140">
        <f t="shared" ref="G113:G151" si="7">E113*F113</f>
        <v>50000</v>
      </c>
      <c r="H113" s="136">
        <f t="shared" ref="H113:H151" si="8">D113+G113</f>
        <v>50000</v>
      </c>
      <c r="I113" s="585"/>
    </row>
    <row r="114" spans="1:9" x14ac:dyDescent="0.25">
      <c r="A114" s="953"/>
      <c r="B114" s="148">
        <v>53202030000000</v>
      </c>
      <c r="C114" s="178" t="s">
        <v>90</v>
      </c>
      <c r="D114" s="179"/>
      <c r="E114" s="180">
        <v>50000</v>
      </c>
      <c r="F114" s="181">
        <v>1</v>
      </c>
      <c r="G114" s="140">
        <f t="shared" si="7"/>
        <v>50000</v>
      </c>
      <c r="H114" s="136">
        <f t="shared" si="8"/>
        <v>50000</v>
      </c>
      <c r="I114" s="585"/>
    </row>
    <row r="115" spans="1:9" x14ac:dyDescent="0.25">
      <c r="A115" s="953"/>
      <c r="B115" s="148">
        <v>53211020000000</v>
      </c>
      <c r="C115" s="178" t="s">
        <v>91</v>
      </c>
      <c r="D115" s="186"/>
      <c r="E115" s="187"/>
      <c r="F115" s="188"/>
      <c r="G115" s="140">
        <f t="shared" si="7"/>
        <v>0</v>
      </c>
      <c r="H115" s="136">
        <f t="shared" si="8"/>
        <v>0</v>
      </c>
      <c r="I115" s="162"/>
    </row>
    <row r="116" spans="1:9" x14ac:dyDescent="0.25">
      <c r="A116" s="953"/>
      <c r="B116" s="148">
        <v>53101004030000</v>
      </c>
      <c r="C116" s="178" t="s">
        <v>92</v>
      </c>
      <c r="D116" s="179"/>
      <c r="E116" s="180"/>
      <c r="F116" s="181"/>
      <c r="G116" s="140">
        <f t="shared" si="7"/>
        <v>0</v>
      </c>
      <c r="H116" s="136">
        <f t="shared" si="8"/>
        <v>0</v>
      </c>
      <c r="I116" s="162"/>
    </row>
    <row r="117" spans="1:9" x14ac:dyDescent="0.25">
      <c r="A117" s="953"/>
      <c r="B117" s="149"/>
      <c r="C117" s="182" t="s">
        <v>93</v>
      </c>
      <c r="D117" s="172">
        <f>SUM(D118:D119)</f>
        <v>342865</v>
      </c>
      <c r="E117" s="183"/>
      <c r="F117" s="183"/>
      <c r="G117" s="184">
        <f>SUM(G118:G119)</f>
        <v>0</v>
      </c>
      <c r="H117" s="184">
        <f>SUM(H118:H119)</f>
        <v>342865</v>
      </c>
      <c r="I117" s="162"/>
    </row>
    <row r="118" spans="1:9" x14ac:dyDescent="0.25">
      <c r="A118" s="953"/>
      <c r="B118" s="148">
        <v>53205080000000</v>
      </c>
      <c r="C118" s="185" t="s">
        <v>94</v>
      </c>
      <c r="D118" s="179">
        <v>342865</v>
      </c>
      <c r="E118" s="180"/>
      <c r="F118" s="181"/>
      <c r="G118" s="140">
        <f t="shared" si="7"/>
        <v>0</v>
      </c>
      <c r="H118" s="136">
        <f t="shared" si="8"/>
        <v>342865</v>
      </c>
      <c r="I118" s="585" t="s">
        <v>353</v>
      </c>
    </row>
    <row r="119" spans="1:9" x14ac:dyDescent="0.25">
      <c r="A119" s="953"/>
      <c r="B119" s="148">
        <v>53205990000000</v>
      </c>
      <c r="C119" s="178" t="s">
        <v>95</v>
      </c>
      <c r="D119" s="186"/>
      <c r="E119" s="187"/>
      <c r="F119" s="188"/>
      <c r="G119" s="140">
        <f t="shared" si="7"/>
        <v>0</v>
      </c>
      <c r="H119" s="136">
        <f t="shared" si="8"/>
        <v>0</v>
      </c>
      <c r="I119" s="162"/>
    </row>
    <row r="120" spans="1:9" x14ac:dyDescent="0.25">
      <c r="A120" s="953"/>
      <c r="B120" s="149"/>
      <c r="C120" s="182" t="s">
        <v>96</v>
      </c>
      <c r="D120" s="172">
        <f>SUM(D121:D130)</f>
        <v>825838</v>
      </c>
      <c r="E120" s="183"/>
      <c r="F120" s="183"/>
      <c r="G120" s="172">
        <f>SUM(G121:G130)</f>
        <v>0</v>
      </c>
      <c r="H120" s="172">
        <f>SUM(H121:H130)</f>
        <v>825838</v>
      </c>
      <c r="I120" s="162"/>
    </row>
    <row r="121" spans="1:9" x14ac:dyDescent="0.25">
      <c r="A121" s="953"/>
      <c r="B121" s="148">
        <v>53203010200000</v>
      </c>
      <c r="C121" s="178" t="s">
        <v>97</v>
      </c>
      <c r="D121" s="179"/>
      <c r="E121" s="179"/>
      <c r="F121" s="181"/>
      <c r="G121" s="140">
        <f t="shared" si="7"/>
        <v>0</v>
      </c>
      <c r="H121" s="136">
        <f t="shared" si="8"/>
        <v>0</v>
      </c>
      <c r="I121" s="585"/>
    </row>
    <row r="122" spans="1:9" x14ac:dyDescent="0.25">
      <c r="A122" s="953"/>
      <c r="B122" s="148">
        <v>53204010000000</v>
      </c>
      <c r="C122" s="178" t="s">
        <v>98</v>
      </c>
      <c r="D122" s="186"/>
      <c r="E122" s="186"/>
      <c r="F122" s="188"/>
      <c r="G122" s="140">
        <f t="shared" si="7"/>
        <v>0</v>
      </c>
      <c r="H122" s="136">
        <f t="shared" si="8"/>
        <v>0</v>
      </c>
      <c r="I122" s="585"/>
    </row>
    <row r="123" spans="1:9" x14ac:dyDescent="0.25">
      <c r="A123" s="953"/>
      <c r="B123" s="148">
        <v>53204040200000</v>
      </c>
      <c r="C123" s="178" t="s">
        <v>99</v>
      </c>
      <c r="D123" s="186"/>
      <c r="E123" s="186"/>
      <c r="F123" s="188"/>
      <c r="G123" s="140">
        <f t="shared" si="7"/>
        <v>0</v>
      </c>
      <c r="H123" s="136">
        <f t="shared" si="8"/>
        <v>0</v>
      </c>
      <c r="I123" s="585"/>
    </row>
    <row r="124" spans="1:9" x14ac:dyDescent="0.25">
      <c r="A124" s="953"/>
      <c r="B124" s="148">
        <v>53204060000000</v>
      </c>
      <c r="C124" s="178" t="s">
        <v>100</v>
      </c>
      <c r="D124" s="186"/>
      <c r="E124" s="186"/>
      <c r="F124" s="188"/>
      <c r="G124" s="140">
        <f t="shared" si="7"/>
        <v>0</v>
      </c>
      <c r="H124" s="136">
        <f t="shared" si="8"/>
        <v>0</v>
      </c>
      <c r="I124" s="585"/>
    </row>
    <row r="125" spans="1:9" x14ac:dyDescent="0.25">
      <c r="A125" s="953"/>
      <c r="B125" s="148">
        <v>53204070000000</v>
      </c>
      <c r="C125" s="185" t="s">
        <v>101</v>
      </c>
      <c r="D125" s="186">
        <v>282438</v>
      </c>
      <c r="E125" s="186"/>
      <c r="F125" s="188"/>
      <c r="G125" s="140">
        <f t="shared" si="7"/>
        <v>0</v>
      </c>
      <c r="H125" s="136">
        <f t="shared" si="8"/>
        <v>282438</v>
      </c>
      <c r="I125" s="585" t="s">
        <v>350</v>
      </c>
    </row>
    <row r="126" spans="1:9" x14ac:dyDescent="0.25">
      <c r="A126" s="953"/>
      <c r="B126" s="148">
        <v>53204080000000</v>
      </c>
      <c r="C126" s="178" t="s">
        <v>102</v>
      </c>
      <c r="D126" s="186">
        <v>543400</v>
      </c>
      <c r="E126" s="186"/>
      <c r="F126" s="188"/>
      <c r="G126" s="140">
        <f t="shared" si="7"/>
        <v>0</v>
      </c>
      <c r="H126" s="136">
        <f t="shared" si="8"/>
        <v>543400</v>
      </c>
      <c r="I126" s="585" t="s">
        <v>351</v>
      </c>
    </row>
    <row r="127" spans="1:9" x14ac:dyDescent="0.25">
      <c r="A127" s="953"/>
      <c r="B127" s="148">
        <v>53214010000000</v>
      </c>
      <c r="C127" s="178" t="s">
        <v>103</v>
      </c>
      <c r="D127" s="179"/>
      <c r="E127" s="179"/>
      <c r="F127" s="181"/>
      <c r="G127" s="140">
        <f t="shared" si="7"/>
        <v>0</v>
      </c>
      <c r="H127" s="136">
        <f t="shared" si="8"/>
        <v>0</v>
      </c>
      <c r="I127" s="162"/>
    </row>
    <row r="128" spans="1:9" x14ac:dyDescent="0.25">
      <c r="A128" s="953"/>
      <c r="B128" s="148">
        <v>53214040000000</v>
      </c>
      <c r="C128" s="178" t="s">
        <v>104</v>
      </c>
      <c r="D128" s="179"/>
      <c r="E128" s="179"/>
      <c r="F128" s="181"/>
      <c r="G128" s="140">
        <f t="shared" si="7"/>
        <v>0</v>
      </c>
      <c r="H128" s="136">
        <f t="shared" si="8"/>
        <v>0</v>
      </c>
      <c r="I128" s="162"/>
    </row>
    <row r="129" spans="1:9" x14ac:dyDescent="0.25">
      <c r="A129" s="953"/>
      <c r="B129" s="148">
        <v>55201010100004</v>
      </c>
      <c r="C129" s="178" t="s">
        <v>105</v>
      </c>
      <c r="D129" s="179"/>
      <c r="E129" s="179"/>
      <c r="F129" s="181"/>
      <c r="G129" s="140">
        <f t="shared" si="7"/>
        <v>0</v>
      </c>
      <c r="H129" s="136">
        <f t="shared" si="8"/>
        <v>0</v>
      </c>
      <c r="I129" s="162"/>
    </row>
    <row r="130" spans="1:9" x14ac:dyDescent="0.25">
      <c r="A130" s="953"/>
      <c r="B130" s="148">
        <v>55201010100005</v>
      </c>
      <c r="C130" s="178" t="s">
        <v>106</v>
      </c>
      <c r="D130" s="179"/>
      <c r="E130" s="179"/>
      <c r="F130" s="181"/>
      <c r="G130" s="140">
        <f t="shared" si="7"/>
        <v>0</v>
      </c>
      <c r="H130" s="136">
        <f t="shared" si="8"/>
        <v>0</v>
      </c>
      <c r="I130" s="162"/>
    </row>
    <row r="131" spans="1:9" x14ac:dyDescent="0.25">
      <c r="A131" s="953"/>
      <c r="B131" s="149"/>
      <c r="C131" s="182" t="s">
        <v>107</v>
      </c>
      <c r="D131" s="172">
        <f>SUM(D132:D140)</f>
        <v>0</v>
      </c>
      <c r="E131" s="183"/>
      <c r="F131" s="183"/>
      <c r="G131" s="172">
        <f>SUM(G132:G140)</f>
        <v>0</v>
      </c>
      <c r="H131" s="172">
        <f>SUM(H132:H140)</f>
        <v>0</v>
      </c>
      <c r="I131" s="162"/>
    </row>
    <row r="132" spans="1:9" x14ac:dyDescent="0.25">
      <c r="A132" s="953"/>
      <c r="B132" s="148">
        <v>53207010000000</v>
      </c>
      <c r="C132" s="178" t="s">
        <v>108</v>
      </c>
      <c r="D132" s="186"/>
      <c r="E132" s="186"/>
      <c r="F132" s="188"/>
      <c r="G132" s="140">
        <f t="shared" si="7"/>
        <v>0</v>
      </c>
      <c r="H132" s="136">
        <f t="shared" si="8"/>
        <v>0</v>
      </c>
      <c r="I132" s="162"/>
    </row>
    <row r="133" spans="1:9" x14ac:dyDescent="0.25">
      <c r="A133" s="953"/>
      <c r="B133" s="148">
        <v>53207020000000</v>
      </c>
      <c r="C133" s="178" t="s">
        <v>109</v>
      </c>
      <c r="D133" s="186"/>
      <c r="E133" s="186"/>
      <c r="F133" s="188"/>
      <c r="G133" s="140">
        <f t="shared" si="7"/>
        <v>0</v>
      </c>
      <c r="H133" s="136">
        <f t="shared" si="8"/>
        <v>0</v>
      </c>
      <c r="I133" s="162"/>
    </row>
    <row r="134" spans="1:9" x14ac:dyDescent="0.25">
      <c r="A134" s="953"/>
      <c r="B134" s="151">
        <v>53208020000000</v>
      </c>
      <c r="C134" s="152" t="s">
        <v>110</v>
      </c>
      <c r="D134" s="186"/>
      <c r="E134" s="186"/>
      <c r="F134" s="188"/>
      <c r="G134" s="140">
        <f t="shared" si="7"/>
        <v>0</v>
      </c>
      <c r="H134" s="136">
        <f t="shared" si="8"/>
        <v>0</v>
      </c>
      <c r="I134" s="162"/>
    </row>
    <row r="135" spans="1:9" x14ac:dyDescent="0.25">
      <c r="A135" s="953"/>
      <c r="B135" s="151">
        <v>53208990000000</v>
      </c>
      <c r="C135" s="190" t="s">
        <v>111</v>
      </c>
      <c r="D135" s="186"/>
      <c r="E135" s="186"/>
      <c r="F135" s="188"/>
      <c r="G135" s="140">
        <f t="shared" si="7"/>
        <v>0</v>
      </c>
      <c r="H135" s="136">
        <f t="shared" si="8"/>
        <v>0</v>
      </c>
      <c r="I135" s="162"/>
    </row>
    <row r="136" spans="1:9" x14ac:dyDescent="0.25">
      <c r="A136" s="953"/>
      <c r="B136" s="151">
        <v>53209010000000</v>
      </c>
      <c r="C136" s="174" t="s">
        <v>112</v>
      </c>
      <c r="D136" s="186"/>
      <c r="E136" s="186"/>
      <c r="F136" s="188"/>
      <c r="G136" s="140">
        <f t="shared" si="7"/>
        <v>0</v>
      </c>
      <c r="H136" s="136">
        <f t="shared" si="8"/>
        <v>0</v>
      </c>
      <c r="I136" s="162"/>
    </row>
    <row r="137" spans="1:9" x14ac:dyDescent="0.25">
      <c r="A137" s="953"/>
      <c r="B137" s="148">
        <v>53209040000000</v>
      </c>
      <c r="C137" s="178" t="s">
        <v>113</v>
      </c>
      <c r="D137" s="186"/>
      <c r="E137" s="186"/>
      <c r="F137" s="188"/>
      <c r="G137" s="140">
        <f t="shared" si="7"/>
        <v>0</v>
      </c>
      <c r="H137" s="136">
        <f t="shared" si="8"/>
        <v>0</v>
      </c>
      <c r="I137" s="162"/>
    </row>
    <row r="138" spans="1:9" x14ac:dyDescent="0.25">
      <c r="A138" s="953"/>
      <c r="B138" s="148">
        <v>53209050000000</v>
      </c>
      <c r="C138" s="178" t="s">
        <v>114</v>
      </c>
      <c r="D138" s="186"/>
      <c r="E138" s="186"/>
      <c r="F138" s="188"/>
      <c r="G138" s="140">
        <f t="shared" si="7"/>
        <v>0</v>
      </c>
      <c r="H138" s="136">
        <f t="shared" si="8"/>
        <v>0</v>
      </c>
      <c r="I138" s="162"/>
    </row>
    <row r="139" spans="1:9" x14ac:dyDescent="0.25">
      <c r="A139" s="953"/>
      <c r="B139" s="148">
        <v>53209990000000</v>
      </c>
      <c r="C139" s="178" t="s">
        <v>115</v>
      </c>
      <c r="D139" s="186"/>
      <c r="E139" s="186"/>
      <c r="F139" s="188"/>
      <c r="G139" s="140">
        <f t="shared" si="7"/>
        <v>0</v>
      </c>
      <c r="H139" s="136">
        <f t="shared" si="8"/>
        <v>0</v>
      </c>
      <c r="I139" s="162"/>
    </row>
    <row r="140" spans="1:9" x14ac:dyDescent="0.25">
      <c r="A140" s="953"/>
      <c r="B140" s="148">
        <v>53210020100000</v>
      </c>
      <c r="C140" s="178" t="s">
        <v>116</v>
      </c>
      <c r="D140" s="186"/>
      <c r="E140" s="186"/>
      <c r="F140" s="188"/>
      <c r="G140" s="140">
        <f t="shared" si="7"/>
        <v>0</v>
      </c>
      <c r="H140" s="136">
        <f t="shared" si="8"/>
        <v>0</v>
      </c>
      <c r="I140" s="585"/>
    </row>
    <row r="141" spans="1:9" x14ac:dyDescent="0.25">
      <c r="A141" s="953"/>
      <c r="B141" s="149"/>
      <c r="C141" s="182" t="s">
        <v>117</v>
      </c>
      <c r="D141" s="172">
        <f>SUM(D142:D148)</f>
        <v>0</v>
      </c>
      <c r="E141" s="183"/>
      <c r="F141" s="183"/>
      <c r="G141" s="172">
        <f>SUM(G142:G148)</f>
        <v>0</v>
      </c>
      <c r="H141" s="172">
        <f>SUM(H142:H148)</f>
        <v>0</v>
      </c>
      <c r="I141" s="162"/>
    </row>
    <row r="142" spans="1:9" x14ac:dyDescent="0.25">
      <c r="A142" s="953"/>
      <c r="B142" s="148">
        <v>53206030000000</v>
      </c>
      <c r="C142" s="178" t="s">
        <v>118</v>
      </c>
      <c r="D142" s="186"/>
      <c r="E142" s="186"/>
      <c r="F142" s="188"/>
      <c r="G142" s="140">
        <f t="shared" si="7"/>
        <v>0</v>
      </c>
      <c r="H142" s="136">
        <f t="shared" si="8"/>
        <v>0</v>
      </c>
      <c r="I142" s="162"/>
    </row>
    <row r="143" spans="1:9" x14ac:dyDescent="0.25">
      <c r="A143" s="953"/>
      <c r="B143" s="148">
        <v>53206040000000</v>
      </c>
      <c r="C143" s="178" t="s">
        <v>119</v>
      </c>
      <c r="D143" s="186"/>
      <c r="E143" s="186"/>
      <c r="F143" s="188"/>
      <c r="G143" s="140">
        <f t="shared" si="7"/>
        <v>0</v>
      </c>
      <c r="H143" s="136">
        <f t="shared" si="8"/>
        <v>0</v>
      </c>
      <c r="I143" s="162"/>
    </row>
    <row r="144" spans="1:9" x14ac:dyDescent="0.25">
      <c r="A144" s="953"/>
      <c r="B144" s="148">
        <v>53206060000000</v>
      </c>
      <c r="C144" s="178" t="s">
        <v>120</v>
      </c>
      <c r="D144" s="186"/>
      <c r="E144" s="186"/>
      <c r="F144" s="188"/>
      <c r="G144" s="140">
        <f t="shared" si="7"/>
        <v>0</v>
      </c>
      <c r="H144" s="136">
        <f t="shared" si="8"/>
        <v>0</v>
      </c>
      <c r="I144" s="162"/>
    </row>
    <row r="145" spans="1:9" x14ac:dyDescent="0.25">
      <c r="A145" s="953"/>
      <c r="B145" s="148">
        <v>53206070000000</v>
      </c>
      <c r="C145" s="178" t="s">
        <v>121</v>
      </c>
      <c r="D145" s="186"/>
      <c r="E145" s="186"/>
      <c r="F145" s="188"/>
      <c r="G145" s="140">
        <f t="shared" si="7"/>
        <v>0</v>
      </c>
      <c r="H145" s="136">
        <f t="shared" si="8"/>
        <v>0</v>
      </c>
      <c r="I145" s="162"/>
    </row>
    <row r="146" spans="1:9" x14ac:dyDescent="0.25">
      <c r="A146" s="953"/>
      <c r="B146" s="148">
        <v>53206990000000</v>
      </c>
      <c r="C146" s="178" t="s">
        <v>122</v>
      </c>
      <c r="D146" s="186"/>
      <c r="E146" s="186"/>
      <c r="F146" s="188"/>
      <c r="G146" s="140">
        <f t="shared" si="7"/>
        <v>0</v>
      </c>
      <c r="H146" s="136">
        <f t="shared" si="8"/>
        <v>0</v>
      </c>
      <c r="I146" s="162"/>
    </row>
    <row r="147" spans="1:9" x14ac:dyDescent="0.25">
      <c r="A147" s="953"/>
      <c r="B147" s="148">
        <v>53208030000000</v>
      </c>
      <c r="C147" s="178" t="s">
        <v>123</v>
      </c>
      <c r="D147" s="186"/>
      <c r="E147" s="186"/>
      <c r="F147" s="188"/>
      <c r="G147" s="140">
        <f t="shared" si="7"/>
        <v>0</v>
      </c>
      <c r="H147" s="136">
        <f t="shared" si="8"/>
        <v>0</v>
      </c>
      <c r="I147" s="162"/>
    </row>
    <row r="148" spans="1:9" x14ac:dyDescent="0.25">
      <c r="A148" s="953"/>
      <c r="B148" s="148">
        <v>53212060000000</v>
      </c>
      <c r="C148" s="178" t="s">
        <v>124</v>
      </c>
      <c r="D148" s="179"/>
      <c r="E148" s="179"/>
      <c r="F148" s="181"/>
      <c r="G148" s="140">
        <f t="shared" si="7"/>
        <v>0</v>
      </c>
      <c r="H148" s="136">
        <f t="shared" si="8"/>
        <v>0</v>
      </c>
      <c r="I148" s="162"/>
    </row>
    <row r="149" spans="1:9" x14ac:dyDescent="0.25">
      <c r="A149" s="953"/>
      <c r="B149" s="149"/>
      <c r="C149" s="182" t="s">
        <v>125</v>
      </c>
      <c r="D149" s="172">
        <f>SUM(D150:D151)</f>
        <v>0</v>
      </c>
      <c r="E149" s="183"/>
      <c r="F149" s="183"/>
      <c r="G149" s="172">
        <f>SUM(G150:G151)</f>
        <v>0</v>
      </c>
      <c r="H149" s="172">
        <f>SUM(H150:H151)</f>
        <v>0</v>
      </c>
      <c r="I149" s="162"/>
    </row>
    <row r="150" spans="1:9" x14ac:dyDescent="0.25">
      <c r="A150" s="953"/>
      <c r="B150" s="151">
        <v>53210020500000</v>
      </c>
      <c r="C150" s="152" t="s">
        <v>126</v>
      </c>
      <c r="D150" s="179"/>
      <c r="E150" s="179"/>
      <c r="F150" s="181"/>
      <c r="G150" s="140">
        <f t="shared" si="7"/>
        <v>0</v>
      </c>
      <c r="H150" s="136">
        <f t="shared" si="8"/>
        <v>0</v>
      </c>
      <c r="I150" s="162"/>
    </row>
    <row r="151" spans="1:9" x14ac:dyDescent="0.25">
      <c r="A151" s="953"/>
      <c r="B151" s="156">
        <v>53204999000000</v>
      </c>
      <c r="C151" s="174" t="s">
        <v>127</v>
      </c>
      <c r="D151" s="179"/>
      <c r="E151" s="186"/>
      <c r="F151" s="188"/>
      <c r="G151" s="140">
        <f t="shared" si="7"/>
        <v>0</v>
      </c>
      <c r="H151" s="136">
        <f t="shared" si="8"/>
        <v>0</v>
      </c>
      <c r="I151" s="162"/>
    </row>
    <row r="152" spans="1:9" x14ac:dyDescent="0.25">
      <c r="A152" s="954"/>
      <c r="B152" s="158"/>
      <c r="C152" s="159" t="s">
        <v>12</v>
      </c>
      <c r="D152" s="160">
        <f>SUM(D83,D111)</f>
        <v>6026868</v>
      </c>
      <c r="E152" s="161"/>
      <c r="F152" s="161"/>
      <c r="G152" s="160">
        <f>SUM(G83,G111)</f>
        <v>212860</v>
      </c>
      <c r="H152" s="160">
        <f>SUM(H83,H111)</f>
        <v>6239728</v>
      </c>
      <c r="I152" s="162"/>
    </row>
    <row r="153" spans="1:9" x14ac:dyDescent="0.25">
      <c r="A153" s="955" t="s">
        <v>20</v>
      </c>
      <c r="B153" s="956" t="s">
        <v>51</v>
      </c>
      <c r="C153" s="958" t="s">
        <v>52</v>
      </c>
      <c r="D153" s="960" t="s">
        <v>53</v>
      </c>
      <c r="E153" s="962" t="s">
        <v>54</v>
      </c>
      <c r="F153" s="963"/>
      <c r="G153" s="964"/>
      <c r="H153" s="965" t="str">
        <f>+H81</f>
        <v>COSTO DIRECTO ESTIMADO 2026</v>
      </c>
      <c r="I153" s="966" t="s">
        <v>55</v>
      </c>
    </row>
    <row r="154" spans="1:9" ht="25.5" x14ac:dyDescent="0.25">
      <c r="A154" s="939"/>
      <c r="B154" s="957"/>
      <c r="C154" s="959"/>
      <c r="D154" s="961"/>
      <c r="E154" s="163" t="s">
        <v>56</v>
      </c>
      <c r="F154" s="164" t="s">
        <v>57</v>
      </c>
      <c r="G154" s="165" t="s">
        <v>58</v>
      </c>
      <c r="H154" s="950"/>
      <c r="I154" s="966"/>
    </row>
    <row r="155" spans="1:9" x14ac:dyDescent="0.25">
      <c r="A155" s="967" t="str">
        <f>+'B) Reajuste Tarifas y Ocupación'!A18</f>
        <v>Quincho</v>
      </c>
      <c r="B155" s="192"/>
      <c r="C155" s="191" t="s">
        <v>59</v>
      </c>
      <c r="D155" s="168">
        <f>SUM(D156,D161,D163)</f>
        <v>800000</v>
      </c>
      <c r="E155" s="169"/>
      <c r="F155" s="169"/>
      <c r="G155" s="168">
        <f>SUM(G156,G161,G163)</f>
        <v>0</v>
      </c>
      <c r="H155" s="170">
        <f>SUM(H156,H161,H163)</f>
        <v>800000</v>
      </c>
      <c r="I155" s="583"/>
    </row>
    <row r="156" spans="1:9" x14ac:dyDescent="0.25">
      <c r="A156" s="953"/>
      <c r="B156" s="193"/>
      <c r="C156" s="182" t="s">
        <v>60</v>
      </c>
      <c r="D156" s="172">
        <f>SUM(D157:D160)</f>
        <v>0</v>
      </c>
      <c r="E156" s="173"/>
      <c r="F156" s="173"/>
      <c r="G156" s="173">
        <f>SUM(G157:G160)</f>
        <v>0</v>
      </c>
      <c r="H156" s="172">
        <f>SUM(H157:H160)</f>
        <v>0</v>
      </c>
      <c r="I156" s="583"/>
    </row>
    <row r="157" spans="1:9" x14ac:dyDescent="0.25">
      <c r="A157" s="953"/>
      <c r="B157" s="194">
        <v>53103040100000</v>
      </c>
      <c r="C157" s="178" t="s">
        <v>128</v>
      </c>
      <c r="D157" s="175">
        <f>+'F) Remuneraciones'!M45</f>
        <v>0</v>
      </c>
      <c r="E157" s="176"/>
      <c r="F157" s="176"/>
      <c r="G157" s="176">
        <f t="shared" ref="G157:G182" si="9">E157*F157</f>
        <v>0</v>
      </c>
      <c r="H157" s="136">
        <f t="shared" ref="H157:H182" si="10">D157+G157</f>
        <v>0</v>
      </c>
      <c r="I157" s="583"/>
    </row>
    <row r="158" spans="1:9" x14ac:dyDescent="0.25">
      <c r="A158" s="953"/>
      <c r="B158" s="194">
        <v>53103050000000</v>
      </c>
      <c r="C158" s="178" t="s">
        <v>62</v>
      </c>
      <c r="D158" s="179"/>
      <c r="E158" s="180"/>
      <c r="F158" s="181"/>
      <c r="G158" s="140">
        <f t="shared" si="9"/>
        <v>0</v>
      </c>
      <c r="H158" s="136">
        <f t="shared" si="10"/>
        <v>0</v>
      </c>
      <c r="I158" s="583"/>
    </row>
    <row r="159" spans="1:9" x14ac:dyDescent="0.25">
      <c r="A159" s="953"/>
      <c r="B159" s="194">
        <v>53103060000000</v>
      </c>
      <c r="C159" s="178" t="s">
        <v>63</v>
      </c>
      <c r="D159" s="179"/>
      <c r="E159" s="180"/>
      <c r="F159" s="181"/>
      <c r="G159" s="140">
        <f t="shared" si="9"/>
        <v>0</v>
      </c>
      <c r="H159" s="136">
        <f t="shared" si="10"/>
        <v>0</v>
      </c>
      <c r="I159" s="583"/>
    </row>
    <row r="160" spans="1:9" x14ac:dyDescent="0.25">
      <c r="A160" s="953"/>
      <c r="B160" s="194">
        <v>53103080010000</v>
      </c>
      <c r="C160" s="178" t="s">
        <v>64</v>
      </c>
      <c r="D160" s="179"/>
      <c r="E160" s="180"/>
      <c r="F160" s="181"/>
      <c r="G160" s="140">
        <f t="shared" si="9"/>
        <v>0</v>
      </c>
      <c r="H160" s="136">
        <f t="shared" si="10"/>
        <v>0</v>
      </c>
      <c r="I160" s="583"/>
    </row>
    <row r="161" spans="1:9" x14ac:dyDescent="0.25">
      <c r="A161" s="953"/>
      <c r="B161" s="193"/>
      <c r="C161" s="182" t="s">
        <v>65</v>
      </c>
      <c r="D161" s="172">
        <f>SUM(D162)</f>
        <v>0</v>
      </c>
      <c r="E161" s="183"/>
      <c r="F161" s="183"/>
      <c r="G161" s="184">
        <f>SUM(G162:G162)</f>
        <v>0</v>
      </c>
      <c r="H161" s="172">
        <f>SUM(H162:H162)</f>
        <v>0</v>
      </c>
      <c r="I161" s="583"/>
    </row>
    <row r="162" spans="1:9" x14ac:dyDescent="0.25">
      <c r="A162" s="953"/>
      <c r="B162" s="194">
        <v>55201010100001</v>
      </c>
      <c r="C162" s="178" t="s">
        <v>66</v>
      </c>
      <c r="D162" s="179"/>
      <c r="E162" s="180"/>
      <c r="F162" s="181"/>
      <c r="G162" s="140">
        <f t="shared" si="9"/>
        <v>0</v>
      </c>
      <c r="H162" s="136">
        <f t="shared" si="10"/>
        <v>0</v>
      </c>
      <c r="I162" s="583"/>
    </row>
    <row r="163" spans="1:9" x14ac:dyDescent="0.25">
      <c r="A163" s="953"/>
      <c r="B163" s="193"/>
      <c r="C163" s="182" t="s">
        <v>67</v>
      </c>
      <c r="D163" s="172">
        <f>SUM(D164:D182)</f>
        <v>800000</v>
      </c>
      <c r="E163" s="183"/>
      <c r="F163" s="183"/>
      <c r="G163" s="172">
        <f>SUM(G164:G182)</f>
        <v>0</v>
      </c>
      <c r="H163" s="172">
        <f>SUM(H164:H182)</f>
        <v>800000</v>
      </c>
      <c r="I163" s="583"/>
    </row>
    <row r="164" spans="1:9" x14ac:dyDescent="0.25">
      <c r="A164" s="953"/>
      <c r="B164" s="194">
        <v>53201010100000</v>
      </c>
      <c r="C164" s="178" t="s">
        <v>68</v>
      </c>
      <c r="D164" s="179"/>
      <c r="E164" s="180"/>
      <c r="F164" s="181"/>
      <c r="G164" s="140">
        <f t="shared" si="9"/>
        <v>0</v>
      </c>
      <c r="H164" s="136">
        <f t="shared" si="10"/>
        <v>0</v>
      </c>
      <c r="I164" s="583"/>
    </row>
    <row r="165" spans="1:9" x14ac:dyDescent="0.25">
      <c r="A165" s="953"/>
      <c r="B165" s="194">
        <v>53202010100000</v>
      </c>
      <c r="C165" s="178" t="s">
        <v>69</v>
      </c>
      <c r="D165" s="179"/>
      <c r="E165" s="180"/>
      <c r="F165" s="181"/>
      <c r="G165" s="140">
        <f t="shared" si="9"/>
        <v>0</v>
      </c>
      <c r="H165" s="136">
        <f t="shared" si="10"/>
        <v>0</v>
      </c>
      <c r="I165" s="585"/>
    </row>
    <row r="166" spans="1:9" x14ac:dyDescent="0.25">
      <c r="A166" s="953"/>
      <c r="B166" s="194">
        <v>53203010100000</v>
      </c>
      <c r="C166" s="178" t="s">
        <v>70</v>
      </c>
      <c r="D166" s="186"/>
      <c r="E166" s="187"/>
      <c r="F166" s="188"/>
      <c r="G166" s="140">
        <f t="shared" si="9"/>
        <v>0</v>
      </c>
      <c r="H166" s="136">
        <f t="shared" si="10"/>
        <v>0</v>
      </c>
      <c r="I166" s="585"/>
    </row>
    <row r="167" spans="1:9" x14ac:dyDescent="0.25">
      <c r="A167" s="953"/>
      <c r="B167" s="194">
        <v>53203030000000</v>
      </c>
      <c r="C167" s="178" t="s">
        <v>71</v>
      </c>
      <c r="D167" s="186"/>
      <c r="E167" s="187"/>
      <c r="F167" s="188"/>
      <c r="G167" s="140">
        <f t="shared" si="9"/>
        <v>0</v>
      </c>
      <c r="H167" s="136">
        <f t="shared" si="10"/>
        <v>0</v>
      </c>
      <c r="I167" s="583"/>
    </row>
    <row r="168" spans="1:9" x14ac:dyDescent="0.25">
      <c r="A168" s="953"/>
      <c r="B168" s="194">
        <v>53204030000000</v>
      </c>
      <c r="C168" s="178" t="s">
        <v>72</v>
      </c>
      <c r="D168" s="186"/>
      <c r="E168" s="187"/>
      <c r="F168" s="188"/>
      <c r="G168" s="140">
        <f t="shared" si="9"/>
        <v>0</v>
      </c>
      <c r="H168" s="136">
        <f t="shared" si="10"/>
        <v>0</v>
      </c>
      <c r="I168" s="162"/>
    </row>
    <row r="169" spans="1:9" x14ac:dyDescent="0.25">
      <c r="A169" s="953"/>
      <c r="B169" s="194">
        <v>53204100100001</v>
      </c>
      <c r="C169" s="178" t="s">
        <v>73</v>
      </c>
      <c r="D169" s="186"/>
      <c r="E169" s="187"/>
      <c r="F169" s="188"/>
      <c r="G169" s="140">
        <f t="shared" si="9"/>
        <v>0</v>
      </c>
      <c r="H169" s="136">
        <f t="shared" si="10"/>
        <v>0</v>
      </c>
      <c r="I169" s="583"/>
    </row>
    <row r="170" spans="1:9" x14ac:dyDescent="0.25">
      <c r="A170" s="953"/>
      <c r="B170" s="194">
        <v>53204130100000</v>
      </c>
      <c r="C170" s="185" t="s">
        <v>74</v>
      </c>
      <c r="D170" s="186"/>
      <c r="E170" s="187"/>
      <c r="F170" s="188"/>
      <c r="G170" s="140">
        <f t="shared" si="9"/>
        <v>0</v>
      </c>
      <c r="H170" s="136">
        <f t="shared" si="10"/>
        <v>0</v>
      </c>
      <c r="I170" s="583"/>
    </row>
    <row r="171" spans="1:9" x14ac:dyDescent="0.25">
      <c r="A171" s="953"/>
      <c r="B171" s="194">
        <v>53205010100000</v>
      </c>
      <c r="C171" s="185" t="s">
        <v>75</v>
      </c>
      <c r="D171" s="186">
        <v>300000</v>
      </c>
      <c r="E171" s="187"/>
      <c r="F171" s="188"/>
      <c r="G171" s="140">
        <f t="shared" si="9"/>
        <v>0</v>
      </c>
      <c r="H171" s="136">
        <f t="shared" si="10"/>
        <v>300000</v>
      </c>
      <c r="I171" s="585" t="s">
        <v>354</v>
      </c>
    </row>
    <row r="172" spans="1:9" x14ac:dyDescent="0.25">
      <c r="A172" s="953"/>
      <c r="B172" s="194">
        <v>53205020100000</v>
      </c>
      <c r="C172" s="185" t="s">
        <v>76</v>
      </c>
      <c r="D172" s="186">
        <v>200000</v>
      </c>
      <c r="E172" s="187"/>
      <c r="F172" s="188"/>
      <c r="G172" s="140">
        <f t="shared" si="9"/>
        <v>0</v>
      </c>
      <c r="H172" s="136">
        <f t="shared" si="10"/>
        <v>200000</v>
      </c>
      <c r="I172" s="585" t="s">
        <v>93</v>
      </c>
    </row>
    <row r="173" spans="1:9" x14ac:dyDescent="0.25">
      <c r="A173" s="953"/>
      <c r="B173" s="194">
        <v>53205030100000</v>
      </c>
      <c r="C173" s="185" t="s">
        <v>77</v>
      </c>
      <c r="D173" s="186">
        <v>300000</v>
      </c>
      <c r="E173" s="187"/>
      <c r="F173" s="188"/>
      <c r="G173" s="140">
        <f t="shared" si="9"/>
        <v>0</v>
      </c>
      <c r="H173" s="136">
        <f t="shared" si="10"/>
        <v>300000</v>
      </c>
      <c r="I173" s="585" t="s">
        <v>354</v>
      </c>
    </row>
    <row r="174" spans="1:9" x14ac:dyDescent="0.25">
      <c r="A174" s="953"/>
      <c r="B174" s="194">
        <v>53205050100000</v>
      </c>
      <c r="C174" s="185" t="s">
        <v>78</v>
      </c>
      <c r="D174" s="186"/>
      <c r="E174" s="187"/>
      <c r="F174" s="188"/>
      <c r="G174" s="140">
        <f t="shared" si="9"/>
        <v>0</v>
      </c>
      <c r="H174" s="136">
        <f t="shared" si="10"/>
        <v>0</v>
      </c>
      <c r="I174" s="583"/>
    </row>
    <row r="175" spans="1:9" x14ac:dyDescent="0.25">
      <c r="A175" s="953"/>
      <c r="B175" s="194">
        <v>53205060100000</v>
      </c>
      <c r="C175" s="178" t="s">
        <v>79</v>
      </c>
      <c r="D175" s="186"/>
      <c r="E175" s="187"/>
      <c r="F175" s="188"/>
      <c r="G175" s="140">
        <f t="shared" si="9"/>
        <v>0</v>
      </c>
      <c r="H175" s="136">
        <f t="shared" si="10"/>
        <v>0</v>
      </c>
      <c r="I175" s="583"/>
    </row>
    <row r="176" spans="1:9" x14ac:dyDescent="0.25">
      <c r="A176" s="953"/>
      <c r="B176" s="194">
        <v>53205070100000</v>
      </c>
      <c r="C176" s="178" t="s">
        <v>80</v>
      </c>
      <c r="D176" s="186"/>
      <c r="E176" s="187"/>
      <c r="F176" s="188"/>
      <c r="G176" s="140">
        <f t="shared" si="9"/>
        <v>0</v>
      </c>
      <c r="H176" s="136">
        <f t="shared" si="10"/>
        <v>0</v>
      </c>
      <c r="I176" s="583"/>
    </row>
    <row r="177" spans="1:9" x14ac:dyDescent="0.25">
      <c r="A177" s="953"/>
      <c r="B177" s="194">
        <v>53208010100000</v>
      </c>
      <c r="C177" s="178" t="s">
        <v>81</v>
      </c>
      <c r="D177" s="186"/>
      <c r="E177" s="187"/>
      <c r="F177" s="188"/>
      <c r="G177" s="140">
        <f t="shared" si="9"/>
        <v>0</v>
      </c>
      <c r="H177" s="136">
        <f t="shared" si="10"/>
        <v>0</v>
      </c>
      <c r="I177" s="583"/>
    </row>
    <row r="178" spans="1:9" x14ac:dyDescent="0.25">
      <c r="A178" s="953"/>
      <c r="B178" s="194">
        <v>53208070100001</v>
      </c>
      <c r="C178" s="178" t="s">
        <v>82</v>
      </c>
      <c r="D178" s="186"/>
      <c r="E178" s="187"/>
      <c r="F178" s="188"/>
      <c r="G178" s="140">
        <f t="shared" si="9"/>
        <v>0</v>
      </c>
      <c r="H178" s="136">
        <f t="shared" si="10"/>
        <v>0</v>
      </c>
      <c r="I178" s="583"/>
    </row>
    <row r="179" spans="1:9" x14ac:dyDescent="0.25">
      <c r="A179" s="953"/>
      <c r="B179" s="194">
        <v>53208100100001</v>
      </c>
      <c r="C179" s="178" t="s">
        <v>83</v>
      </c>
      <c r="D179" s="186"/>
      <c r="E179" s="187"/>
      <c r="F179" s="188"/>
      <c r="G179" s="140">
        <f t="shared" si="9"/>
        <v>0</v>
      </c>
      <c r="H179" s="136">
        <f t="shared" si="10"/>
        <v>0</v>
      </c>
      <c r="I179" s="583"/>
    </row>
    <row r="180" spans="1:9" x14ac:dyDescent="0.25">
      <c r="A180" s="953"/>
      <c r="B180" s="194">
        <v>53211030000000</v>
      </c>
      <c r="C180" s="178" t="s">
        <v>84</v>
      </c>
      <c r="D180" s="186"/>
      <c r="E180" s="187"/>
      <c r="F180" s="188"/>
      <c r="G180" s="140">
        <f t="shared" si="9"/>
        <v>0</v>
      </c>
      <c r="H180" s="136">
        <f t="shared" si="10"/>
        <v>0</v>
      </c>
      <c r="I180" s="583"/>
    </row>
    <row r="181" spans="1:9" x14ac:dyDescent="0.25">
      <c r="A181" s="953"/>
      <c r="B181" s="194">
        <v>53212020100000</v>
      </c>
      <c r="C181" s="178" t="s">
        <v>85</v>
      </c>
      <c r="D181" s="186"/>
      <c r="E181" s="187"/>
      <c r="F181" s="188"/>
      <c r="G181" s="140">
        <f t="shared" si="9"/>
        <v>0</v>
      </c>
      <c r="H181" s="136">
        <f t="shared" si="10"/>
        <v>0</v>
      </c>
      <c r="I181" s="583"/>
    </row>
    <row r="182" spans="1:9" x14ac:dyDescent="0.25">
      <c r="A182" s="953"/>
      <c r="B182" s="194">
        <v>53214020000000</v>
      </c>
      <c r="C182" s="178" t="s">
        <v>86</v>
      </c>
      <c r="D182" s="179"/>
      <c r="E182" s="180"/>
      <c r="F182" s="181"/>
      <c r="G182" s="140">
        <f t="shared" si="9"/>
        <v>0</v>
      </c>
      <c r="H182" s="136">
        <f t="shared" si="10"/>
        <v>0</v>
      </c>
      <c r="I182" s="583"/>
    </row>
    <row r="183" spans="1:9" x14ac:dyDescent="0.25">
      <c r="A183" s="953"/>
      <c r="B183" s="195"/>
      <c r="C183" s="196" t="s">
        <v>87</v>
      </c>
      <c r="D183" s="170">
        <f>SUM(D184,D189,D192,D203,D213,D221)</f>
        <v>0</v>
      </c>
      <c r="E183" s="169"/>
      <c r="F183" s="169"/>
      <c r="G183" s="170">
        <f>SUM(G184,G189,G192,G203,G213,G221)</f>
        <v>0</v>
      </c>
      <c r="H183" s="170">
        <f>SUM(H184,H189,H192,H203,H213,H221)</f>
        <v>0</v>
      </c>
      <c r="I183" s="583"/>
    </row>
    <row r="184" spans="1:9" x14ac:dyDescent="0.25">
      <c r="A184" s="953"/>
      <c r="B184" s="154"/>
      <c r="C184" s="171" t="s">
        <v>88</v>
      </c>
      <c r="D184" s="172">
        <f>SUM(D185:D188)</f>
        <v>0</v>
      </c>
      <c r="E184" s="183"/>
      <c r="F184" s="183"/>
      <c r="G184" s="184">
        <f>SUM(G185:G188)</f>
        <v>0</v>
      </c>
      <c r="H184" s="184">
        <f>SUM(H185:H188)</f>
        <v>0</v>
      </c>
      <c r="I184" s="583"/>
    </row>
    <row r="185" spans="1:9" x14ac:dyDescent="0.25">
      <c r="A185" s="953"/>
      <c r="B185" s="151">
        <v>53202020100000</v>
      </c>
      <c r="C185" s="190" t="s">
        <v>89</v>
      </c>
      <c r="D185" s="186"/>
      <c r="E185" s="187"/>
      <c r="F185" s="188"/>
      <c r="G185" s="140">
        <f t="shared" ref="G185:G223" si="11">E185*F185</f>
        <v>0</v>
      </c>
      <c r="H185" s="136">
        <f t="shared" ref="H185:H190" si="12">D185+G185</f>
        <v>0</v>
      </c>
      <c r="I185" s="583"/>
    </row>
    <row r="186" spans="1:9" x14ac:dyDescent="0.25">
      <c r="A186" s="953"/>
      <c r="B186" s="156">
        <v>53202030000000</v>
      </c>
      <c r="C186" s="174" t="s">
        <v>90</v>
      </c>
      <c r="D186" s="179"/>
      <c r="E186" s="180"/>
      <c r="F186" s="181"/>
      <c r="G186" s="140">
        <f t="shared" si="11"/>
        <v>0</v>
      </c>
      <c r="H186" s="136">
        <f t="shared" si="12"/>
        <v>0</v>
      </c>
      <c r="I186" s="583"/>
    </row>
    <row r="187" spans="1:9" x14ac:dyDescent="0.25">
      <c r="A187" s="969"/>
      <c r="B187" s="194">
        <v>53211020000000</v>
      </c>
      <c r="C187" s="178" t="s">
        <v>91</v>
      </c>
      <c r="D187" s="186"/>
      <c r="E187" s="187"/>
      <c r="F187" s="188"/>
      <c r="G187" s="140">
        <f t="shared" si="11"/>
        <v>0</v>
      </c>
      <c r="H187" s="136">
        <f t="shared" si="12"/>
        <v>0</v>
      </c>
      <c r="I187" s="584"/>
    </row>
    <row r="188" spans="1:9" x14ac:dyDescent="0.25">
      <c r="A188" s="969"/>
      <c r="B188" s="194">
        <v>53101004030000</v>
      </c>
      <c r="C188" s="178" t="s">
        <v>92</v>
      </c>
      <c r="D188" s="179"/>
      <c r="E188" s="180"/>
      <c r="F188" s="181"/>
      <c r="G188" s="140">
        <f t="shared" si="11"/>
        <v>0</v>
      </c>
      <c r="H188" s="136">
        <f t="shared" si="12"/>
        <v>0</v>
      </c>
      <c r="I188" s="584"/>
    </row>
    <row r="189" spans="1:9" x14ac:dyDescent="0.25">
      <c r="A189" s="969"/>
      <c r="B189" s="193"/>
      <c r="C189" s="182" t="s">
        <v>93</v>
      </c>
      <c r="D189" s="172">
        <f>SUM(D190:D191)</f>
        <v>0</v>
      </c>
      <c r="E189" s="183"/>
      <c r="F189" s="183"/>
      <c r="G189" s="184">
        <f>SUM(G190:G191)</f>
        <v>0</v>
      </c>
      <c r="H189" s="184">
        <f>SUM(H190:H191)</f>
        <v>0</v>
      </c>
      <c r="I189" s="584"/>
    </row>
    <row r="190" spans="1:9" x14ac:dyDescent="0.25">
      <c r="A190" s="969"/>
      <c r="B190" s="194">
        <v>53205080000000</v>
      </c>
      <c r="C190" s="178" t="s">
        <v>94</v>
      </c>
      <c r="D190" s="179"/>
      <c r="E190" s="180"/>
      <c r="F190" s="181"/>
      <c r="G190" s="140">
        <f t="shared" si="11"/>
        <v>0</v>
      </c>
      <c r="H190" s="136">
        <f t="shared" si="12"/>
        <v>0</v>
      </c>
      <c r="I190" s="584"/>
    </row>
    <row r="191" spans="1:9" x14ac:dyDescent="0.25">
      <c r="A191" s="969"/>
      <c r="B191" s="194">
        <v>53205990000000</v>
      </c>
      <c r="C191" s="178" t="s">
        <v>95</v>
      </c>
      <c r="D191" s="186"/>
      <c r="E191" s="187"/>
      <c r="F191" s="188"/>
      <c r="G191" s="140">
        <f t="shared" si="11"/>
        <v>0</v>
      </c>
      <c r="H191" s="177">
        <v>0</v>
      </c>
      <c r="I191" s="584"/>
    </row>
    <row r="192" spans="1:9" x14ac:dyDescent="0.25">
      <c r="A192" s="969"/>
      <c r="B192" s="193"/>
      <c r="C192" s="182" t="s">
        <v>96</v>
      </c>
      <c r="D192" s="172">
        <f>SUM(D193:D202)</f>
        <v>0</v>
      </c>
      <c r="E192" s="183"/>
      <c r="F192" s="183"/>
      <c r="G192" s="172">
        <f>SUM(G193:G202)</f>
        <v>0</v>
      </c>
      <c r="H192" s="172">
        <f>SUM(H193:H202)</f>
        <v>0</v>
      </c>
      <c r="I192" s="584"/>
    </row>
    <row r="193" spans="1:9" x14ac:dyDescent="0.25">
      <c r="A193" s="969"/>
      <c r="B193" s="194">
        <v>53203010200000</v>
      </c>
      <c r="C193" s="178" t="s">
        <v>97</v>
      </c>
      <c r="D193" s="179"/>
      <c r="E193" s="179"/>
      <c r="F193" s="181"/>
      <c r="G193" s="140">
        <f t="shared" si="11"/>
        <v>0</v>
      </c>
      <c r="H193" s="136">
        <f t="shared" ref="H193:H223" si="13">D193+G193</f>
        <v>0</v>
      </c>
      <c r="I193" s="584"/>
    </row>
    <row r="194" spans="1:9" x14ac:dyDescent="0.25">
      <c r="A194" s="969"/>
      <c r="B194" s="194">
        <v>53204010000000</v>
      </c>
      <c r="C194" s="178" t="s">
        <v>98</v>
      </c>
      <c r="D194" s="186"/>
      <c r="E194" s="186"/>
      <c r="F194" s="188"/>
      <c r="G194" s="140">
        <f t="shared" si="11"/>
        <v>0</v>
      </c>
      <c r="H194" s="136">
        <f t="shared" si="13"/>
        <v>0</v>
      </c>
      <c r="I194" s="585"/>
    </row>
    <row r="195" spans="1:9" x14ac:dyDescent="0.25">
      <c r="A195" s="969"/>
      <c r="B195" s="194">
        <v>53204040200000</v>
      </c>
      <c r="C195" s="178" t="s">
        <v>99</v>
      </c>
      <c r="D195" s="186"/>
      <c r="E195" s="186"/>
      <c r="F195" s="188"/>
      <c r="G195" s="140">
        <f t="shared" si="11"/>
        <v>0</v>
      </c>
      <c r="H195" s="136">
        <f t="shared" si="13"/>
        <v>0</v>
      </c>
      <c r="I195" s="584"/>
    </row>
    <row r="196" spans="1:9" x14ac:dyDescent="0.25">
      <c r="A196" s="969"/>
      <c r="B196" s="194">
        <v>53204060000000</v>
      </c>
      <c r="C196" s="178" t="s">
        <v>100</v>
      </c>
      <c r="D196" s="186"/>
      <c r="E196" s="186"/>
      <c r="F196" s="188"/>
      <c r="G196" s="140">
        <f>E196*F196</f>
        <v>0</v>
      </c>
      <c r="H196" s="136">
        <f t="shared" si="13"/>
        <v>0</v>
      </c>
      <c r="I196" s="585"/>
    </row>
    <row r="197" spans="1:9" x14ac:dyDescent="0.25">
      <c r="A197" s="969"/>
      <c r="B197" s="194">
        <v>53204070000000</v>
      </c>
      <c r="C197" s="185" t="s">
        <v>101</v>
      </c>
      <c r="D197" s="186"/>
      <c r="E197" s="186"/>
      <c r="F197" s="188"/>
      <c r="G197" s="140">
        <f t="shared" si="11"/>
        <v>0</v>
      </c>
      <c r="H197" s="136">
        <f t="shared" si="13"/>
        <v>0</v>
      </c>
      <c r="I197" s="585"/>
    </row>
    <row r="198" spans="1:9" x14ac:dyDescent="0.25">
      <c r="A198" s="969"/>
      <c r="B198" s="194">
        <v>53204080000000</v>
      </c>
      <c r="C198" s="178" t="s">
        <v>102</v>
      </c>
      <c r="D198" s="186"/>
      <c r="E198" s="186"/>
      <c r="F198" s="188"/>
      <c r="G198" s="140">
        <f t="shared" si="11"/>
        <v>0</v>
      </c>
      <c r="H198" s="136">
        <f t="shared" si="13"/>
        <v>0</v>
      </c>
      <c r="I198" s="585"/>
    </row>
    <row r="199" spans="1:9" x14ac:dyDescent="0.25">
      <c r="A199" s="969"/>
      <c r="B199" s="194">
        <v>53214010000000</v>
      </c>
      <c r="C199" s="178" t="s">
        <v>103</v>
      </c>
      <c r="D199" s="179"/>
      <c r="E199" s="179"/>
      <c r="F199" s="181"/>
      <c r="G199" s="140">
        <f t="shared" si="11"/>
        <v>0</v>
      </c>
      <c r="H199" s="136">
        <f t="shared" si="13"/>
        <v>0</v>
      </c>
      <c r="I199" s="584"/>
    </row>
    <row r="200" spans="1:9" x14ac:dyDescent="0.25">
      <c r="A200" s="969"/>
      <c r="B200" s="194">
        <v>53214040000000</v>
      </c>
      <c r="C200" s="178" t="s">
        <v>104</v>
      </c>
      <c r="D200" s="179"/>
      <c r="E200" s="179"/>
      <c r="F200" s="181"/>
      <c r="G200" s="140">
        <f t="shared" si="11"/>
        <v>0</v>
      </c>
      <c r="H200" s="136">
        <f t="shared" si="13"/>
        <v>0</v>
      </c>
      <c r="I200" s="584"/>
    </row>
    <row r="201" spans="1:9" x14ac:dyDescent="0.25">
      <c r="A201" s="969"/>
      <c r="B201" s="194">
        <v>55201010100004</v>
      </c>
      <c r="C201" s="178" t="s">
        <v>105</v>
      </c>
      <c r="D201" s="179"/>
      <c r="E201" s="179"/>
      <c r="F201" s="181"/>
      <c r="G201" s="140">
        <f t="shared" si="11"/>
        <v>0</v>
      </c>
      <c r="H201" s="136">
        <f t="shared" si="13"/>
        <v>0</v>
      </c>
      <c r="I201" s="584"/>
    </row>
    <row r="202" spans="1:9" x14ac:dyDescent="0.25">
      <c r="A202" s="969"/>
      <c r="B202" s="194">
        <v>55201010100005</v>
      </c>
      <c r="C202" s="178" t="s">
        <v>106</v>
      </c>
      <c r="D202" s="179"/>
      <c r="E202" s="179"/>
      <c r="F202" s="181"/>
      <c r="G202" s="140">
        <f t="shared" si="11"/>
        <v>0</v>
      </c>
      <c r="H202" s="136">
        <f t="shared" si="13"/>
        <v>0</v>
      </c>
      <c r="I202" s="584"/>
    </row>
    <row r="203" spans="1:9" x14ac:dyDescent="0.25">
      <c r="A203" s="969"/>
      <c r="B203" s="193"/>
      <c r="C203" s="182" t="s">
        <v>107</v>
      </c>
      <c r="D203" s="172">
        <f>SUM(D204:D212)</f>
        <v>0</v>
      </c>
      <c r="E203" s="183"/>
      <c r="F203" s="183"/>
      <c r="G203" s="172">
        <f>SUM(G204:G212)</f>
        <v>0</v>
      </c>
      <c r="H203" s="172">
        <f>SUM(H204:H212)</f>
        <v>0</v>
      </c>
      <c r="I203" s="584"/>
    </row>
    <row r="204" spans="1:9" x14ac:dyDescent="0.25">
      <c r="A204" s="969"/>
      <c r="B204" s="194">
        <v>53207010000000</v>
      </c>
      <c r="C204" s="178" t="s">
        <v>108</v>
      </c>
      <c r="D204" s="186"/>
      <c r="E204" s="186"/>
      <c r="F204" s="188"/>
      <c r="G204" s="140">
        <f t="shared" si="11"/>
        <v>0</v>
      </c>
      <c r="H204" s="136">
        <f t="shared" si="13"/>
        <v>0</v>
      </c>
      <c r="I204" s="584"/>
    </row>
    <row r="205" spans="1:9" x14ac:dyDescent="0.25">
      <c r="A205" s="969"/>
      <c r="B205" s="194">
        <v>53207020000000</v>
      </c>
      <c r="C205" s="178" t="s">
        <v>109</v>
      </c>
      <c r="D205" s="186"/>
      <c r="E205" s="186"/>
      <c r="F205" s="188"/>
      <c r="G205" s="140">
        <f t="shared" si="11"/>
        <v>0</v>
      </c>
      <c r="H205" s="136">
        <f t="shared" si="13"/>
        <v>0</v>
      </c>
      <c r="I205" s="584"/>
    </row>
    <row r="206" spans="1:9" x14ac:dyDescent="0.25">
      <c r="A206" s="969"/>
      <c r="B206" s="194">
        <v>53208020000000</v>
      </c>
      <c r="C206" s="178" t="s">
        <v>110</v>
      </c>
      <c r="D206" s="186"/>
      <c r="E206" s="186"/>
      <c r="F206" s="188"/>
      <c r="G206" s="140">
        <f t="shared" si="11"/>
        <v>0</v>
      </c>
      <c r="H206" s="136">
        <f t="shared" si="13"/>
        <v>0</v>
      </c>
      <c r="I206" s="584"/>
    </row>
    <row r="207" spans="1:9" x14ac:dyDescent="0.25">
      <c r="A207" s="969"/>
      <c r="B207" s="194">
        <v>53208990000000</v>
      </c>
      <c r="C207" s="178" t="s">
        <v>111</v>
      </c>
      <c r="D207" s="186"/>
      <c r="E207" s="186"/>
      <c r="F207" s="188"/>
      <c r="G207" s="140">
        <f t="shared" si="11"/>
        <v>0</v>
      </c>
      <c r="H207" s="136">
        <f t="shared" si="13"/>
        <v>0</v>
      </c>
      <c r="I207" s="584"/>
    </row>
    <row r="208" spans="1:9" x14ac:dyDescent="0.25">
      <c r="A208" s="969"/>
      <c r="B208" s="194">
        <v>53209010000000</v>
      </c>
      <c r="C208" s="178" t="s">
        <v>112</v>
      </c>
      <c r="D208" s="186"/>
      <c r="E208" s="186"/>
      <c r="F208" s="188"/>
      <c r="G208" s="140">
        <f t="shared" si="11"/>
        <v>0</v>
      </c>
      <c r="H208" s="136">
        <f t="shared" si="13"/>
        <v>0</v>
      </c>
      <c r="I208" s="584"/>
    </row>
    <row r="209" spans="1:9" x14ac:dyDescent="0.25">
      <c r="A209" s="969"/>
      <c r="B209" s="194">
        <v>53209040000000</v>
      </c>
      <c r="C209" s="178" t="s">
        <v>113</v>
      </c>
      <c r="D209" s="186"/>
      <c r="E209" s="186"/>
      <c r="F209" s="188"/>
      <c r="G209" s="140">
        <f t="shared" si="11"/>
        <v>0</v>
      </c>
      <c r="H209" s="136">
        <f t="shared" si="13"/>
        <v>0</v>
      </c>
      <c r="I209" s="584"/>
    </row>
    <row r="210" spans="1:9" x14ac:dyDescent="0.25">
      <c r="A210" s="969"/>
      <c r="B210" s="194">
        <v>53209050000000</v>
      </c>
      <c r="C210" s="178" t="s">
        <v>114</v>
      </c>
      <c r="D210" s="186"/>
      <c r="E210" s="186"/>
      <c r="F210" s="188"/>
      <c r="G210" s="140">
        <f t="shared" si="11"/>
        <v>0</v>
      </c>
      <c r="H210" s="136">
        <f t="shared" si="13"/>
        <v>0</v>
      </c>
      <c r="I210" s="584"/>
    </row>
    <row r="211" spans="1:9" x14ac:dyDescent="0.25">
      <c r="A211" s="969"/>
      <c r="B211" s="194">
        <v>53209990000000</v>
      </c>
      <c r="C211" s="178" t="s">
        <v>115</v>
      </c>
      <c r="D211" s="186"/>
      <c r="E211" s="186"/>
      <c r="F211" s="188"/>
      <c r="G211" s="140">
        <f t="shared" si="11"/>
        <v>0</v>
      </c>
      <c r="H211" s="136">
        <f t="shared" si="13"/>
        <v>0</v>
      </c>
      <c r="I211" s="584"/>
    </row>
    <row r="212" spans="1:9" x14ac:dyDescent="0.25">
      <c r="A212" s="969"/>
      <c r="B212" s="194">
        <v>53210020100000</v>
      </c>
      <c r="C212" s="178" t="s">
        <v>116</v>
      </c>
      <c r="D212" s="186"/>
      <c r="E212" s="186"/>
      <c r="F212" s="188"/>
      <c r="G212" s="140">
        <f t="shared" si="11"/>
        <v>0</v>
      </c>
      <c r="H212" s="136">
        <f t="shared" si="13"/>
        <v>0</v>
      </c>
      <c r="I212" s="585"/>
    </row>
    <row r="213" spans="1:9" x14ac:dyDescent="0.25">
      <c r="A213" s="969"/>
      <c r="B213" s="193"/>
      <c r="C213" s="182" t="s">
        <v>117</v>
      </c>
      <c r="D213" s="172">
        <f>SUM(D214:D220)</f>
        <v>0</v>
      </c>
      <c r="E213" s="183"/>
      <c r="F213" s="183"/>
      <c r="G213" s="172">
        <f>SUM(G214:G220)</f>
        <v>0</v>
      </c>
      <c r="H213" s="172">
        <f>SUM(H214:H220)</f>
        <v>0</v>
      </c>
      <c r="I213" s="584"/>
    </row>
    <row r="214" spans="1:9" x14ac:dyDescent="0.25">
      <c r="A214" s="969"/>
      <c r="B214" s="194">
        <v>53206030000000</v>
      </c>
      <c r="C214" s="178" t="s">
        <v>118</v>
      </c>
      <c r="D214" s="186"/>
      <c r="E214" s="186"/>
      <c r="F214" s="188"/>
      <c r="G214" s="140">
        <f t="shared" si="11"/>
        <v>0</v>
      </c>
      <c r="H214" s="136">
        <f t="shared" si="13"/>
        <v>0</v>
      </c>
      <c r="I214" s="584"/>
    </row>
    <row r="215" spans="1:9" x14ac:dyDescent="0.25">
      <c r="A215" s="969"/>
      <c r="B215" s="194">
        <v>53206040000000</v>
      </c>
      <c r="C215" s="178" t="s">
        <v>119</v>
      </c>
      <c r="D215" s="186"/>
      <c r="E215" s="186"/>
      <c r="F215" s="188"/>
      <c r="G215" s="140">
        <f t="shared" si="11"/>
        <v>0</v>
      </c>
      <c r="H215" s="136">
        <f t="shared" si="13"/>
        <v>0</v>
      </c>
      <c r="I215" s="584"/>
    </row>
    <row r="216" spans="1:9" x14ac:dyDescent="0.25">
      <c r="A216" s="969"/>
      <c r="B216" s="194">
        <v>53206060000000</v>
      </c>
      <c r="C216" s="178" t="s">
        <v>120</v>
      </c>
      <c r="D216" s="186"/>
      <c r="E216" s="186"/>
      <c r="F216" s="188"/>
      <c r="G216" s="140">
        <f t="shared" si="11"/>
        <v>0</v>
      </c>
      <c r="H216" s="136">
        <f t="shared" si="13"/>
        <v>0</v>
      </c>
      <c r="I216" s="584"/>
    </row>
    <row r="217" spans="1:9" x14ac:dyDescent="0.25">
      <c r="A217" s="969"/>
      <c r="B217" s="194">
        <v>53206070000000</v>
      </c>
      <c r="C217" s="178" t="s">
        <v>121</v>
      </c>
      <c r="D217" s="186"/>
      <c r="E217" s="186"/>
      <c r="F217" s="188"/>
      <c r="G217" s="140">
        <f t="shared" si="11"/>
        <v>0</v>
      </c>
      <c r="H217" s="136">
        <f t="shared" si="13"/>
        <v>0</v>
      </c>
      <c r="I217" s="584"/>
    </row>
    <row r="218" spans="1:9" x14ac:dyDescent="0.25">
      <c r="A218" s="969"/>
      <c r="B218" s="194">
        <v>53206990000000</v>
      </c>
      <c r="C218" s="178" t="s">
        <v>122</v>
      </c>
      <c r="D218" s="186"/>
      <c r="E218" s="186"/>
      <c r="F218" s="188"/>
      <c r="G218" s="140">
        <f t="shared" si="11"/>
        <v>0</v>
      </c>
      <c r="H218" s="136">
        <f t="shared" si="13"/>
        <v>0</v>
      </c>
      <c r="I218" s="584"/>
    </row>
    <row r="219" spans="1:9" x14ac:dyDescent="0.25">
      <c r="A219" s="969"/>
      <c r="B219" s="194">
        <v>53208030000000</v>
      </c>
      <c r="C219" s="178" t="s">
        <v>123</v>
      </c>
      <c r="D219" s="186"/>
      <c r="E219" s="186"/>
      <c r="F219" s="188"/>
      <c r="G219" s="140">
        <f t="shared" si="11"/>
        <v>0</v>
      </c>
      <c r="H219" s="136">
        <f t="shared" si="13"/>
        <v>0</v>
      </c>
      <c r="I219" s="584"/>
    </row>
    <row r="220" spans="1:9" x14ac:dyDescent="0.25">
      <c r="A220" s="969"/>
      <c r="B220" s="194">
        <v>53212060000000</v>
      </c>
      <c r="C220" s="178" t="s">
        <v>124</v>
      </c>
      <c r="D220" s="179"/>
      <c r="E220" s="179"/>
      <c r="F220" s="181"/>
      <c r="G220" s="140">
        <f t="shared" si="11"/>
        <v>0</v>
      </c>
      <c r="H220" s="136">
        <f t="shared" si="13"/>
        <v>0</v>
      </c>
      <c r="I220" s="584"/>
    </row>
    <row r="221" spans="1:9" x14ac:dyDescent="0.25">
      <c r="A221" s="969"/>
      <c r="B221" s="193"/>
      <c r="C221" s="182" t="s">
        <v>125</v>
      </c>
      <c r="D221" s="172">
        <f>SUM(D222:D223)</f>
        <v>0</v>
      </c>
      <c r="E221" s="183"/>
      <c r="F221" s="183"/>
      <c r="G221" s="172">
        <f>SUM(G222:G223)</f>
        <v>0</v>
      </c>
      <c r="H221" s="172">
        <f>SUM(H223:H223)</f>
        <v>0</v>
      </c>
      <c r="I221" s="584"/>
    </row>
    <row r="222" spans="1:9" x14ac:dyDescent="0.25">
      <c r="A222" s="969"/>
      <c r="B222" s="194">
        <v>53210020500000</v>
      </c>
      <c r="C222" s="178" t="s">
        <v>126</v>
      </c>
      <c r="D222" s="179"/>
      <c r="E222" s="179"/>
      <c r="F222" s="181"/>
      <c r="G222" s="140">
        <f t="shared" si="11"/>
        <v>0</v>
      </c>
      <c r="H222" s="136">
        <f t="shared" si="13"/>
        <v>0</v>
      </c>
      <c r="I222" s="584"/>
    </row>
    <row r="223" spans="1:9" x14ac:dyDescent="0.25">
      <c r="A223" s="969"/>
      <c r="B223" s="194">
        <v>53204999000000</v>
      </c>
      <c r="C223" s="178" t="s">
        <v>127</v>
      </c>
      <c r="D223" s="179"/>
      <c r="E223" s="186"/>
      <c r="F223" s="188"/>
      <c r="G223" s="140">
        <f t="shared" si="11"/>
        <v>0</v>
      </c>
      <c r="H223" s="136">
        <f t="shared" si="13"/>
        <v>0</v>
      </c>
      <c r="I223" s="584"/>
    </row>
    <row r="224" spans="1:9" x14ac:dyDescent="0.25">
      <c r="A224" s="970"/>
      <c r="B224" s="197"/>
      <c r="C224" s="198" t="s">
        <v>12</v>
      </c>
      <c r="D224" s="160">
        <f>SUM(D155,D183)</f>
        <v>800000</v>
      </c>
      <c r="E224" s="161"/>
      <c r="F224" s="161"/>
      <c r="G224" s="160">
        <f>SUM(G155,G183)</f>
        <v>0</v>
      </c>
      <c r="H224" s="160">
        <f>SUM(H155,H183)</f>
        <v>800000</v>
      </c>
      <c r="I224" s="584"/>
    </row>
    <row r="225" spans="1:9" x14ac:dyDescent="0.25">
      <c r="A225" s="972" t="s">
        <v>20</v>
      </c>
      <c r="B225" s="974" t="s">
        <v>51</v>
      </c>
      <c r="C225" s="975" t="s">
        <v>52</v>
      </c>
      <c r="D225" s="976" t="s">
        <v>53</v>
      </c>
      <c r="E225" s="977" t="s">
        <v>54</v>
      </c>
      <c r="F225" s="977"/>
      <c r="G225" s="977"/>
      <c r="H225" s="978" t="str">
        <f>+H153</f>
        <v>COSTO DIRECTO ESTIMADO 2026</v>
      </c>
      <c r="I225" s="979" t="s">
        <v>55</v>
      </c>
    </row>
    <row r="226" spans="1:9" ht="25.5" x14ac:dyDescent="0.25">
      <c r="A226" s="973"/>
      <c r="B226" s="974"/>
      <c r="C226" s="975"/>
      <c r="D226" s="976"/>
      <c r="E226" s="199" t="s">
        <v>56</v>
      </c>
      <c r="F226" s="200" t="s">
        <v>57</v>
      </c>
      <c r="G226" s="201" t="s">
        <v>58</v>
      </c>
      <c r="H226" s="978"/>
      <c r="I226" s="979"/>
    </row>
    <row r="227" spans="1:9" x14ac:dyDescent="0.25">
      <c r="A227" s="968" t="str">
        <f>+'B) Reajuste Tarifas y Ocupación'!A19</f>
        <v>Cancha</v>
      </c>
      <c r="B227" s="202"/>
      <c r="C227" s="203" t="s">
        <v>59</v>
      </c>
      <c r="D227" s="168">
        <f>SUM(D228,D233,D235)</f>
        <v>0</v>
      </c>
      <c r="E227" s="169"/>
      <c r="F227" s="169"/>
      <c r="G227" s="168">
        <f>SUM(G228,G233,G235)</f>
        <v>0</v>
      </c>
      <c r="H227" s="170">
        <f>SUM(H228,H233,H235)</f>
        <v>0</v>
      </c>
      <c r="I227" s="584"/>
    </row>
    <row r="228" spans="1:9" x14ac:dyDescent="0.25">
      <c r="A228" s="969"/>
      <c r="B228" s="193"/>
      <c r="C228" s="182" t="s">
        <v>60</v>
      </c>
      <c r="D228" s="172">
        <f>SUM(D229:D232)</f>
        <v>0</v>
      </c>
      <c r="E228" s="173"/>
      <c r="F228" s="173"/>
      <c r="G228" s="173">
        <f>SUM(G229:G232)</f>
        <v>0</v>
      </c>
      <c r="H228" s="172">
        <f>SUM(H229:H232)</f>
        <v>0</v>
      </c>
      <c r="I228" s="584"/>
    </row>
    <row r="229" spans="1:9" x14ac:dyDescent="0.25">
      <c r="A229" s="969"/>
      <c r="B229" s="194">
        <v>53103040100000</v>
      </c>
      <c r="C229" s="178" t="s">
        <v>128</v>
      </c>
      <c r="D229" s="175">
        <f>+'F) Remuneraciones'!M62</f>
        <v>0</v>
      </c>
      <c r="E229" s="176"/>
      <c r="F229" s="176"/>
      <c r="G229" s="176">
        <f t="shared" ref="G229:G254" si="14">E229*F229</f>
        <v>0</v>
      </c>
      <c r="H229" s="177">
        <v>0</v>
      </c>
      <c r="I229" s="584"/>
    </row>
    <row r="230" spans="1:9" x14ac:dyDescent="0.25">
      <c r="A230" s="969"/>
      <c r="B230" s="194">
        <v>53103050000000</v>
      </c>
      <c r="C230" s="178" t="s">
        <v>62</v>
      </c>
      <c r="D230" s="179"/>
      <c r="E230" s="180"/>
      <c r="F230" s="181"/>
      <c r="G230" s="140">
        <f t="shared" si="14"/>
        <v>0</v>
      </c>
      <c r="H230" s="177">
        <v>0</v>
      </c>
      <c r="I230" s="584"/>
    </row>
    <row r="231" spans="1:9" x14ac:dyDescent="0.25">
      <c r="A231" s="969"/>
      <c r="B231" s="194">
        <v>53103060000000</v>
      </c>
      <c r="C231" s="178" t="s">
        <v>63</v>
      </c>
      <c r="D231" s="179"/>
      <c r="E231" s="180"/>
      <c r="F231" s="181"/>
      <c r="G231" s="140">
        <f t="shared" si="14"/>
        <v>0</v>
      </c>
      <c r="H231" s="177">
        <v>0</v>
      </c>
      <c r="I231" s="584"/>
    </row>
    <row r="232" spans="1:9" x14ac:dyDescent="0.25">
      <c r="A232" s="969"/>
      <c r="B232" s="194">
        <v>53103080010000</v>
      </c>
      <c r="C232" s="178" t="s">
        <v>64</v>
      </c>
      <c r="D232" s="179"/>
      <c r="E232" s="180"/>
      <c r="F232" s="181"/>
      <c r="G232" s="140">
        <f t="shared" si="14"/>
        <v>0</v>
      </c>
      <c r="H232" s="177">
        <v>0</v>
      </c>
      <c r="I232" s="584"/>
    </row>
    <row r="233" spans="1:9" x14ac:dyDescent="0.25">
      <c r="A233" s="969"/>
      <c r="B233" s="193"/>
      <c r="C233" s="182" t="s">
        <v>65</v>
      </c>
      <c r="D233" s="172">
        <f>SUM(D234)</f>
        <v>0</v>
      </c>
      <c r="E233" s="183"/>
      <c r="F233" s="183"/>
      <c r="G233" s="184">
        <f>SUM(G234:G234)</f>
        <v>0</v>
      </c>
      <c r="H233" s="172">
        <f>SUM(H234:H234)</f>
        <v>0</v>
      </c>
      <c r="I233" s="584"/>
    </row>
    <row r="234" spans="1:9" x14ac:dyDescent="0.25">
      <c r="A234" s="969"/>
      <c r="B234" s="194">
        <v>55201010100001</v>
      </c>
      <c r="C234" s="178" t="s">
        <v>66</v>
      </c>
      <c r="D234" s="179"/>
      <c r="E234" s="180"/>
      <c r="F234" s="181"/>
      <c r="G234" s="140">
        <f t="shared" si="14"/>
        <v>0</v>
      </c>
      <c r="H234" s="177">
        <v>0</v>
      </c>
      <c r="I234" s="584"/>
    </row>
    <row r="235" spans="1:9" x14ac:dyDescent="0.25">
      <c r="A235" s="969"/>
      <c r="B235" s="193"/>
      <c r="C235" s="182" t="s">
        <v>67</v>
      </c>
      <c r="D235" s="172">
        <f>SUM(D236:D254)</f>
        <v>0</v>
      </c>
      <c r="E235" s="183"/>
      <c r="F235" s="183"/>
      <c r="G235" s="172">
        <f>SUM(G236:G254)</f>
        <v>0</v>
      </c>
      <c r="H235" s="172">
        <f>SUM(H236:H254)</f>
        <v>0</v>
      </c>
      <c r="I235" s="584"/>
    </row>
    <row r="236" spans="1:9" x14ac:dyDescent="0.25">
      <c r="A236" s="969"/>
      <c r="B236" s="194">
        <v>53201010100000</v>
      </c>
      <c r="C236" s="178" t="s">
        <v>68</v>
      </c>
      <c r="D236" s="179"/>
      <c r="E236" s="180"/>
      <c r="F236" s="181"/>
      <c r="G236" s="140">
        <f t="shared" si="14"/>
        <v>0</v>
      </c>
      <c r="H236" s="177">
        <v>0</v>
      </c>
      <c r="I236" s="584"/>
    </row>
    <row r="237" spans="1:9" x14ac:dyDescent="0.25">
      <c r="A237" s="969"/>
      <c r="B237" s="194">
        <v>53202010100000</v>
      </c>
      <c r="C237" s="178" t="s">
        <v>69</v>
      </c>
      <c r="D237" s="179"/>
      <c r="E237" s="180"/>
      <c r="F237" s="181"/>
      <c r="G237" s="140">
        <f t="shared" si="14"/>
        <v>0</v>
      </c>
      <c r="H237" s="177">
        <v>0</v>
      </c>
      <c r="I237" s="584"/>
    </row>
    <row r="238" spans="1:9" x14ac:dyDescent="0.25">
      <c r="A238" s="969"/>
      <c r="B238" s="194">
        <v>53203010100000</v>
      </c>
      <c r="C238" s="178" t="s">
        <v>70</v>
      </c>
      <c r="D238" s="186"/>
      <c r="E238" s="187"/>
      <c r="F238" s="188"/>
      <c r="G238" s="140">
        <f t="shared" si="14"/>
        <v>0</v>
      </c>
      <c r="H238" s="177">
        <v>0</v>
      </c>
      <c r="I238" s="584"/>
    </row>
    <row r="239" spans="1:9" x14ac:dyDescent="0.25">
      <c r="A239" s="969"/>
      <c r="B239" s="194">
        <v>53203030000000</v>
      </c>
      <c r="C239" s="178" t="s">
        <v>71</v>
      </c>
      <c r="D239" s="186"/>
      <c r="E239" s="187"/>
      <c r="F239" s="188"/>
      <c r="G239" s="140">
        <f t="shared" si="14"/>
        <v>0</v>
      </c>
      <c r="H239" s="177">
        <v>0</v>
      </c>
      <c r="I239" s="584"/>
    </row>
    <row r="240" spans="1:9" x14ac:dyDescent="0.25">
      <c r="A240" s="969"/>
      <c r="B240" s="194">
        <v>53204030000000</v>
      </c>
      <c r="C240" s="178" t="s">
        <v>72</v>
      </c>
      <c r="D240" s="186"/>
      <c r="E240" s="187"/>
      <c r="F240" s="188"/>
      <c r="G240" s="140">
        <f t="shared" si="14"/>
        <v>0</v>
      </c>
      <c r="H240" s="177">
        <v>0</v>
      </c>
      <c r="I240" s="584"/>
    </row>
    <row r="241" spans="1:9" x14ac:dyDescent="0.25">
      <c r="A241" s="969"/>
      <c r="B241" s="194">
        <v>53204100100001</v>
      </c>
      <c r="C241" s="178" t="s">
        <v>73</v>
      </c>
      <c r="D241" s="186"/>
      <c r="E241" s="187"/>
      <c r="F241" s="188"/>
      <c r="G241" s="140">
        <f t="shared" si="14"/>
        <v>0</v>
      </c>
      <c r="H241" s="177">
        <v>0</v>
      </c>
      <c r="I241" s="584"/>
    </row>
    <row r="242" spans="1:9" x14ac:dyDescent="0.25">
      <c r="A242" s="969"/>
      <c r="B242" s="194">
        <v>53204130100000</v>
      </c>
      <c r="C242" s="185" t="s">
        <v>74</v>
      </c>
      <c r="D242" s="186"/>
      <c r="E242" s="187"/>
      <c r="F242" s="188"/>
      <c r="G242" s="140">
        <f t="shared" si="14"/>
        <v>0</v>
      </c>
      <c r="H242" s="177">
        <v>0</v>
      </c>
      <c r="I242" s="584"/>
    </row>
    <row r="243" spans="1:9" x14ac:dyDescent="0.25">
      <c r="A243" s="969"/>
      <c r="B243" s="194">
        <v>53205010100000</v>
      </c>
      <c r="C243" s="185" t="s">
        <v>75</v>
      </c>
      <c r="D243" s="186"/>
      <c r="E243" s="187"/>
      <c r="F243" s="188"/>
      <c r="G243" s="140">
        <f t="shared" si="14"/>
        <v>0</v>
      </c>
      <c r="H243" s="177">
        <v>0</v>
      </c>
      <c r="I243" s="584"/>
    </row>
    <row r="244" spans="1:9" x14ac:dyDescent="0.25">
      <c r="A244" s="969"/>
      <c r="B244" s="194">
        <v>53205020100000</v>
      </c>
      <c r="C244" s="185" t="s">
        <v>76</v>
      </c>
      <c r="D244" s="186"/>
      <c r="E244" s="187"/>
      <c r="F244" s="188"/>
      <c r="G244" s="140">
        <f t="shared" si="14"/>
        <v>0</v>
      </c>
      <c r="H244" s="177">
        <v>0</v>
      </c>
      <c r="I244" s="584"/>
    </row>
    <row r="245" spans="1:9" x14ac:dyDescent="0.25">
      <c r="A245" s="969"/>
      <c r="B245" s="194">
        <v>53205030100000</v>
      </c>
      <c r="C245" s="185" t="s">
        <v>77</v>
      </c>
      <c r="D245" s="186"/>
      <c r="E245" s="187"/>
      <c r="F245" s="188"/>
      <c r="G245" s="140">
        <f t="shared" si="14"/>
        <v>0</v>
      </c>
      <c r="H245" s="177">
        <v>0</v>
      </c>
      <c r="I245" s="584"/>
    </row>
    <row r="246" spans="1:9" x14ac:dyDescent="0.25">
      <c r="A246" s="969"/>
      <c r="B246" s="194">
        <v>53205050100000</v>
      </c>
      <c r="C246" s="185" t="s">
        <v>78</v>
      </c>
      <c r="D246" s="186"/>
      <c r="E246" s="187"/>
      <c r="F246" s="188"/>
      <c r="G246" s="140">
        <f t="shared" si="14"/>
        <v>0</v>
      </c>
      <c r="H246" s="177">
        <v>0</v>
      </c>
      <c r="I246" s="584"/>
    </row>
    <row r="247" spans="1:9" x14ac:dyDescent="0.25">
      <c r="A247" s="969"/>
      <c r="B247" s="194">
        <v>53205060100000</v>
      </c>
      <c r="C247" s="178" t="s">
        <v>79</v>
      </c>
      <c r="D247" s="186"/>
      <c r="E247" s="187"/>
      <c r="F247" s="188"/>
      <c r="G247" s="140">
        <f t="shared" si="14"/>
        <v>0</v>
      </c>
      <c r="H247" s="177">
        <v>0</v>
      </c>
      <c r="I247" s="584"/>
    </row>
    <row r="248" spans="1:9" x14ac:dyDescent="0.25">
      <c r="A248" s="969"/>
      <c r="B248" s="194">
        <v>53205070100000</v>
      </c>
      <c r="C248" s="178" t="s">
        <v>80</v>
      </c>
      <c r="D248" s="186"/>
      <c r="E248" s="187"/>
      <c r="F248" s="188"/>
      <c r="G248" s="140">
        <f t="shared" si="14"/>
        <v>0</v>
      </c>
      <c r="H248" s="177">
        <v>0</v>
      </c>
      <c r="I248" s="584"/>
    </row>
    <row r="249" spans="1:9" x14ac:dyDescent="0.25">
      <c r="A249" s="969"/>
      <c r="B249" s="194">
        <v>53208010100000</v>
      </c>
      <c r="C249" s="178" t="s">
        <v>81</v>
      </c>
      <c r="D249" s="186"/>
      <c r="E249" s="187"/>
      <c r="F249" s="188"/>
      <c r="G249" s="140">
        <f t="shared" si="14"/>
        <v>0</v>
      </c>
      <c r="H249" s="177">
        <v>0</v>
      </c>
      <c r="I249" s="584"/>
    </row>
    <row r="250" spans="1:9" x14ac:dyDescent="0.25">
      <c r="A250" s="969"/>
      <c r="B250" s="194">
        <v>53208070100001</v>
      </c>
      <c r="C250" s="178" t="s">
        <v>82</v>
      </c>
      <c r="D250" s="186"/>
      <c r="E250" s="187"/>
      <c r="F250" s="188"/>
      <c r="G250" s="140">
        <f t="shared" si="14"/>
        <v>0</v>
      </c>
      <c r="H250" s="177">
        <v>0</v>
      </c>
      <c r="I250" s="584"/>
    </row>
    <row r="251" spans="1:9" x14ac:dyDescent="0.25">
      <c r="A251" s="969"/>
      <c r="B251" s="194">
        <v>53208100100001</v>
      </c>
      <c r="C251" s="178" t="s">
        <v>83</v>
      </c>
      <c r="D251" s="186"/>
      <c r="E251" s="187"/>
      <c r="F251" s="188"/>
      <c r="G251" s="140">
        <f t="shared" si="14"/>
        <v>0</v>
      </c>
      <c r="H251" s="177">
        <v>0</v>
      </c>
      <c r="I251" s="584"/>
    </row>
    <row r="252" spans="1:9" x14ac:dyDescent="0.25">
      <c r="A252" s="969"/>
      <c r="B252" s="194">
        <v>53211030000000</v>
      </c>
      <c r="C252" s="178" t="s">
        <v>84</v>
      </c>
      <c r="D252" s="186"/>
      <c r="E252" s="187"/>
      <c r="F252" s="188"/>
      <c r="G252" s="140">
        <f t="shared" si="14"/>
        <v>0</v>
      </c>
      <c r="H252" s="177">
        <v>0</v>
      </c>
      <c r="I252" s="584"/>
    </row>
    <row r="253" spans="1:9" x14ac:dyDescent="0.25">
      <c r="A253" s="969"/>
      <c r="B253" s="194">
        <v>53212020100000</v>
      </c>
      <c r="C253" s="178" t="s">
        <v>85</v>
      </c>
      <c r="D253" s="186"/>
      <c r="E253" s="187"/>
      <c r="F253" s="188"/>
      <c r="G253" s="140">
        <f t="shared" si="14"/>
        <v>0</v>
      </c>
      <c r="H253" s="177">
        <v>0</v>
      </c>
      <c r="I253" s="584"/>
    </row>
    <row r="254" spans="1:9" x14ac:dyDescent="0.25">
      <c r="A254" s="969"/>
      <c r="B254" s="194">
        <v>53214020000000</v>
      </c>
      <c r="C254" s="178" t="s">
        <v>86</v>
      </c>
      <c r="D254" s="179"/>
      <c r="E254" s="180"/>
      <c r="F254" s="181"/>
      <c r="G254" s="140">
        <f t="shared" si="14"/>
        <v>0</v>
      </c>
      <c r="H254" s="177">
        <v>0</v>
      </c>
      <c r="I254" s="584"/>
    </row>
    <row r="255" spans="1:9" x14ac:dyDescent="0.25">
      <c r="A255" s="969"/>
      <c r="B255" s="202"/>
      <c r="C255" s="203" t="s">
        <v>87</v>
      </c>
      <c r="D255" s="170">
        <f>SUM(D256,D261,D264,D275,D285,D293)</f>
        <v>0</v>
      </c>
      <c r="E255" s="169"/>
      <c r="F255" s="169"/>
      <c r="G255" s="170">
        <f>SUM(G256,G261,G264,G275,G285,G293)</f>
        <v>0</v>
      </c>
      <c r="H255" s="170">
        <f>SUM(H256,H261,H264,H275,H285,H293)</f>
        <v>0</v>
      </c>
      <c r="I255" s="584"/>
    </row>
    <row r="256" spans="1:9" x14ac:dyDescent="0.25">
      <c r="A256" s="969"/>
      <c r="B256" s="193"/>
      <c r="C256" s="182" t="s">
        <v>88</v>
      </c>
      <c r="D256" s="172">
        <f>SUM(D257:D260)</f>
        <v>0</v>
      </c>
      <c r="E256" s="183"/>
      <c r="F256" s="183"/>
      <c r="G256" s="184">
        <f>SUM(G257:G260)</f>
        <v>0</v>
      </c>
      <c r="H256" s="184">
        <f>SUM(H257:H260)</f>
        <v>0</v>
      </c>
      <c r="I256" s="584"/>
    </row>
    <row r="257" spans="1:9" x14ac:dyDescent="0.25">
      <c r="A257" s="969"/>
      <c r="B257" s="194">
        <v>53202020100000</v>
      </c>
      <c r="C257" s="178" t="s">
        <v>89</v>
      </c>
      <c r="D257" s="186"/>
      <c r="E257" s="187"/>
      <c r="F257" s="188"/>
      <c r="G257" s="140">
        <f t="shared" ref="G257:G295" si="15">E257*F257</f>
        <v>0</v>
      </c>
      <c r="H257" s="177">
        <v>0</v>
      </c>
      <c r="I257" s="584"/>
    </row>
    <row r="258" spans="1:9" x14ac:dyDescent="0.25">
      <c r="A258" s="969"/>
      <c r="B258" s="194">
        <v>53202030000000</v>
      </c>
      <c r="C258" s="178" t="s">
        <v>90</v>
      </c>
      <c r="D258" s="179"/>
      <c r="E258" s="180"/>
      <c r="F258" s="181"/>
      <c r="G258" s="140">
        <f t="shared" si="15"/>
        <v>0</v>
      </c>
      <c r="H258" s="177">
        <v>0</v>
      </c>
      <c r="I258" s="584"/>
    </row>
    <row r="259" spans="1:9" x14ac:dyDescent="0.25">
      <c r="A259" s="969"/>
      <c r="B259" s="194">
        <v>53211020000000</v>
      </c>
      <c r="C259" s="178" t="s">
        <v>91</v>
      </c>
      <c r="D259" s="186"/>
      <c r="E259" s="187"/>
      <c r="F259" s="188"/>
      <c r="G259" s="140">
        <f t="shared" si="15"/>
        <v>0</v>
      </c>
      <c r="H259" s="177">
        <v>0</v>
      </c>
      <c r="I259" s="584"/>
    </row>
    <row r="260" spans="1:9" x14ac:dyDescent="0.25">
      <c r="A260" s="969"/>
      <c r="B260" s="194">
        <v>53101004030000</v>
      </c>
      <c r="C260" s="178" t="s">
        <v>92</v>
      </c>
      <c r="D260" s="179"/>
      <c r="E260" s="180"/>
      <c r="F260" s="181"/>
      <c r="G260" s="140">
        <f t="shared" si="15"/>
        <v>0</v>
      </c>
      <c r="H260" s="177">
        <v>0</v>
      </c>
      <c r="I260" s="584"/>
    </row>
    <row r="261" spans="1:9" x14ac:dyDescent="0.25">
      <c r="A261" s="969"/>
      <c r="B261" s="193"/>
      <c r="C261" s="182" t="s">
        <v>93</v>
      </c>
      <c r="D261" s="172">
        <f>SUM(D262:D263)</f>
        <v>0</v>
      </c>
      <c r="E261" s="183"/>
      <c r="F261" s="183"/>
      <c r="G261" s="184">
        <f>SUM(G262:G263)</f>
        <v>0</v>
      </c>
      <c r="H261" s="184">
        <f>SUM(H262:H263)</f>
        <v>0</v>
      </c>
      <c r="I261" s="584"/>
    </row>
    <row r="262" spans="1:9" x14ac:dyDescent="0.25">
      <c r="A262" s="969"/>
      <c r="B262" s="194">
        <v>53205080000000</v>
      </c>
      <c r="C262" s="178" t="s">
        <v>94</v>
      </c>
      <c r="D262" s="179"/>
      <c r="E262" s="180"/>
      <c r="F262" s="181"/>
      <c r="G262" s="140">
        <f t="shared" si="15"/>
        <v>0</v>
      </c>
      <c r="H262" s="177">
        <v>0</v>
      </c>
      <c r="I262" s="584"/>
    </row>
    <row r="263" spans="1:9" x14ac:dyDescent="0.25">
      <c r="A263" s="969"/>
      <c r="B263" s="194">
        <v>53205990000000</v>
      </c>
      <c r="C263" s="178" t="s">
        <v>95</v>
      </c>
      <c r="D263" s="186"/>
      <c r="E263" s="187"/>
      <c r="F263" s="188"/>
      <c r="G263" s="140">
        <f t="shared" si="15"/>
        <v>0</v>
      </c>
      <c r="H263" s="177">
        <v>0</v>
      </c>
      <c r="I263" s="584"/>
    </row>
    <row r="264" spans="1:9" x14ac:dyDescent="0.25">
      <c r="A264" s="969"/>
      <c r="B264" s="193"/>
      <c r="C264" s="182" t="s">
        <v>96</v>
      </c>
      <c r="D264" s="172">
        <f>SUM(D265:D274)</f>
        <v>0</v>
      </c>
      <c r="E264" s="183"/>
      <c r="F264" s="183"/>
      <c r="G264" s="172">
        <f>SUM(G265:G274)</f>
        <v>0</v>
      </c>
      <c r="H264" s="172">
        <f>SUM(H265:H274)</f>
        <v>0</v>
      </c>
      <c r="I264" s="584"/>
    </row>
    <row r="265" spans="1:9" x14ac:dyDescent="0.25">
      <c r="A265" s="969"/>
      <c r="B265" s="194">
        <v>53203010200000</v>
      </c>
      <c r="C265" s="178" t="s">
        <v>97</v>
      </c>
      <c r="D265" s="179"/>
      <c r="E265" s="179"/>
      <c r="F265" s="181"/>
      <c r="G265" s="140">
        <f t="shared" si="15"/>
        <v>0</v>
      </c>
      <c r="H265" s="177">
        <v>0</v>
      </c>
      <c r="I265" s="584"/>
    </row>
    <row r="266" spans="1:9" x14ac:dyDescent="0.25">
      <c r="A266" s="969"/>
      <c r="B266" s="194">
        <v>53204010000000</v>
      </c>
      <c r="C266" s="178" t="s">
        <v>98</v>
      </c>
      <c r="D266" s="186"/>
      <c r="E266" s="186"/>
      <c r="F266" s="188"/>
      <c r="G266" s="140">
        <f t="shared" si="15"/>
        <v>0</v>
      </c>
      <c r="H266" s="177">
        <v>0</v>
      </c>
      <c r="I266" s="584"/>
    </row>
    <row r="267" spans="1:9" x14ac:dyDescent="0.25">
      <c r="A267" s="969"/>
      <c r="B267" s="194">
        <v>53204040200000</v>
      </c>
      <c r="C267" s="178" t="s">
        <v>99</v>
      </c>
      <c r="D267" s="186"/>
      <c r="E267" s="186"/>
      <c r="F267" s="188"/>
      <c r="G267" s="140">
        <f t="shared" si="15"/>
        <v>0</v>
      </c>
      <c r="H267" s="177">
        <v>0</v>
      </c>
      <c r="I267" s="584"/>
    </row>
    <row r="268" spans="1:9" x14ac:dyDescent="0.25">
      <c r="A268" s="969"/>
      <c r="B268" s="194">
        <v>53204060000000</v>
      </c>
      <c r="C268" s="178" t="s">
        <v>100</v>
      </c>
      <c r="D268" s="186"/>
      <c r="E268" s="186"/>
      <c r="F268" s="188"/>
      <c r="G268" s="140">
        <f t="shared" si="15"/>
        <v>0</v>
      </c>
      <c r="H268" s="177">
        <v>0</v>
      </c>
      <c r="I268" s="584"/>
    </row>
    <row r="269" spans="1:9" x14ac:dyDescent="0.25">
      <c r="A269" s="969"/>
      <c r="B269" s="194">
        <v>53204070000000</v>
      </c>
      <c r="C269" s="178" t="s">
        <v>131</v>
      </c>
      <c r="D269" s="186"/>
      <c r="E269" s="186"/>
      <c r="F269" s="188"/>
      <c r="G269" s="140">
        <f t="shared" si="15"/>
        <v>0</v>
      </c>
      <c r="H269" s="177">
        <v>0</v>
      </c>
      <c r="I269" s="584"/>
    </row>
    <row r="270" spans="1:9" x14ac:dyDescent="0.25">
      <c r="A270" s="969"/>
      <c r="B270" s="194">
        <v>53204080000000</v>
      </c>
      <c r="C270" s="178" t="s">
        <v>102</v>
      </c>
      <c r="D270" s="186"/>
      <c r="E270" s="186"/>
      <c r="F270" s="188"/>
      <c r="G270" s="140">
        <f t="shared" si="15"/>
        <v>0</v>
      </c>
      <c r="H270" s="177">
        <v>0</v>
      </c>
      <c r="I270" s="584"/>
    </row>
    <row r="271" spans="1:9" x14ac:dyDescent="0.25">
      <c r="A271" s="969"/>
      <c r="B271" s="194">
        <v>53214010000000</v>
      </c>
      <c r="C271" s="178" t="s">
        <v>103</v>
      </c>
      <c r="D271" s="179"/>
      <c r="E271" s="179"/>
      <c r="F271" s="181"/>
      <c r="G271" s="140">
        <f t="shared" si="15"/>
        <v>0</v>
      </c>
      <c r="H271" s="177">
        <v>0</v>
      </c>
      <c r="I271" s="584"/>
    </row>
    <row r="272" spans="1:9" x14ac:dyDescent="0.25">
      <c r="A272" s="969"/>
      <c r="B272" s="194">
        <v>53214040000000</v>
      </c>
      <c r="C272" s="178" t="s">
        <v>104</v>
      </c>
      <c r="D272" s="179"/>
      <c r="E272" s="179"/>
      <c r="F272" s="181"/>
      <c r="G272" s="140">
        <f t="shared" si="15"/>
        <v>0</v>
      </c>
      <c r="H272" s="177">
        <v>0</v>
      </c>
      <c r="I272" s="584"/>
    </row>
    <row r="273" spans="1:9" x14ac:dyDescent="0.25">
      <c r="A273" s="969"/>
      <c r="B273" s="194">
        <v>55201010100004</v>
      </c>
      <c r="C273" s="178" t="s">
        <v>105</v>
      </c>
      <c r="D273" s="179"/>
      <c r="E273" s="179"/>
      <c r="F273" s="181"/>
      <c r="G273" s="140">
        <f t="shared" si="15"/>
        <v>0</v>
      </c>
      <c r="H273" s="177">
        <v>0</v>
      </c>
      <c r="I273" s="584"/>
    </row>
    <row r="274" spans="1:9" x14ac:dyDescent="0.25">
      <c r="A274" s="969"/>
      <c r="B274" s="194">
        <v>55201010100005</v>
      </c>
      <c r="C274" s="178" t="s">
        <v>106</v>
      </c>
      <c r="D274" s="179"/>
      <c r="E274" s="179"/>
      <c r="F274" s="181"/>
      <c r="G274" s="140">
        <f t="shared" si="15"/>
        <v>0</v>
      </c>
      <c r="H274" s="177">
        <v>0</v>
      </c>
      <c r="I274" s="584"/>
    </row>
    <row r="275" spans="1:9" x14ac:dyDescent="0.25">
      <c r="A275" s="969"/>
      <c r="B275" s="193"/>
      <c r="C275" s="182" t="s">
        <v>107</v>
      </c>
      <c r="D275" s="172">
        <f>SUM(D276:D284)</f>
        <v>0</v>
      </c>
      <c r="E275" s="183"/>
      <c r="F275" s="183"/>
      <c r="G275" s="172">
        <f>SUM(G276:G284)</f>
        <v>0</v>
      </c>
      <c r="H275" s="172">
        <f>SUM(H276:H284)</f>
        <v>0</v>
      </c>
      <c r="I275" s="584"/>
    </row>
    <row r="276" spans="1:9" x14ac:dyDescent="0.25">
      <c r="A276" s="969"/>
      <c r="B276" s="194">
        <v>53207010000000</v>
      </c>
      <c r="C276" s="178" t="s">
        <v>108</v>
      </c>
      <c r="D276" s="186"/>
      <c r="E276" s="186"/>
      <c r="F276" s="188"/>
      <c r="G276" s="140">
        <f t="shared" si="15"/>
        <v>0</v>
      </c>
      <c r="H276" s="177">
        <v>0</v>
      </c>
      <c r="I276" s="584"/>
    </row>
    <row r="277" spans="1:9" x14ac:dyDescent="0.25">
      <c r="A277" s="969"/>
      <c r="B277" s="194">
        <v>53207020000000</v>
      </c>
      <c r="C277" s="178" t="s">
        <v>109</v>
      </c>
      <c r="D277" s="186"/>
      <c r="E277" s="186"/>
      <c r="F277" s="188"/>
      <c r="G277" s="140">
        <f t="shared" si="15"/>
        <v>0</v>
      </c>
      <c r="H277" s="177">
        <v>0</v>
      </c>
      <c r="I277" s="584"/>
    </row>
    <row r="278" spans="1:9" x14ac:dyDescent="0.25">
      <c r="A278" s="969"/>
      <c r="B278" s="194">
        <v>53208020000000</v>
      </c>
      <c r="C278" s="178" t="s">
        <v>110</v>
      </c>
      <c r="D278" s="186"/>
      <c r="E278" s="186"/>
      <c r="F278" s="188"/>
      <c r="G278" s="140">
        <f t="shared" si="15"/>
        <v>0</v>
      </c>
      <c r="H278" s="177">
        <v>0</v>
      </c>
      <c r="I278" s="584"/>
    </row>
    <row r="279" spans="1:9" x14ac:dyDescent="0.25">
      <c r="A279" s="969"/>
      <c r="B279" s="194">
        <v>53208990000000</v>
      </c>
      <c r="C279" s="178" t="s">
        <v>111</v>
      </c>
      <c r="D279" s="186"/>
      <c r="E279" s="186"/>
      <c r="F279" s="188"/>
      <c r="G279" s="140">
        <f t="shared" si="15"/>
        <v>0</v>
      </c>
      <c r="H279" s="177">
        <v>0</v>
      </c>
      <c r="I279" s="584"/>
    </row>
    <row r="280" spans="1:9" x14ac:dyDescent="0.25">
      <c r="A280" s="969"/>
      <c r="B280" s="194">
        <v>53209010000000</v>
      </c>
      <c r="C280" s="178" t="s">
        <v>112</v>
      </c>
      <c r="D280" s="186"/>
      <c r="E280" s="186"/>
      <c r="F280" s="188"/>
      <c r="G280" s="140">
        <f t="shared" si="15"/>
        <v>0</v>
      </c>
      <c r="H280" s="177">
        <v>0</v>
      </c>
      <c r="I280" s="584"/>
    </row>
    <row r="281" spans="1:9" x14ac:dyDescent="0.25">
      <c r="A281" s="969"/>
      <c r="B281" s="194">
        <v>53209040000000</v>
      </c>
      <c r="C281" s="178" t="s">
        <v>113</v>
      </c>
      <c r="D281" s="186"/>
      <c r="E281" s="186"/>
      <c r="F281" s="188"/>
      <c r="G281" s="140">
        <f t="shared" si="15"/>
        <v>0</v>
      </c>
      <c r="H281" s="177">
        <v>0</v>
      </c>
      <c r="I281" s="584"/>
    </row>
    <row r="282" spans="1:9" x14ac:dyDescent="0.25">
      <c r="A282" s="969"/>
      <c r="B282" s="194">
        <v>53209050000000</v>
      </c>
      <c r="C282" s="178" t="s">
        <v>114</v>
      </c>
      <c r="D282" s="186"/>
      <c r="E282" s="186"/>
      <c r="F282" s="188"/>
      <c r="G282" s="140">
        <f t="shared" si="15"/>
        <v>0</v>
      </c>
      <c r="H282" s="177">
        <v>0</v>
      </c>
      <c r="I282" s="584"/>
    </row>
    <row r="283" spans="1:9" x14ac:dyDescent="0.25">
      <c r="A283" s="969"/>
      <c r="B283" s="194">
        <v>53209990000000</v>
      </c>
      <c r="C283" s="178" t="s">
        <v>115</v>
      </c>
      <c r="D283" s="186"/>
      <c r="E283" s="186"/>
      <c r="F283" s="188"/>
      <c r="G283" s="140">
        <f t="shared" si="15"/>
        <v>0</v>
      </c>
      <c r="H283" s="177">
        <v>0</v>
      </c>
      <c r="I283" s="584"/>
    </row>
    <row r="284" spans="1:9" x14ac:dyDescent="0.25">
      <c r="A284" s="969"/>
      <c r="B284" s="194">
        <v>53210020100000</v>
      </c>
      <c r="C284" s="178" t="s">
        <v>116</v>
      </c>
      <c r="D284" s="186"/>
      <c r="E284" s="186"/>
      <c r="F284" s="188"/>
      <c r="G284" s="140">
        <f t="shared" si="15"/>
        <v>0</v>
      </c>
      <c r="H284" s="177">
        <v>0</v>
      </c>
      <c r="I284" s="584"/>
    </row>
    <row r="285" spans="1:9" x14ac:dyDescent="0.25">
      <c r="A285" s="969"/>
      <c r="B285" s="193"/>
      <c r="C285" s="182" t="s">
        <v>117</v>
      </c>
      <c r="D285" s="172">
        <f>SUM(D286:D292)</f>
        <v>0</v>
      </c>
      <c r="E285" s="183"/>
      <c r="F285" s="183"/>
      <c r="G285" s="172">
        <f>SUM(G286:G292)</f>
        <v>0</v>
      </c>
      <c r="H285" s="172">
        <f>SUM(H286:H292)</f>
        <v>0</v>
      </c>
      <c r="I285" s="584"/>
    </row>
    <row r="286" spans="1:9" x14ac:dyDescent="0.25">
      <c r="A286" s="969"/>
      <c r="B286" s="194">
        <v>53206030000000</v>
      </c>
      <c r="C286" s="178" t="s">
        <v>118</v>
      </c>
      <c r="D286" s="186"/>
      <c r="E286" s="186"/>
      <c r="F286" s="188"/>
      <c r="G286" s="140">
        <f t="shared" si="15"/>
        <v>0</v>
      </c>
      <c r="H286" s="177">
        <v>0</v>
      </c>
      <c r="I286" s="584"/>
    </row>
    <row r="287" spans="1:9" x14ac:dyDescent="0.25">
      <c r="A287" s="969"/>
      <c r="B287" s="194">
        <v>53206040000000</v>
      </c>
      <c r="C287" s="178" t="s">
        <v>119</v>
      </c>
      <c r="D287" s="186"/>
      <c r="E287" s="186"/>
      <c r="F287" s="188"/>
      <c r="G287" s="140">
        <f t="shared" si="15"/>
        <v>0</v>
      </c>
      <c r="H287" s="177">
        <v>0</v>
      </c>
      <c r="I287" s="584"/>
    </row>
    <row r="288" spans="1:9" x14ac:dyDescent="0.25">
      <c r="A288" s="969"/>
      <c r="B288" s="194">
        <v>53206060000000</v>
      </c>
      <c r="C288" s="178" t="s">
        <v>120</v>
      </c>
      <c r="D288" s="186"/>
      <c r="E288" s="186"/>
      <c r="F288" s="188"/>
      <c r="G288" s="140">
        <f t="shared" si="15"/>
        <v>0</v>
      </c>
      <c r="H288" s="177">
        <v>0</v>
      </c>
      <c r="I288" s="584"/>
    </row>
    <row r="289" spans="1:9" x14ac:dyDescent="0.25">
      <c r="A289" s="969"/>
      <c r="B289" s="194">
        <v>53206070000000</v>
      </c>
      <c r="C289" s="178" t="s">
        <v>121</v>
      </c>
      <c r="D289" s="186"/>
      <c r="E289" s="186"/>
      <c r="F289" s="188"/>
      <c r="G289" s="140">
        <f t="shared" si="15"/>
        <v>0</v>
      </c>
      <c r="H289" s="177">
        <v>0</v>
      </c>
      <c r="I289" s="584"/>
    </row>
    <row r="290" spans="1:9" x14ac:dyDescent="0.25">
      <c r="A290" s="969"/>
      <c r="B290" s="194">
        <v>53206990000000</v>
      </c>
      <c r="C290" s="178" t="s">
        <v>122</v>
      </c>
      <c r="D290" s="186"/>
      <c r="E290" s="186"/>
      <c r="F290" s="188"/>
      <c r="G290" s="140">
        <f t="shared" si="15"/>
        <v>0</v>
      </c>
      <c r="H290" s="177">
        <v>0</v>
      </c>
      <c r="I290" s="584"/>
    </row>
    <row r="291" spans="1:9" x14ac:dyDescent="0.25">
      <c r="A291" s="969"/>
      <c r="B291" s="194">
        <v>53208030000000</v>
      </c>
      <c r="C291" s="178" t="s">
        <v>123</v>
      </c>
      <c r="D291" s="186"/>
      <c r="E291" s="186"/>
      <c r="F291" s="188"/>
      <c r="G291" s="140">
        <f t="shared" si="15"/>
        <v>0</v>
      </c>
      <c r="H291" s="177">
        <v>0</v>
      </c>
      <c r="I291" s="584"/>
    </row>
    <row r="292" spans="1:9" x14ac:dyDescent="0.25">
      <c r="A292" s="969"/>
      <c r="B292" s="194">
        <v>53212060000000</v>
      </c>
      <c r="C292" s="178" t="s">
        <v>124</v>
      </c>
      <c r="D292" s="179"/>
      <c r="E292" s="179"/>
      <c r="F292" s="181"/>
      <c r="G292" s="140">
        <f t="shared" si="15"/>
        <v>0</v>
      </c>
      <c r="H292" s="177">
        <v>0</v>
      </c>
      <c r="I292" s="584"/>
    </row>
    <row r="293" spans="1:9" x14ac:dyDescent="0.25">
      <c r="A293" s="969"/>
      <c r="B293" s="193"/>
      <c r="C293" s="182" t="s">
        <v>125</v>
      </c>
      <c r="D293" s="172">
        <f>SUM(D294:D295)</f>
        <v>0</v>
      </c>
      <c r="E293" s="183"/>
      <c r="F293" s="183"/>
      <c r="G293" s="172">
        <f>SUM(G294:G295)</f>
        <v>0</v>
      </c>
      <c r="H293" s="172">
        <f>SUM(H294:H295)</f>
        <v>0</v>
      </c>
      <c r="I293" s="584"/>
    </row>
    <row r="294" spans="1:9" x14ac:dyDescent="0.25">
      <c r="A294" s="969"/>
      <c r="B294" s="194">
        <v>53210020500000</v>
      </c>
      <c r="C294" s="178" t="s">
        <v>126</v>
      </c>
      <c r="D294" s="179"/>
      <c r="E294" s="179"/>
      <c r="F294" s="181"/>
      <c r="G294" s="140">
        <f t="shared" si="15"/>
        <v>0</v>
      </c>
      <c r="H294" s="177">
        <v>0</v>
      </c>
      <c r="I294" s="584"/>
    </row>
    <row r="295" spans="1:9" x14ac:dyDescent="0.25">
      <c r="A295" s="969"/>
      <c r="B295" s="194">
        <v>53204999000000</v>
      </c>
      <c r="C295" s="178" t="s">
        <v>127</v>
      </c>
      <c r="D295" s="179"/>
      <c r="E295" s="186"/>
      <c r="F295" s="188"/>
      <c r="G295" s="140">
        <f t="shared" si="15"/>
        <v>0</v>
      </c>
      <c r="H295" s="177">
        <f>D295+G295</f>
        <v>0</v>
      </c>
      <c r="I295" s="585"/>
    </row>
    <row r="296" spans="1:9" x14ac:dyDescent="0.25">
      <c r="A296" s="970"/>
      <c r="B296" s="197"/>
      <c r="C296" s="198" t="s">
        <v>12</v>
      </c>
      <c r="D296" s="160">
        <f>SUM(D227,D255)</f>
        <v>0</v>
      </c>
      <c r="E296" s="161"/>
      <c r="F296" s="161"/>
      <c r="G296" s="160">
        <f>SUM(G227,G255)</f>
        <v>0</v>
      </c>
      <c r="H296" s="160">
        <f>SUM(H227,H255)</f>
        <v>0</v>
      </c>
      <c r="I296" s="584"/>
    </row>
    <row r="297" spans="1:9" x14ac:dyDescent="0.25">
      <c r="B297" s="971" t="s">
        <v>12</v>
      </c>
      <c r="C297" s="971"/>
      <c r="D297" s="204">
        <f>+D80+D152+D224+D296</f>
        <v>33614616</v>
      </c>
      <c r="E297" s="205"/>
      <c r="F297" s="205"/>
      <c r="G297" s="204">
        <f>+G80+G152+G224+G296</f>
        <v>438580</v>
      </c>
      <c r="H297" s="204">
        <f>+H80+H152+H224+H296</f>
        <v>34053196</v>
      </c>
    </row>
    <row r="298" spans="1:9" x14ac:dyDescent="0.25">
      <c r="C298" s="206"/>
      <c r="E298" s="207"/>
      <c r="F298" s="208"/>
      <c r="G298" s="207"/>
      <c r="H298" s="209"/>
    </row>
    <row r="299" spans="1:9" x14ac:dyDescent="0.25">
      <c r="C299" s="206"/>
      <c r="D299" s="54"/>
      <c r="E299" s="207"/>
      <c r="F299" s="208"/>
      <c r="G299" s="207"/>
      <c r="H299" s="209"/>
    </row>
    <row r="300" spans="1:9" x14ac:dyDescent="0.25">
      <c r="C300" s="206"/>
      <c r="E300" s="207"/>
      <c r="F300" s="208"/>
      <c r="G300" s="207"/>
      <c r="H300" s="209"/>
    </row>
    <row r="301" spans="1:9" x14ac:dyDescent="0.25">
      <c r="C301" s="206"/>
      <c r="D301" s="54"/>
      <c r="E301" s="207"/>
      <c r="F301" s="208"/>
      <c r="G301" s="207"/>
      <c r="H301" s="209"/>
    </row>
    <row r="302" spans="1:9" x14ac:dyDescent="0.25">
      <c r="E302" s="207"/>
      <c r="F302" s="208"/>
      <c r="G302" s="207"/>
      <c r="H302" s="209"/>
    </row>
    <row r="303" spans="1:9" x14ac:dyDescent="0.25">
      <c r="E303" s="207"/>
      <c r="F303" s="208"/>
      <c r="G303" s="207"/>
      <c r="H303" s="209"/>
    </row>
    <row r="304" spans="1:9" x14ac:dyDescent="0.25">
      <c r="E304" s="210"/>
      <c r="F304" s="210"/>
      <c r="G304" s="211"/>
      <c r="H304" s="212"/>
    </row>
  </sheetData>
  <mergeCells count="35">
    <mergeCell ref="A227:A296"/>
    <mergeCell ref="B297:C297"/>
    <mergeCell ref="H153:H154"/>
    <mergeCell ref="I153:I154"/>
    <mergeCell ref="A155:A224"/>
    <mergeCell ref="A225:A226"/>
    <mergeCell ref="B225:B226"/>
    <mergeCell ref="C225:C226"/>
    <mergeCell ref="D225:D226"/>
    <mergeCell ref="E225:G225"/>
    <mergeCell ref="H225:H226"/>
    <mergeCell ref="I225:I226"/>
    <mergeCell ref="E153:G153"/>
    <mergeCell ref="A83:A152"/>
    <mergeCell ref="A153:A154"/>
    <mergeCell ref="B153:B154"/>
    <mergeCell ref="C153:C154"/>
    <mergeCell ref="D153:D154"/>
    <mergeCell ref="H9:H10"/>
    <mergeCell ref="I9:I10"/>
    <mergeCell ref="A11:A80"/>
    <mergeCell ref="A81:A82"/>
    <mergeCell ref="B81:B82"/>
    <mergeCell ref="C81:C82"/>
    <mergeCell ref="D81:D82"/>
    <mergeCell ref="E81:G81"/>
    <mergeCell ref="H81:H82"/>
    <mergeCell ref="I81:I82"/>
    <mergeCell ref="D4:E4"/>
    <mergeCell ref="A7:C7"/>
    <mergeCell ref="A9:A10"/>
    <mergeCell ref="B9:B10"/>
    <mergeCell ref="C9:C10"/>
    <mergeCell ref="D9:D10"/>
    <mergeCell ref="E9:G9"/>
  </mergeCells>
  <hyperlinks>
    <hyperlink ref="A7:C7" location="'Índice Tablas'!A1" display="TABLA 6: COSTOS DIRECTOS DE CENTROS DE BENEFICIOS" xr:uid="{00000000-0004-0000-0500-000000000000}"/>
  </hyperlinks>
  <pageMargins left="0.70866141732283472" right="0.70866141732283472" top="0.74803149606299213" bottom="0.74803149606299213" header="0.31496062992125984" footer="0.31496062992125984"/>
  <pageSetup scale="65" orientation="landscape" r:id="rId1"/>
  <ignoredErrors>
    <ignoredError sqref="G45 G69 G48 G77:H77 G89:H89 G91:H91 G117:H117 H120 G131:H131 G141:H141 G149:H149 G161:H161 G163:H163 G189:H189 G192 G203 G213 G221 G233:G235 G261 G264 G275"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8" tint="0.39997558519241921"/>
  </sheetPr>
  <dimension ref="A1:AT102"/>
  <sheetViews>
    <sheetView showGridLines="0" zoomScale="80" zoomScaleNormal="80" workbookViewId="0">
      <selection activeCell="K12" sqref="K12"/>
    </sheetView>
  </sheetViews>
  <sheetFormatPr baseColWidth="10" defaultRowHeight="15" x14ac:dyDescent="0.25"/>
  <cols>
    <col min="1" max="1" width="28.140625" style="215" customWidth="1"/>
    <col min="2" max="2" width="28" style="215" customWidth="1"/>
    <col min="3" max="3" width="28.7109375" style="215" customWidth="1"/>
    <col min="4" max="4" width="24.140625" style="215" customWidth="1"/>
    <col min="5" max="5" width="24.7109375" style="215" bestFit="1" customWidth="1"/>
    <col min="6" max="6" width="15.42578125" style="215" bestFit="1" customWidth="1"/>
    <col min="7" max="7" width="15.7109375" style="215" bestFit="1" customWidth="1"/>
    <col min="8" max="9" width="12.140625" style="215" bestFit="1" customWidth="1"/>
    <col min="10" max="10" width="17" style="215" bestFit="1" customWidth="1"/>
    <col min="11" max="11" width="16.5703125" style="215" customWidth="1"/>
    <col min="12" max="12" width="4.85546875" style="215" customWidth="1"/>
    <col min="13" max="13" width="19.140625" style="215" customWidth="1"/>
    <col min="14" max="14" width="19.140625" style="215" bestFit="1" customWidth="1"/>
    <col min="15" max="15" width="17.140625" style="215" customWidth="1"/>
    <col min="16" max="16" width="14.85546875" style="215" customWidth="1"/>
    <col min="17" max="17" width="17.7109375" style="215" customWidth="1"/>
    <col min="18" max="18" width="17.140625" style="215" customWidth="1"/>
    <col min="19" max="19" width="17.42578125" style="215" customWidth="1"/>
    <col min="20" max="20" width="5" style="215" customWidth="1"/>
    <col min="21" max="21" width="19.85546875" style="215" bestFit="1" customWidth="1"/>
    <col min="22" max="22" width="52.140625" style="215" bestFit="1" customWidth="1"/>
    <col min="23" max="23" width="18.28515625" style="215" customWidth="1"/>
    <col min="24" max="24" width="5.7109375" style="215" customWidth="1"/>
    <col min="25" max="25" width="11.42578125" style="215"/>
    <col min="26" max="31" width="14.28515625" style="215" customWidth="1"/>
    <col min="32" max="32" width="11.28515625" style="215" customWidth="1"/>
    <col min="33" max="38" width="14.28515625" style="215" customWidth="1"/>
    <col min="39" max="39" width="11.42578125" style="215"/>
    <col min="40" max="45" width="14.28515625" style="215" customWidth="1"/>
    <col min="46" max="46" width="11.42578125" style="215"/>
  </cols>
  <sheetData>
    <row r="1" spans="1:46" x14ac:dyDescent="0.25">
      <c r="A1" s="2"/>
      <c r="B1" s="2"/>
      <c r="C1" s="2"/>
      <c r="D1" s="2"/>
      <c r="E1" s="3"/>
      <c r="F1" s="3"/>
      <c r="G1" s="3"/>
      <c r="H1" s="3"/>
      <c r="I1" s="3"/>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25">
      <c r="A2" s="2"/>
      <c r="B2" s="2"/>
      <c r="C2" s="2"/>
      <c r="D2" s="2"/>
      <c r="E2" s="3" t="s">
        <v>132</v>
      </c>
      <c r="F2" s="3"/>
      <c r="G2" s="3"/>
      <c r="H2" s="3"/>
      <c r="I2" s="3"/>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x14ac:dyDescent="0.25">
      <c r="A3" s="2"/>
      <c r="B3" s="6"/>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15.75" x14ac:dyDescent="0.25">
      <c r="A4" s="2"/>
      <c r="B4" s="6"/>
      <c r="C4" s="2"/>
      <c r="D4" s="213" t="s">
        <v>1</v>
      </c>
      <c r="E4" s="980" t="s">
        <v>33</v>
      </c>
      <c r="F4" s="981"/>
      <c r="G4" s="214"/>
      <c r="H4" s="214"/>
      <c r="I4" s="214"/>
      <c r="J4" s="214"/>
      <c r="K4" s="2"/>
      <c r="L4" s="2"/>
      <c r="M4" s="2"/>
      <c r="N4" s="2"/>
      <c r="O4" s="7"/>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x14ac:dyDescent="0.25">
      <c r="A5" s="2"/>
      <c r="B5" s="6"/>
      <c r="C5" s="2"/>
      <c r="D5" s="8"/>
      <c r="E5" s="3"/>
      <c r="F5" s="3"/>
      <c r="G5" s="3"/>
      <c r="H5" s="3"/>
      <c r="I5" s="3"/>
      <c r="J5" s="3"/>
      <c r="K5" s="2"/>
      <c r="L5" s="2"/>
      <c r="M5" s="2"/>
      <c r="N5" s="2"/>
      <c r="O5" s="7"/>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5.75" thickBot="1" x14ac:dyDescent="0.3">
      <c r="A6" s="2"/>
      <c r="B6" s="6"/>
      <c r="C6" s="2"/>
      <c r="D6" s="8"/>
      <c r="E6" s="3"/>
      <c r="F6" s="3"/>
      <c r="G6" s="3"/>
      <c r="H6" s="3"/>
      <c r="I6" s="3"/>
      <c r="J6" s="3"/>
      <c r="K6" s="2"/>
      <c r="L6" s="2"/>
      <c r="M6" s="2"/>
      <c r="N6" s="2"/>
      <c r="O6" s="7"/>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x14ac:dyDescent="0.25">
      <c r="B7" s="216"/>
      <c r="C7" s="216"/>
      <c r="D7" s="216"/>
      <c r="E7" s="216"/>
      <c r="F7" s="216"/>
      <c r="G7" s="216"/>
      <c r="H7" s="216"/>
      <c r="I7" s="216"/>
      <c r="J7" s="217"/>
      <c r="K7" s="217"/>
      <c r="L7" s="217"/>
      <c r="M7" s="217"/>
      <c r="N7" s="217"/>
      <c r="O7" s="217"/>
      <c r="P7" s="217"/>
      <c r="Q7" s="217"/>
      <c r="R7" s="217"/>
      <c r="Y7" s="643"/>
      <c r="Z7" s="644"/>
      <c r="AA7" s="644"/>
      <c r="AB7" s="644"/>
      <c r="AC7" s="644"/>
      <c r="AD7" s="644"/>
      <c r="AE7" s="644"/>
      <c r="AF7" s="644"/>
      <c r="AG7" s="644"/>
      <c r="AH7" s="644"/>
      <c r="AI7" s="644"/>
      <c r="AJ7" s="644"/>
      <c r="AK7" s="644"/>
      <c r="AL7" s="644"/>
      <c r="AM7" s="644"/>
      <c r="AN7" s="644"/>
      <c r="AO7" s="644"/>
      <c r="AP7" s="644"/>
      <c r="AQ7" s="644"/>
      <c r="AR7" s="644"/>
      <c r="AS7" s="644"/>
      <c r="AT7" s="645"/>
    </row>
    <row r="8" spans="1:46" x14ac:dyDescent="0.25">
      <c r="B8" s="216"/>
      <c r="C8" s="216"/>
      <c r="D8" s="216"/>
      <c r="E8" s="216"/>
      <c r="F8" s="216"/>
      <c r="G8" s="216"/>
      <c r="H8" s="216"/>
      <c r="I8" s="216"/>
      <c r="J8" s="217"/>
      <c r="K8" s="217"/>
      <c r="L8" s="217"/>
      <c r="M8" s="217"/>
      <c r="N8" s="217"/>
      <c r="O8" s="217"/>
      <c r="P8" s="217"/>
      <c r="Q8" s="217"/>
      <c r="R8" s="217"/>
      <c r="Y8" s="218"/>
      <c r="AT8" s="646"/>
    </row>
    <row r="9" spans="1:46" ht="15.75" x14ac:dyDescent="0.25">
      <c r="A9" s="982" t="s">
        <v>133</v>
      </c>
      <c r="B9" s="982"/>
      <c r="C9" s="982"/>
      <c r="D9" s="982"/>
      <c r="E9" s="982"/>
      <c r="F9" s="982"/>
      <c r="G9" s="982"/>
      <c r="H9" s="982"/>
      <c r="I9" s="219"/>
      <c r="J9" s="219"/>
      <c r="K9" s="219"/>
      <c r="L9" s="219"/>
      <c r="M9" s="983" t="s">
        <v>134</v>
      </c>
      <c r="N9" s="983"/>
      <c r="O9" s="983"/>
      <c r="P9" s="983"/>
      <c r="Q9" s="983"/>
      <c r="R9" s="983"/>
      <c r="S9" s="983"/>
      <c r="U9" s="983" t="s">
        <v>135</v>
      </c>
      <c r="V9" s="983"/>
      <c r="W9" s="983"/>
      <c r="X9" s="220"/>
      <c r="Y9" s="221"/>
      <c r="Z9" s="983" t="s">
        <v>136</v>
      </c>
      <c r="AA9" s="983"/>
      <c r="AB9" s="983"/>
      <c r="AC9" s="983"/>
      <c r="AD9" s="983"/>
      <c r="AE9" s="983"/>
      <c r="AF9" s="220"/>
      <c r="AG9" s="983" t="s">
        <v>137</v>
      </c>
      <c r="AH9" s="983"/>
      <c r="AI9" s="983"/>
      <c r="AJ9" s="983"/>
      <c r="AK9" s="983"/>
      <c r="AL9" s="983"/>
      <c r="AN9" s="983" t="s">
        <v>138</v>
      </c>
      <c r="AO9" s="983"/>
      <c r="AP9" s="983"/>
      <c r="AQ9" s="983"/>
      <c r="AR9" s="983"/>
      <c r="AS9" s="983"/>
      <c r="AT9" s="646"/>
    </row>
    <row r="10" spans="1:46" x14ac:dyDescent="0.25">
      <c r="B10" s="6"/>
      <c r="C10" s="8"/>
      <c r="D10" s="8"/>
      <c r="E10" s="3"/>
      <c r="F10" s="3"/>
      <c r="G10" s="3"/>
      <c r="H10" s="3"/>
      <c r="I10" s="3"/>
      <c r="J10" s="3" t="s">
        <v>306</v>
      </c>
      <c r="K10" s="633"/>
      <c r="M10" s="983"/>
      <c r="N10" s="983"/>
      <c r="O10" s="983"/>
      <c r="P10" s="983"/>
      <c r="Q10" s="983"/>
      <c r="R10" s="983"/>
      <c r="S10" s="983"/>
      <c r="U10" s="983"/>
      <c r="V10" s="983"/>
      <c r="W10" s="983"/>
      <c r="Y10" s="218"/>
      <c r="Z10" s="983"/>
      <c r="AA10" s="983"/>
      <c r="AB10" s="983"/>
      <c r="AC10" s="983"/>
      <c r="AD10" s="983"/>
      <c r="AE10" s="983"/>
      <c r="AG10" s="983"/>
      <c r="AH10" s="983"/>
      <c r="AI10" s="983"/>
      <c r="AJ10" s="983"/>
      <c r="AK10" s="983"/>
      <c r="AL10" s="983"/>
      <c r="AN10" s="983"/>
      <c r="AO10" s="983"/>
      <c r="AP10" s="983"/>
      <c r="AQ10" s="983"/>
      <c r="AR10" s="983"/>
      <c r="AS10" s="983"/>
      <c r="AT10" s="646"/>
    </row>
    <row r="11" spans="1:46" x14ac:dyDescent="0.25">
      <c r="J11" s="589" t="s">
        <v>37</v>
      </c>
      <c r="K11" s="590">
        <v>4.4999999999999998E-2</v>
      </c>
      <c r="Y11" s="218"/>
      <c r="AT11" s="646"/>
    </row>
    <row r="12" spans="1:46" ht="15.75" thickBot="1" x14ac:dyDescent="0.3">
      <c r="J12" s="587"/>
      <c r="K12" s="588"/>
      <c r="M12" s="984"/>
      <c r="N12" s="984"/>
      <c r="O12" s="984"/>
      <c r="P12" s="984"/>
      <c r="Q12" s="984"/>
      <c r="R12" s="984"/>
      <c r="Y12" s="218"/>
      <c r="AT12" s="646"/>
    </row>
    <row r="13" spans="1:46" x14ac:dyDescent="0.25">
      <c r="A13" s="985" t="s">
        <v>139</v>
      </c>
      <c r="B13" s="986"/>
      <c r="C13" s="989" t="s">
        <v>140</v>
      </c>
      <c r="D13" s="989" t="s">
        <v>141</v>
      </c>
      <c r="E13" s="991" t="s">
        <v>142</v>
      </c>
      <c r="F13" s="991" t="s">
        <v>20</v>
      </c>
      <c r="G13" s="993" t="s">
        <v>341</v>
      </c>
      <c r="H13" s="994"/>
      <c r="I13" s="994"/>
      <c r="J13" s="995"/>
      <c r="K13" s="996" t="s">
        <v>343</v>
      </c>
      <c r="L13" s="217"/>
      <c r="M13" s="998" t="s">
        <v>143</v>
      </c>
      <c r="N13" s="999"/>
      <c r="O13" s="1000" t="s">
        <v>144</v>
      </c>
      <c r="P13" s="1001"/>
      <c r="Q13" s="1002" t="s">
        <v>145</v>
      </c>
      <c r="R13" s="1002"/>
      <c r="S13" s="1032" t="s">
        <v>146</v>
      </c>
      <c r="U13" s="1034" t="s">
        <v>51</v>
      </c>
      <c r="V13" s="1020" t="s">
        <v>52</v>
      </c>
      <c r="W13" s="1022" t="s">
        <v>340</v>
      </c>
      <c r="Y13" s="218"/>
      <c r="Z13" s="1023" t="s">
        <v>143</v>
      </c>
      <c r="AA13" s="1024"/>
      <c r="AB13" s="1025" t="s">
        <v>144</v>
      </c>
      <c r="AC13" s="1026"/>
      <c r="AD13" s="1027" t="s">
        <v>145</v>
      </c>
      <c r="AE13" s="1028"/>
      <c r="AG13" s="998" t="s">
        <v>143</v>
      </c>
      <c r="AH13" s="1029"/>
      <c r="AI13" s="1000" t="s">
        <v>144</v>
      </c>
      <c r="AJ13" s="1001"/>
      <c r="AK13" s="1003" t="s">
        <v>145</v>
      </c>
      <c r="AL13" s="1004"/>
      <c r="AN13" s="998" t="s">
        <v>143</v>
      </c>
      <c r="AO13" s="1029"/>
      <c r="AP13" s="1000" t="s">
        <v>144</v>
      </c>
      <c r="AQ13" s="1001"/>
      <c r="AR13" s="1003" t="s">
        <v>145</v>
      </c>
      <c r="AS13" s="1004"/>
      <c r="AT13" s="646"/>
    </row>
    <row r="14" spans="1:46" ht="39" thickBot="1" x14ac:dyDescent="0.3">
      <c r="A14" s="987"/>
      <c r="B14" s="988"/>
      <c r="C14" s="990"/>
      <c r="D14" s="990"/>
      <c r="E14" s="992"/>
      <c r="F14" s="992"/>
      <c r="G14" s="591" t="s">
        <v>147</v>
      </c>
      <c r="H14" s="591" t="s">
        <v>148</v>
      </c>
      <c r="I14" s="592" t="s">
        <v>149</v>
      </c>
      <c r="J14" s="593" t="s">
        <v>342</v>
      </c>
      <c r="K14" s="997"/>
      <c r="L14" s="217"/>
      <c r="M14" s="647" t="s">
        <v>150</v>
      </c>
      <c r="N14" s="648" t="s">
        <v>151</v>
      </c>
      <c r="O14" s="649" t="s">
        <v>150</v>
      </c>
      <c r="P14" s="650" t="s">
        <v>151</v>
      </c>
      <c r="Q14" s="651" t="s">
        <v>150</v>
      </c>
      <c r="R14" s="652" t="s">
        <v>151</v>
      </c>
      <c r="S14" s="1033"/>
      <c r="U14" s="1035"/>
      <c r="V14" s="1021"/>
      <c r="W14" s="1022"/>
      <c r="Y14" s="218"/>
      <c r="Z14" s="647" t="s">
        <v>150</v>
      </c>
      <c r="AA14" s="648" t="s">
        <v>151</v>
      </c>
      <c r="AB14" s="649" t="s">
        <v>150</v>
      </c>
      <c r="AC14" s="650" t="s">
        <v>151</v>
      </c>
      <c r="AD14" s="651" t="s">
        <v>150</v>
      </c>
      <c r="AE14" s="653" t="s">
        <v>151</v>
      </c>
      <c r="AG14" s="654" t="s">
        <v>150</v>
      </c>
      <c r="AH14" s="655" t="s">
        <v>151</v>
      </c>
      <c r="AI14" s="656" t="s">
        <v>150</v>
      </c>
      <c r="AJ14" s="657" t="s">
        <v>151</v>
      </c>
      <c r="AK14" s="658" t="s">
        <v>150</v>
      </c>
      <c r="AL14" s="659" t="s">
        <v>151</v>
      </c>
      <c r="AN14" s="1030" t="s">
        <v>152</v>
      </c>
      <c r="AO14" s="1031"/>
      <c r="AP14" s="1005" t="s">
        <v>152</v>
      </c>
      <c r="AQ14" s="1006"/>
      <c r="AR14" s="1007" t="s">
        <v>153</v>
      </c>
      <c r="AS14" s="1008"/>
      <c r="AT14" s="646"/>
    </row>
    <row r="15" spans="1:46" ht="15.75" thickBot="1" x14ac:dyDescent="0.3">
      <c r="A15" s="1009" t="s">
        <v>154</v>
      </c>
      <c r="B15" s="1012" t="s">
        <v>155</v>
      </c>
      <c r="C15" s="222" t="s">
        <v>314</v>
      </c>
      <c r="D15" s="223" t="s">
        <v>315</v>
      </c>
      <c r="E15" s="224" t="s">
        <v>316</v>
      </c>
      <c r="F15" s="630" t="s">
        <v>317</v>
      </c>
      <c r="G15" s="225">
        <v>26761618</v>
      </c>
      <c r="H15" s="225">
        <v>152000</v>
      </c>
      <c r="I15" s="558">
        <v>154960</v>
      </c>
      <c r="J15" s="540">
        <f>SUM(G15:I15)</f>
        <v>27068578</v>
      </c>
      <c r="K15" s="227">
        <f>((G15*(1+$K$11))*(1+$K$10))+H15+I15</f>
        <v>28272850.809999999</v>
      </c>
      <c r="L15" s="217"/>
      <c r="M15" s="228">
        <v>1</v>
      </c>
      <c r="N15" s="660">
        <f t="shared" ref="N15:N61" si="0">+$K15*M15</f>
        <v>28272850.809999999</v>
      </c>
      <c r="O15" s="228">
        <v>0</v>
      </c>
      <c r="P15" s="229">
        <f t="shared" ref="P15:P61" si="1">+$K15*O15</f>
        <v>0</v>
      </c>
      <c r="Q15" s="230">
        <v>0</v>
      </c>
      <c r="R15" s="660">
        <f t="shared" ref="R15:R61" si="2">+$K15*Q15</f>
        <v>0</v>
      </c>
      <c r="S15" s="231">
        <f t="shared" ref="S15:S61" si="3">+M15+O15+Q15</f>
        <v>1</v>
      </c>
      <c r="U15" s="661"/>
      <c r="V15" s="662" t="s">
        <v>59</v>
      </c>
      <c r="W15" s="663">
        <f>SUM(W16,W20)</f>
        <v>0</v>
      </c>
      <c r="Y15" s="218"/>
      <c r="Z15" s="232">
        <f>+M62</f>
        <v>1</v>
      </c>
      <c r="AA15" s="233">
        <f>+N62</f>
        <v>42462663.879999995</v>
      </c>
      <c r="AB15" s="232">
        <f t="shared" ref="AB15:AC15" si="4">+O62</f>
        <v>0</v>
      </c>
      <c r="AC15" s="234">
        <f t="shared" si="4"/>
        <v>0</v>
      </c>
      <c r="AD15" s="235">
        <f>+Q62</f>
        <v>0</v>
      </c>
      <c r="AE15" s="234">
        <f>+R62</f>
        <v>0</v>
      </c>
      <c r="AG15" s="236">
        <f>+Z15</f>
        <v>1</v>
      </c>
      <c r="AH15" s="237">
        <f>+AG15*W80</f>
        <v>0</v>
      </c>
      <c r="AI15" s="238">
        <f>+AB15</f>
        <v>0</v>
      </c>
      <c r="AJ15" s="237">
        <f>+AI15*W80</f>
        <v>0</v>
      </c>
      <c r="AK15" s="239">
        <f>+AD15</f>
        <v>0</v>
      </c>
      <c r="AL15" s="240">
        <f>+AK15*W80</f>
        <v>0</v>
      </c>
      <c r="AN15" s="1015">
        <f>+AH15+AA15+K74</f>
        <v>42462663.879999995</v>
      </c>
      <c r="AO15" s="1016"/>
      <c r="AP15" s="1015">
        <f>+AJ15+AC15</f>
        <v>0</v>
      </c>
      <c r="AQ15" s="1016"/>
      <c r="AR15" s="1015">
        <f>+AL15+AE15</f>
        <v>0</v>
      </c>
      <c r="AS15" s="1016"/>
      <c r="AT15" s="646"/>
    </row>
    <row r="16" spans="1:46" x14ac:dyDescent="0.25">
      <c r="A16" s="1010"/>
      <c r="B16" s="1013"/>
      <c r="C16" s="631"/>
      <c r="D16" s="586"/>
      <c r="E16" s="608"/>
      <c r="F16" s="632"/>
      <c r="G16" s="609"/>
      <c r="H16" s="609"/>
      <c r="I16" s="559"/>
      <c r="J16" s="541">
        <f>SUM(G16:I16)</f>
        <v>0</v>
      </c>
      <c r="K16" s="610">
        <f t="shared" ref="K16:K24" si="5">((G16*(1+$K$11))*(1+$K$10))+H16+I16</f>
        <v>0</v>
      </c>
      <c r="L16" s="217"/>
      <c r="M16" s="611">
        <v>0</v>
      </c>
      <c r="N16" s="612">
        <f t="shared" si="0"/>
        <v>0</v>
      </c>
      <c r="O16" s="611">
        <v>0</v>
      </c>
      <c r="P16" s="243">
        <f t="shared" si="1"/>
        <v>0</v>
      </c>
      <c r="Q16" s="613">
        <v>0</v>
      </c>
      <c r="R16" s="612">
        <f t="shared" si="2"/>
        <v>0</v>
      </c>
      <c r="S16" s="614">
        <f t="shared" si="3"/>
        <v>0</v>
      </c>
      <c r="U16" s="664"/>
      <c r="V16" s="665" t="s">
        <v>60</v>
      </c>
      <c r="W16" s="666">
        <f>SUM(W17:W19)</f>
        <v>0</v>
      </c>
      <c r="Y16" s="218"/>
      <c r="AT16" s="646"/>
    </row>
    <row r="17" spans="1:46" x14ac:dyDescent="0.25">
      <c r="A17" s="1010"/>
      <c r="B17" s="1013"/>
      <c r="C17" s="631" t="s">
        <v>318</v>
      </c>
      <c r="D17" s="586" t="s">
        <v>319</v>
      </c>
      <c r="E17" s="608" t="s">
        <v>320</v>
      </c>
      <c r="F17" s="632" t="s">
        <v>317</v>
      </c>
      <c r="G17" s="609">
        <v>13137046</v>
      </c>
      <c r="H17" s="609">
        <v>303000</v>
      </c>
      <c r="I17" s="559">
        <v>158600</v>
      </c>
      <c r="J17" s="541">
        <f t="shared" ref="J17:J39" si="6">SUM(G17:I17)</f>
        <v>13598646</v>
      </c>
      <c r="K17" s="610">
        <f t="shared" si="5"/>
        <v>14189813.069999998</v>
      </c>
      <c r="L17" s="217"/>
      <c r="M17" s="611">
        <v>1</v>
      </c>
      <c r="N17" s="612">
        <f t="shared" si="0"/>
        <v>14189813.069999998</v>
      </c>
      <c r="O17" s="611">
        <v>0</v>
      </c>
      <c r="P17" s="243">
        <f t="shared" si="1"/>
        <v>0</v>
      </c>
      <c r="Q17" s="613">
        <v>0</v>
      </c>
      <c r="R17" s="612">
        <f t="shared" si="2"/>
        <v>0</v>
      </c>
      <c r="S17" s="614">
        <f t="shared" si="3"/>
        <v>1</v>
      </c>
      <c r="U17" s="667">
        <v>53103050000000</v>
      </c>
      <c r="V17" s="668" t="s">
        <v>62</v>
      </c>
      <c r="W17" s="669"/>
      <c r="Y17" s="218"/>
      <c r="AT17" s="646"/>
    </row>
    <row r="18" spans="1:46" ht="15.75" thickBot="1" x14ac:dyDescent="0.3">
      <c r="A18" s="1010"/>
      <c r="B18" s="1013"/>
      <c r="C18" s="631"/>
      <c r="D18" s="586"/>
      <c r="E18" s="608"/>
      <c r="F18" s="632"/>
      <c r="G18" s="609"/>
      <c r="H18" s="609"/>
      <c r="I18" s="559"/>
      <c r="J18" s="541">
        <f t="shared" si="6"/>
        <v>0</v>
      </c>
      <c r="K18" s="610">
        <f t="shared" si="5"/>
        <v>0</v>
      </c>
      <c r="L18" s="217"/>
      <c r="M18" s="611"/>
      <c r="N18" s="612">
        <f t="shared" si="0"/>
        <v>0</v>
      </c>
      <c r="O18" s="611"/>
      <c r="P18" s="243">
        <f t="shared" si="1"/>
        <v>0</v>
      </c>
      <c r="Q18" s="613"/>
      <c r="R18" s="612">
        <f t="shared" si="2"/>
        <v>0</v>
      </c>
      <c r="S18" s="614">
        <f t="shared" si="3"/>
        <v>0</v>
      </c>
      <c r="U18" s="667">
        <v>53103060000000</v>
      </c>
      <c r="V18" s="668" t="s">
        <v>63</v>
      </c>
      <c r="W18" s="669"/>
      <c r="Y18" s="244"/>
      <c r="Z18" s="245"/>
      <c r="AA18" s="245"/>
      <c r="AB18" s="245"/>
      <c r="AC18" s="245"/>
      <c r="AD18" s="245"/>
      <c r="AE18" s="245"/>
      <c r="AF18" s="245"/>
      <c r="AG18" s="245"/>
      <c r="AH18" s="245"/>
      <c r="AI18" s="245"/>
      <c r="AJ18" s="245"/>
      <c r="AK18" s="245"/>
      <c r="AL18" s="245"/>
      <c r="AM18" s="245"/>
      <c r="AN18" s="245"/>
      <c r="AO18" s="245"/>
      <c r="AP18" s="245"/>
      <c r="AQ18" s="245"/>
      <c r="AR18" s="245"/>
      <c r="AS18" s="245"/>
      <c r="AT18" s="246"/>
    </row>
    <row r="19" spans="1:46" x14ac:dyDescent="0.25">
      <c r="A19" s="1010"/>
      <c r="B19" s="1013"/>
      <c r="C19" s="631"/>
      <c r="D19" s="586"/>
      <c r="E19" s="608"/>
      <c r="F19" s="632"/>
      <c r="G19" s="609"/>
      <c r="H19" s="609"/>
      <c r="I19" s="559"/>
      <c r="J19" s="541">
        <f>SUM(G19:I19)</f>
        <v>0</v>
      </c>
      <c r="K19" s="610">
        <f t="shared" si="5"/>
        <v>0</v>
      </c>
      <c r="L19" s="217"/>
      <c r="M19" s="611"/>
      <c r="N19" s="612">
        <f t="shared" si="0"/>
        <v>0</v>
      </c>
      <c r="O19" s="611"/>
      <c r="P19" s="243">
        <f t="shared" si="1"/>
        <v>0</v>
      </c>
      <c r="Q19" s="613"/>
      <c r="R19" s="612">
        <f t="shared" si="2"/>
        <v>0</v>
      </c>
      <c r="S19" s="614">
        <f t="shared" si="3"/>
        <v>0</v>
      </c>
      <c r="U19" s="667">
        <v>53103080010000</v>
      </c>
      <c r="V19" s="668" t="s">
        <v>64</v>
      </c>
      <c r="W19" s="669"/>
    </row>
    <row r="20" spans="1:46" x14ac:dyDescent="0.25">
      <c r="A20" s="1010"/>
      <c r="B20" s="1013"/>
      <c r="C20" s="631"/>
      <c r="D20" s="586"/>
      <c r="E20" s="608"/>
      <c r="F20" s="632"/>
      <c r="G20" s="609"/>
      <c r="H20" s="609"/>
      <c r="I20" s="559"/>
      <c r="J20" s="541">
        <f t="shared" si="6"/>
        <v>0</v>
      </c>
      <c r="K20" s="610">
        <f t="shared" si="5"/>
        <v>0</v>
      </c>
      <c r="L20" s="217"/>
      <c r="M20" s="611"/>
      <c r="N20" s="612">
        <f t="shared" si="0"/>
        <v>0</v>
      </c>
      <c r="O20" s="611"/>
      <c r="P20" s="243">
        <f t="shared" si="1"/>
        <v>0</v>
      </c>
      <c r="Q20" s="613"/>
      <c r="R20" s="612">
        <f t="shared" si="2"/>
        <v>0</v>
      </c>
      <c r="S20" s="614">
        <f t="shared" si="3"/>
        <v>0</v>
      </c>
      <c r="U20" s="664"/>
      <c r="V20" s="665" t="s">
        <v>67</v>
      </c>
      <c r="W20" s="670">
        <f>SUM(W21:W39)</f>
        <v>0</v>
      </c>
    </row>
    <row r="21" spans="1:46" x14ac:dyDescent="0.25">
      <c r="A21" s="1010"/>
      <c r="B21" s="1013"/>
      <c r="C21" s="631"/>
      <c r="D21" s="586"/>
      <c r="E21" s="608"/>
      <c r="F21" s="632"/>
      <c r="G21" s="609"/>
      <c r="H21" s="609"/>
      <c r="I21" s="559"/>
      <c r="J21" s="541">
        <f t="shared" si="6"/>
        <v>0</v>
      </c>
      <c r="K21" s="610">
        <f t="shared" si="5"/>
        <v>0</v>
      </c>
      <c r="L21" s="217"/>
      <c r="M21" s="611"/>
      <c r="N21" s="612">
        <f t="shared" si="0"/>
        <v>0</v>
      </c>
      <c r="O21" s="611"/>
      <c r="P21" s="243">
        <f t="shared" si="1"/>
        <v>0</v>
      </c>
      <c r="Q21" s="613"/>
      <c r="R21" s="612">
        <f t="shared" si="2"/>
        <v>0</v>
      </c>
      <c r="S21" s="614">
        <f t="shared" si="3"/>
        <v>0</v>
      </c>
      <c r="U21" s="667">
        <v>53201010100000</v>
      </c>
      <c r="V21" s="668" t="s">
        <v>68</v>
      </c>
      <c r="W21" s="669"/>
    </row>
    <row r="22" spans="1:46" x14ac:dyDescent="0.25">
      <c r="A22" s="1010"/>
      <c r="B22" s="1013"/>
      <c r="C22" s="631"/>
      <c r="D22" s="586"/>
      <c r="E22" s="608"/>
      <c r="F22" s="632"/>
      <c r="G22" s="609"/>
      <c r="H22" s="609"/>
      <c r="I22" s="559"/>
      <c r="J22" s="541">
        <f t="shared" si="6"/>
        <v>0</v>
      </c>
      <c r="K22" s="610">
        <f t="shared" si="5"/>
        <v>0</v>
      </c>
      <c r="L22" s="217"/>
      <c r="M22" s="611"/>
      <c r="N22" s="612">
        <f t="shared" si="0"/>
        <v>0</v>
      </c>
      <c r="O22" s="611"/>
      <c r="P22" s="243">
        <f t="shared" si="1"/>
        <v>0</v>
      </c>
      <c r="Q22" s="613"/>
      <c r="R22" s="612">
        <f t="shared" si="2"/>
        <v>0</v>
      </c>
      <c r="S22" s="614">
        <f t="shared" si="3"/>
        <v>0</v>
      </c>
      <c r="U22" s="667">
        <v>53202010100000</v>
      </c>
      <c r="V22" s="668" t="s">
        <v>69</v>
      </c>
      <c r="W22" s="669"/>
    </row>
    <row r="23" spans="1:46" x14ac:dyDescent="0.25">
      <c r="A23" s="1010"/>
      <c r="B23" s="1013"/>
      <c r="C23" s="631"/>
      <c r="D23" s="586"/>
      <c r="E23" s="608"/>
      <c r="F23" s="632"/>
      <c r="G23" s="609"/>
      <c r="H23" s="609"/>
      <c r="I23" s="559"/>
      <c r="J23" s="541">
        <f t="shared" si="6"/>
        <v>0</v>
      </c>
      <c r="K23" s="610">
        <f t="shared" si="5"/>
        <v>0</v>
      </c>
      <c r="L23" s="217"/>
      <c r="M23" s="611"/>
      <c r="N23" s="612">
        <f t="shared" si="0"/>
        <v>0</v>
      </c>
      <c r="O23" s="611"/>
      <c r="P23" s="243">
        <f t="shared" si="1"/>
        <v>0</v>
      </c>
      <c r="Q23" s="613"/>
      <c r="R23" s="612">
        <f t="shared" si="2"/>
        <v>0</v>
      </c>
      <c r="S23" s="614">
        <f t="shared" si="3"/>
        <v>0</v>
      </c>
      <c r="U23" s="667">
        <v>53203010100000</v>
      </c>
      <c r="V23" s="668" t="s">
        <v>70</v>
      </c>
      <c r="W23" s="669"/>
    </row>
    <row r="24" spans="1:46" ht="15.75" thickBot="1" x14ac:dyDescent="0.3">
      <c r="A24" s="1010"/>
      <c r="B24" s="1014"/>
      <c r="C24" s="671"/>
      <c r="D24" s="672"/>
      <c r="E24" s="673"/>
      <c r="F24" s="674"/>
      <c r="G24" s="675"/>
      <c r="H24" s="675"/>
      <c r="I24" s="629"/>
      <c r="J24" s="634">
        <f t="shared" si="6"/>
        <v>0</v>
      </c>
      <c r="K24" s="636">
        <f t="shared" si="5"/>
        <v>0</v>
      </c>
      <c r="L24" s="217"/>
      <c r="M24" s="676"/>
      <c r="N24" s="677">
        <f t="shared" si="0"/>
        <v>0</v>
      </c>
      <c r="O24" s="676"/>
      <c r="P24" s="678">
        <f t="shared" si="1"/>
        <v>0</v>
      </c>
      <c r="Q24" s="679"/>
      <c r="R24" s="677">
        <f t="shared" si="2"/>
        <v>0</v>
      </c>
      <c r="S24" s="680">
        <f t="shared" si="3"/>
        <v>0</v>
      </c>
      <c r="U24" s="667">
        <v>53203030000000</v>
      </c>
      <c r="V24" s="668" t="s">
        <v>71</v>
      </c>
      <c r="W24" s="669"/>
    </row>
    <row r="25" spans="1:46" x14ac:dyDescent="0.25">
      <c r="A25" s="1010"/>
      <c r="B25" s="1012" t="s">
        <v>156</v>
      </c>
      <c r="C25" s="222"/>
      <c r="D25" s="223"/>
      <c r="E25" s="224"/>
      <c r="F25" s="630"/>
      <c r="G25" s="225"/>
      <c r="H25" s="225"/>
      <c r="I25" s="558"/>
      <c r="J25" s="540">
        <f t="shared" si="6"/>
        <v>0</v>
      </c>
      <c r="K25" s="635">
        <f t="shared" ref="K25:K61" si="7">G25*(1+$K$11)+H25+I25</f>
        <v>0</v>
      </c>
      <c r="L25" s="217"/>
      <c r="M25" s="228"/>
      <c r="N25" s="660">
        <f t="shared" si="0"/>
        <v>0</v>
      </c>
      <c r="O25" s="228"/>
      <c r="P25" s="229">
        <f t="shared" si="1"/>
        <v>0</v>
      </c>
      <c r="Q25" s="230"/>
      <c r="R25" s="660">
        <f t="shared" si="2"/>
        <v>0</v>
      </c>
      <c r="S25" s="231">
        <f t="shared" si="3"/>
        <v>0</v>
      </c>
      <c r="U25" s="667">
        <v>53204030000000</v>
      </c>
      <c r="V25" s="668" t="s">
        <v>72</v>
      </c>
      <c r="W25" s="669"/>
    </row>
    <row r="26" spans="1:46" x14ac:dyDescent="0.25">
      <c r="A26" s="1010"/>
      <c r="B26" s="1013"/>
      <c r="C26" s="631"/>
      <c r="D26" s="586"/>
      <c r="E26" s="608"/>
      <c r="F26" s="632"/>
      <c r="G26" s="609"/>
      <c r="H26" s="609"/>
      <c r="I26" s="559"/>
      <c r="J26" s="541">
        <f t="shared" si="6"/>
        <v>0</v>
      </c>
      <c r="K26" s="610">
        <f t="shared" si="7"/>
        <v>0</v>
      </c>
      <c r="L26" s="217"/>
      <c r="M26" s="611"/>
      <c r="N26" s="612">
        <f t="shared" si="0"/>
        <v>0</v>
      </c>
      <c r="O26" s="611"/>
      <c r="P26" s="243">
        <f t="shared" si="1"/>
        <v>0</v>
      </c>
      <c r="Q26" s="613"/>
      <c r="R26" s="612">
        <f t="shared" si="2"/>
        <v>0</v>
      </c>
      <c r="S26" s="614">
        <f t="shared" si="3"/>
        <v>0</v>
      </c>
      <c r="U26" s="667">
        <v>53204100100001</v>
      </c>
      <c r="V26" s="668" t="s">
        <v>73</v>
      </c>
      <c r="W26" s="669"/>
    </row>
    <row r="27" spans="1:46" x14ac:dyDescent="0.25">
      <c r="A27" s="1010"/>
      <c r="B27" s="1013"/>
      <c r="C27" s="631"/>
      <c r="D27" s="586"/>
      <c r="E27" s="608"/>
      <c r="F27" s="632"/>
      <c r="G27" s="609"/>
      <c r="H27" s="609"/>
      <c r="I27" s="559"/>
      <c r="J27" s="541">
        <f t="shared" si="6"/>
        <v>0</v>
      </c>
      <c r="K27" s="610">
        <f t="shared" si="7"/>
        <v>0</v>
      </c>
      <c r="L27" s="217"/>
      <c r="M27" s="611"/>
      <c r="N27" s="612">
        <f t="shared" si="0"/>
        <v>0</v>
      </c>
      <c r="O27" s="611"/>
      <c r="P27" s="243">
        <f t="shared" si="1"/>
        <v>0</v>
      </c>
      <c r="Q27" s="613"/>
      <c r="R27" s="612">
        <f t="shared" si="2"/>
        <v>0</v>
      </c>
      <c r="S27" s="614">
        <f t="shared" si="3"/>
        <v>0</v>
      </c>
      <c r="U27" s="667">
        <v>53204130100000</v>
      </c>
      <c r="V27" s="668" t="s">
        <v>74</v>
      </c>
      <c r="W27" s="669"/>
    </row>
    <row r="28" spans="1:46" x14ac:dyDescent="0.25">
      <c r="A28" s="1010"/>
      <c r="B28" s="1013"/>
      <c r="C28" s="631"/>
      <c r="D28" s="586"/>
      <c r="E28" s="608"/>
      <c r="F28" s="632"/>
      <c r="G28" s="609"/>
      <c r="H28" s="609"/>
      <c r="I28" s="559"/>
      <c r="J28" s="541">
        <f t="shared" si="6"/>
        <v>0</v>
      </c>
      <c r="K28" s="610">
        <f t="shared" si="7"/>
        <v>0</v>
      </c>
      <c r="L28" s="217"/>
      <c r="M28" s="611"/>
      <c r="N28" s="612">
        <f t="shared" si="0"/>
        <v>0</v>
      </c>
      <c r="O28" s="611"/>
      <c r="P28" s="243">
        <f t="shared" si="1"/>
        <v>0</v>
      </c>
      <c r="Q28" s="613"/>
      <c r="R28" s="612">
        <f t="shared" si="2"/>
        <v>0</v>
      </c>
      <c r="S28" s="614">
        <f t="shared" si="3"/>
        <v>0</v>
      </c>
      <c r="U28" s="667">
        <v>53205010100000</v>
      </c>
      <c r="V28" s="668" t="s">
        <v>75</v>
      </c>
      <c r="W28" s="669"/>
    </row>
    <row r="29" spans="1:46" x14ac:dyDescent="0.25">
      <c r="A29" s="1010"/>
      <c r="B29" s="1013"/>
      <c r="C29" s="631"/>
      <c r="D29" s="586"/>
      <c r="E29" s="608"/>
      <c r="F29" s="632"/>
      <c r="G29" s="609"/>
      <c r="H29" s="609"/>
      <c r="I29" s="559"/>
      <c r="J29" s="541">
        <f t="shared" si="6"/>
        <v>0</v>
      </c>
      <c r="K29" s="610">
        <f t="shared" si="7"/>
        <v>0</v>
      </c>
      <c r="L29" s="217"/>
      <c r="M29" s="611"/>
      <c r="N29" s="612">
        <f t="shared" si="0"/>
        <v>0</v>
      </c>
      <c r="O29" s="611"/>
      <c r="P29" s="243">
        <f t="shared" si="1"/>
        <v>0</v>
      </c>
      <c r="Q29" s="613"/>
      <c r="R29" s="612">
        <f t="shared" si="2"/>
        <v>0</v>
      </c>
      <c r="S29" s="614">
        <f t="shared" si="3"/>
        <v>0</v>
      </c>
      <c r="U29" s="667">
        <v>53205020100000</v>
      </c>
      <c r="V29" s="668" t="s">
        <v>76</v>
      </c>
      <c r="W29" s="669"/>
    </row>
    <row r="30" spans="1:46" x14ac:dyDescent="0.25">
      <c r="A30" s="1010"/>
      <c r="B30" s="1013"/>
      <c r="C30" s="631"/>
      <c r="D30" s="586"/>
      <c r="E30" s="608"/>
      <c r="F30" s="632"/>
      <c r="G30" s="609"/>
      <c r="H30" s="609"/>
      <c r="I30" s="559"/>
      <c r="J30" s="541">
        <f t="shared" si="6"/>
        <v>0</v>
      </c>
      <c r="K30" s="610">
        <f t="shared" si="7"/>
        <v>0</v>
      </c>
      <c r="L30" s="217"/>
      <c r="M30" s="611"/>
      <c r="N30" s="612">
        <f t="shared" si="0"/>
        <v>0</v>
      </c>
      <c r="O30" s="611"/>
      <c r="P30" s="243">
        <f t="shared" si="1"/>
        <v>0</v>
      </c>
      <c r="Q30" s="613"/>
      <c r="R30" s="612">
        <f t="shared" si="2"/>
        <v>0</v>
      </c>
      <c r="S30" s="614">
        <f t="shared" si="3"/>
        <v>0</v>
      </c>
      <c r="U30" s="667">
        <v>53205030100000</v>
      </c>
      <c r="V30" s="668" t="s">
        <v>77</v>
      </c>
      <c r="W30" s="669"/>
    </row>
    <row r="31" spans="1:46" x14ac:dyDescent="0.25">
      <c r="A31" s="1010"/>
      <c r="B31" s="1013"/>
      <c r="C31" s="631"/>
      <c r="D31" s="586"/>
      <c r="E31" s="608"/>
      <c r="F31" s="632"/>
      <c r="G31" s="609"/>
      <c r="H31" s="609"/>
      <c r="I31" s="559"/>
      <c r="J31" s="541">
        <f t="shared" si="6"/>
        <v>0</v>
      </c>
      <c r="K31" s="610">
        <f t="shared" si="7"/>
        <v>0</v>
      </c>
      <c r="L31" s="217"/>
      <c r="M31" s="611"/>
      <c r="N31" s="612">
        <f t="shared" si="0"/>
        <v>0</v>
      </c>
      <c r="O31" s="611"/>
      <c r="P31" s="243">
        <f t="shared" si="1"/>
        <v>0</v>
      </c>
      <c r="Q31" s="613"/>
      <c r="R31" s="612">
        <f t="shared" si="2"/>
        <v>0</v>
      </c>
      <c r="S31" s="614">
        <f t="shared" si="3"/>
        <v>0</v>
      </c>
      <c r="U31" s="667">
        <v>53205050100000</v>
      </c>
      <c r="V31" s="668" t="s">
        <v>78</v>
      </c>
      <c r="W31" s="669"/>
    </row>
    <row r="32" spans="1:46" x14ac:dyDescent="0.25">
      <c r="A32" s="1010"/>
      <c r="B32" s="1013"/>
      <c r="C32" s="631"/>
      <c r="D32" s="586"/>
      <c r="E32" s="608"/>
      <c r="F32" s="632"/>
      <c r="G32" s="609"/>
      <c r="H32" s="609"/>
      <c r="I32" s="559"/>
      <c r="J32" s="541">
        <f t="shared" si="6"/>
        <v>0</v>
      </c>
      <c r="K32" s="610">
        <f t="shared" si="7"/>
        <v>0</v>
      </c>
      <c r="L32" s="217"/>
      <c r="M32" s="611"/>
      <c r="N32" s="612">
        <f t="shared" si="0"/>
        <v>0</v>
      </c>
      <c r="O32" s="611"/>
      <c r="P32" s="243">
        <f t="shared" si="1"/>
        <v>0</v>
      </c>
      <c r="Q32" s="613"/>
      <c r="R32" s="612">
        <f t="shared" si="2"/>
        <v>0</v>
      </c>
      <c r="S32" s="614">
        <f t="shared" si="3"/>
        <v>0</v>
      </c>
      <c r="U32" s="667">
        <v>53205060100000</v>
      </c>
      <c r="V32" s="668" t="s">
        <v>79</v>
      </c>
      <c r="W32" s="669"/>
    </row>
    <row r="33" spans="1:23" s="215" customFormat="1" x14ac:dyDescent="0.25">
      <c r="A33" s="1010"/>
      <c r="B33" s="1013"/>
      <c r="C33" s="631"/>
      <c r="D33" s="586"/>
      <c r="E33" s="608"/>
      <c r="F33" s="632"/>
      <c r="G33" s="609"/>
      <c r="H33" s="609"/>
      <c r="I33" s="559"/>
      <c r="J33" s="541">
        <f t="shared" si="6"/>
        <v>0</v>
      </c>
      <c r="K33" s="610">
        <f t="shared" si="7"/>
        <v>0</v>
      </c>
      <c r="L33" s="217"/>
      <c r="M33" s="611"/>
      <c r="N33" s="612">
        <f t="shared" si="0"/>
        <v>0</v>
      </c>
      <c r="O33" s="611"/>
      <c r="P33" s="243">
        <f t="shared" si="1"/>
        <v>0</v>
      </c>
      <c r="Q33" s="613"/>
      <c r="R33" s="612">
        <f t="shared" si="2"/>
        <v>0</v>
      </c>
      <c r="S33" s="614">
        <f t="shared" si="3"/>
        <v>0</v>
      </c>
      <c r="U33" s="667">
        <v>53205070100000</v>
      </c>
      <c r="V33" s="668" t="s">
        <v>80</v>
      </c>
      <c r="W33" s="669"/>
    </row>
    <row r="34" spans="1:23" s="215" customFormat="1" ht="15.75" thickBot="1" x14ac:dyDescent="0.3">
      <c r="A34" s="1010"/>
      <c r="B34" s="1014"/>
      <c r="C34" s="671"/>
      <c r="D34" s="672"/>
      <c r="E34" s="673"/>
      <c r="F34" s="674"/>
      <c r="G34" s="675"/>
      <c r="H34" s="675"/>
      <c r="I34" s="629"/>
      <c r="J34" s="634">
        <f t="shared" si="6"/>
        <v>0</v>
      </c>
      <c r="K34" s="636">
        <f t="shared" si="7"/>
        <v>0</v>
      </c>
      <c r="L34" s="217"/>
      <c r="M34" s="676"/>
      <c r="N34" s="677">
        <f t="shared" si="0"/>
        <v>0</v>
      </c>
      <c r="O34" s="676"/>
      <c r="P34" s="678">
        <f t="shared" si="1"/>
        <v>0</v>
      </c>
      <c r="Q34" s="679"/>
      <c r="R34" s="677">
        <f t="shared" si="2"/>
        <v>0</v>
      </c>
      <c r="S34" s="680">
        <f t="shared" si="3"/>
        <v>0</v>
      </c>
      <c r="U34" s="667">
        <v>53208010100000</v>
      </c>
      <c r="V34" s="668" t="s">
        <v>81</v>
      </c>
      <c r="W34" s="669"/>
    </row>
    <row r="35" spans="1:23" s="215" customFormat="1" x14ac:dyDescent="0.25">
      <c r="A35" s="1010"/>
      <c r="B35" s="1012" t="s">
        <v>157</v>
      </c>
      <c r="C35" s="222"/>
      <c r="D35" s="223"/>
      <c r="E35" s="224"/>
      <c r="F35" s="630"/>
      <c r="G35" s="225"/>
      <c r="H35" s="225"/>
      <c r="I35" s="558"/>
      <c r="J35" s="540">
        <f t="shared" si="6"/>
        <v>0</v>
      </c>
      <c r="K35" s="227">
        <f t="shared" si="7"/>
        <v>0</v>
      </c>
      <c r="L35" s="217"/>
      <c r="M35" s="228"/>
      <c r="N35" s="660">
        <f t="shared" si="0"/>
        <v>0</v>
      </c>
      <c r="O35" s="228"/>
      <c r="P35" s="229">
        <f t="shared" si="1"/>
        <v>0</v>
      </c>
      <c r="Q35" s="230"/>
      <c r="R35" s="660">
        <f t="shared" si="2"/>
        <v>0</v>
      </c>
      <c r="S35" s="231">
        <v>0</v>
      </c>
      <c r="U35" s="667">
        <v>53208070100001</v>
      </c>
      <c r="V35" s="668" t="s">
        <v>82</v>
      </c>
      <c r="W35" s="669">
        <v>0</v>
      </c>
    </row>
    <row r="36" spans="1:23" s="215" customFormat="1" x14ac:dyDescent="0.25">
      <c r="A36" s="1010"/>
      <c r="B36" s="1013"/>
      <c r="C36" s="631"/>
      <c r="D36" s="586"/>
      <c r="E36" s="608"/>
      <c r="F36" s="632"/>
      <c r="G36" s="609"/>
      <c r="H36" s="609"/>
      <c r="I36" s="559"/>
      <c r="J36" s="541">
        <f t="shared" si="6"/>
        <v>0</v>
      </c>
      <c r="K36" s="610">
        <f t="shared" si="7"/>
        <v>0</v>
      </c>
      <c r="L36" s="217"/>
      <c r="M36" s="611"/>
      <c r="N36" s="612">
        <f t="shared" si="0"/>
        <v>0</v>
      </c>
      <c r="O36" s="611"/>
      <c r="P36" s="243">
        <f t="shared" si="1"/>
        <v>0</v>
      </c>
      <c r="Q36" s="613"/>
      <c r="R36" s="612">
        <f t="shared" si="2"/>
        <v>0</v>
      </c>
      <c r="S36" s="614">
        <f t="shared" si="3"/>
        <v>0</v>
      </c>
      <c r="U36" s="667">
        <v>53208100100001</v>
      </c>
      <c r="V36" s="668" t="s">
        <v>83</v>
      </c>
      <c r="W36" s="669"/>
    </row>
    <row r="37" spans="1:23" s="215" customFormat="1" x14ac:dyDescent="0.25">
      <c r="A37" s="1010"/>
      <c r="B37" s="1013"/>
      <c r="C37" s="631"/>
      <c r="D37" s="586"/>
      <c r="E37" s="608"/>
      <c r="F37" s="632"/>
      <c r="G37" s="609"/>
      <c r="H37" s="609"/>
      <c r="I37" s="559"/>
      <c r="J37" s="541">
        <f t="shared" si="6"/>
        <v>0</v>
      </c>
      <c r="K37" s="610">
        <f t="shared" si="7"/>
        <v>0</v>
      </c>
      <c r="L37" s="217"/>
      <c r="M37" s="611"/>
      <c r="N37" s="612">
        <f t="shared" si="0"/>
        <v>0</v>
      </c>
      <c r="O37" s="611"/>
      <c r="P37" s="243">
        <f t="shared" si="1"/>
        <v>0</v>
      </c>
      <c r="Q37" s="613"/>
      <c r="R37" s="612">
        <f t="shared" si="2"/>
        <v>0</v>
      </c>
      <c r="S37" s="614">
        <f t="shared" si="3"/>
        <v>0</v>
      </c>
      <c r="U37" s="667">
        <v>53211030000000</v>
      </c>
      <c r="V37" s="668" t="s">
        <v>84</v>
      </c>
      <c r="W37" s="669"/>
    </row>
    <row r="38" spans="1:23" s="215" customFormat="1" x14ac:dyDescent="0.25">
      <c r="A38" s="1010"/>
      <c r="B38" s="1013"/>
      <c r="C38" s="631"/>
      <c r="D38" s="586"/>
      <c r="E38" s="608"/>
      <c r="F38" s="632"/>
      <c r="G38" s="609"/>
      <c r="H38" s="609"/>
      <c r="I38" s="559"/>
      <c r="J38" s="541">
        <f t="shared" si="6"/>
        <v>0</v>
      </c>
      <c r="K38" s="610">
        <f t="shared" si="7"/>
        <v>0</v>
      </c>
      <c r="L38" s="217"/>
      <c r="M38" s="611"/>
      <c r="N38" s="612">
        <f t="shared" si="0"/>
        <v>0</v>
      </c>
      <c r="O38" s="611"/>
      <c r="P38" s="243">
        <f t="shared" si="1"/>
        <v>0</v>
      </c>
      <c r="Q38" s="613"/>
      <c r="R38" s="612">
        <f t="shared" si="2"/>
        <v>0</v>
      </c>
      <c r="S38" s="614">
        <f t="shared" si="3"/>
        <v>0</v>
      </c>
      <c r="U38" s="667">
        <v>53212020100000</v>
      </c>
      <c r="V38" s="668" t="s">
        <v>85</v>
      </c>
      <c r="W38" s="669">
        <v>0</v>
      </c>
    </row>
    <row r="39" spans="1:23" s="215" customFormat="1" ht="15.75" thickBot="1" x14ac:dyDescent="0.3">
      <c r="A39" s="1010"/>
      <c r="B39" s="1014"/>
      <c r="C39" s="671"/>
      <c r="D39" s="672"/>
      <c r="E39" s="673"/>
      <c r="F39" s="674"/>
      <c r="G39" s="675"/>
      <c r="H39" s="675"/>
      <c r="I39" s="629"/>
      <c r="J39" s="634">
        <f t="shared" si="6"/>
        <v>0</v>
      </c>
      <c r="K39" s="636">
        <f t="shared" si="7"/>
        <v>0</v>
      </c>
      <c r="L39" s="217"/>
      <c r="M39" s="676"/>
      <c r="N39" s="677">
        <f t="shared" si="0"/>
        <v>0</v>
      </c>
      <c r="O39" s="676"/>
      <c r="P39" s="678">
        <f t="shared" si="1"/>
        <v>0</v>
      </c>
      <c r="Q39" s="679"/>
      <c r="R39" s="677">
        <f t="shared" si="2"/>
        <v>0</v>
      </c>
      <c r="S39" s="680">
        <f t="shared" si="3"/>
        <v>0</v>
      </c>
      <c r="U39" s="667">
        <v>53214020000000</v>
      </c>
      <c r="V39" s="668" t="s">
        <v>86</v>
      </c>
      <c r="W39" s="669"/>
    </row>
    <row r="40" spans="1:23" s="215" customFormat="1" x14ac:dyDescent="0.25">
      <c r="A40" s="1010"/>
      <c r="B40" s="1017" t="s">
        <v>158</v>
      </c>
      <c r="C40" s="250"/>
      <c r="D40" s="681"/>
      <c r="E40" s="682"/>
      <c r="F40" s="683"/>
      <c r="G40" s="225"/>
      <c r="H40" s="225"/>
      <c r="I40" s="558"/>
      <c r="J40" s="542">
        <f t="shared" ref="J40:J61" si="8">SUM(G40:I40)</f>
        <v>0</v>
      </c>
      <c r="K40" s="227">
        <f t="shared" si="7"/>
        <v>0</v>
      </c>
      <c r="L40" s="217"/>
      <c r="M40" s="228"/>
      <c r="N40" s="660">
        <f t="shared" si="0"/>
        <v>0</v>
      </c>
      <c r="O40" s="228"/>
      <c r="P40" s="229">
        <f t="shared" si="1"/>
        <v>0</v>
      </c>
      <c r="Q40" s="230"/>
      <c r="R40" s="660">
        <f t="shared" si="2"/>
        <v>0</v>
      </c>
      <c r="S40" s="231">
        <f t="shared" si="3"/>
        <v>0</v>
      </c>
      <c r="U40" s="661"/>
      <c r="V40" s="662" t="s">
        <v>87</v>
      </c>
      <c r="W40" s="663">
        <f>SUM(W41,W46,W49,W60,W70,W78)</f>
        <v>0</v>
      </c>
    </row>
    <row r="41" spans="1:23" s="215" customFormat="1" x14ac:dyDescent="0.25">
      <c r="A41" s="1010"/>
      <c r="B41" s="1018"/>
      <c r="C41" s="684"/>
      <c r="D41" s="686"/>
      <c r="E41" s="687"/>
      <c r="F41" s="685"/>
      <c r="G41" s="609"/>
      <c r="H41" s="609"/>
      <c r="I41" s="559"/>
      <c r="J41" s="543">
        <f t="shared" si="8"/>
        <v>0</v>
      </c>
      <c r="K41" s="610">
        <f t="shared" si="7"/>
        <v>0</v>
      </c>
      <c r="L41" s="217"/>
      <c r="M41" s="611"/>
      <c r="N41" s="612">
        <f t="shared" si="0"/>
        <v>0</v>
      </c>
      <c r="O41" s="611"/>
      <c r="P41" s="243">
        <f t="shared" si="1"/>
        <v>0</v>
      </c>
      <c r="Q41" s="613"/>
      <c r="R41" s="612">
        <f t="shared" si="2"/>
        <v>0</v>
      </c>
      <c r="S41" s="614">
        <f t="shared" si="3"/>
        <v>0</v>
      </c>
      <c r="U41" s="664"/>
      <c r="V41" s="665" t="s">
        <v>88</v>
      </c>
      <c r="W41" s="666">
        <f>SUM(W42:W45)</f>
        <v>0</v>
      </c>
    </row>
    <row r="42" spans="1:23" s="215" customFormat="1" x14ac:dyDescent="0.25">
      <c r="A42" s="1010"/>
      <c r="B42" s="1018"/>
      <c r="C42" s="684"/>
      <c r="D42" s="686"/>
      <c r="E42" s="687"/>
      <c r="F42" s="685"/>
      <c r="G42" s="609"/>
      <c r="H42" s="609"/>
      <c r="I42" s="559"/>
      <c r="J42" s="543">
        <f t="shared" si="8"/>
        <v>0</v>
      </c>
      <c r="K42" s="610">
        <f t="shared" si="7"/>
        <v>0</v>
      </c>
      <c r="L42" s="217"/>
      <c r="M42" s="611"/>
      <c r="N42" s="612">
        <f t="shared" si="0"/>
        <v>0</v>
      </c>
      <c r="O42" s="611"/>
      <c r="P42" s="243">
        <f t="shared" si="1"/>
        <v>0</v>
      </c>
      <c r="Q42" s="613"/>
      <c r="R42" s="612">
        <f t="shared" si="2"/>
        <v>0</v>
      </c>
      <c r="S42" s="614">
        <f t="shared" si="3"/>
        <v>0</v>
      </c>
      <c r="U42" s="667">
        <v>53202020100000</v>
      </c>
      <c r="V42" s="668" t="s">
        <v>89</v>
      </c>
      <c r="W42" s="669"/>
    </row>
    <row r="43" spans="1:23" s="215" customFormat="1" x14ac:dyDescent="0.25">
      <c r="A43" s="1010"/>
      <c r="B43" s="1018"/>
      <c r="C43" s="684"/>
      <c r="D43" s="686"/>
      <c r="E43" s="687"/>
      <c r="F43" s="685"/>
      <c r="G43" s="609"/>
      <c r="H43" s="609"/>
      <c r="I43" s="559"/>
      <c r="J43" s="543">
        <f t="shared" si="8"/>
        <v>0</v>
      </c>
      <c r="K43" s="610">
        <f t="shared" si="7"/>
        <v>0</v>
      </c>
      <c r="L43" s="217"/>
      <c r="M43" s="611"/>
      <c r="N43" s="612">
        <f t="shared" si="0"/>
        <v>0</v>
      </c>
      <c r="O43" s="611"/>
      <c r="P43" s="243">
        <f t="shared" si="1"/>
        <v>0</v>
      </c>
      <c r="Q43" s="613"/>
      <c r="R43" s="612">
        <f t="shared" si="2"/>
        <v>0</v>
      </c>
      <c r="S43" s="614">
        <f t="shared" si="3"/>
        <v>0</v>
      </c>
      <c r="U43" s="667">
        <v>53202030000000</v>
      </c>
      <c r="V43" s="668" t="s">
        <v>90</v>
      </c>
      <c r="W43" s="669"/>
    </row>
    <row r="44" spans="1:23" s="215" customFormat="1" x14ac:dyDescent="0.25">
      <c r="A44" s="1010"/>
      <c r="B44" s="1018"/>
      <c r="C44" s="684"/>
      <c r="D44" s="686"/>
      <c r="E44" s="687"/>
      <c r="F44" s="685"/>
      <c r="G44" s="609"/>
      <c r="H44" s="609"/>
      <c r="I44" s="559"/>
      <c r="J44" s="543">
        <f t="shared" si="8"/>
        <v>0</v>
      </c>
      <c r="K44" s="610">
        <f t="shared" si="7"/>
        <v>0</v>
      </c>
      <c r="L44" s="217"/>
      <c r="M44" s="611"/>
      <c r="N44" s="612">
        <f t="shared" si="0"/>
        <v>0</v>
      </c>
      <c r="O44" s="611"/>
      <c r="P44" s="243">
        <f t="shared" si="1"/>
        <v>0</v>
      </c>
      <c r="Q44" s="613"/>
      <c r="R44" s="612">
        <f t="shared" si="2"/>
        <v>0</v>
      </c>
      <c r="S44" s="614">
        <f t="shared" si="3"/>
        <v>0</v>
      </c>
      <c r="U44" s="667">
        <v>53211020000000</v>
      </c>
      <c r="V44" s="668" t="s">
        <v>91</v>
      </c>
      <c r="W44" s="669"/>
    </row>
    <row r="45" spans="1:23" s="215" customFormat="1" x14ac:dyDescent="0.25">
      <c r="A45" s="1010"/>
      <c r="B45" s="1018"/>
      <c r="C45" s="684"/>
      <c r="D45" s="686"/>
      <c r="E45" s="687"/>
      <c r="F45" s="685"/>
      <c r="G45" s="609"/>
      <c r="H45" s="609"/>
      <c r="I45" s="559"/>
      <c r="J45" s="543">
        <f t="shared" si="8"/>
        <v>0</v>
      </c>
      <c r="K45" s="610">
        <f t="shared" si="7"/>
        <v>0</v>
      </c>
      <c r="L45" s="217"/>
      <c r="M45" s="611"/>
      <c r="N45" s="612">
        <f t="shared" si="0"/>
        <v>0</v>
      </c>
      <c r="O45" s="611"/>
      <c r="P45" s="243">
        <f t="shared" si="1"/>
        <v>0</v>
      </c>
      <c r="Q45" s="613"/>
      <c r="R45" s="612">
        <f t="shared" si="2"/>
        <v>0</v>
      </c>
      <c r="S45" s="614">
        <f t="shared" si="3"/>
        <v>0</v>
      </c>
      <c r="U45" s="667">
        <v>53101004030000</v>
      </c>
      <c r="V45" s="668" t="s">
        <v>92</v>
      </c>
      <c r="W45" s="669"/>
    </row>
    <row r="46" spans="1:23" s="215" customFormat="1" x14ac:dyDescent="0.25">
      <c r="A46" s="1010"/>
      <c r="B46" s="1018"/>
      <c r="C46" s="684"/>
      <c r="D46" s="686"/>
      <c r="E46" s="687"/>
      <c r="F46" s="685"/>
      <c r="G46" s="609"/>
      <c r="H46" s="609"/>
      <c r="I46" s="559"/>
      <c r="J46" s="543">
        <f t="shared" si="8"/>
        <v>0</v>
      </c>
      <c r="K46" s="610">
        <f t="shared" si="7"/>
        <v>0</v>
      </c>
      <c r="L46" s="217"/>
      <c r="M46" s="611"/>
      <c r="N46" s="612">
        <f t="shared" si="0"/>
        <v>0</v>
      </c>
      <c r="O46" s="611"/>
      <c r="P46" s="243">
        <f t="shared" si="1"/>
        <v>0</v>
      </c>
      <c r="Q46" s="613"/>
      <c r="R46" s="612">
        <f t="shared" si="2"/>
        <v>0</v>
      </c>
      <c r="S46" s="614">
        <f t="shared" si="3"/>
        <v>0</v>
      </c>
      <c r="U46" s="664"/>
      <c r="V46" s="665" t="s">
        <v>93</v>
      </c>
      <c r="W46" s="666">
        <f>SUM(W47:W48)</f>
        <v>0</v>
      </c>
    </row>
    <row r="47" spans="1:23" s="215" customFormat="1" x14ac:dyDescent="0.25">
      <c r="A47" s="1010"/>
      <c r="B47" s="1018"/>
      <c r="C47" s="684"/>
      <c r="D47" s="686"/>
      <c r="E47" s="687"/>
      <c r="F47" s="685"/>
      <c r="G47" s="609"/>
      <c r="H47" s="609"/>
      <c r="I47" s="559"/>
      <c r="J47" s="543">
        <f t="shared" si="8"/>
        <v>0</v>
      </c>
      <c r="K47" s="610">
        <f t="shared" si="7"/>
        <v>0</v>
      </c>
      <c r="L47" s="217"/>
      <c r="M47" s="611"/>
      <c r="N47" s="612">
        <f t="shared" si="0"/>
        <v>0</v>
      </c>
      <c r="O47" s="611"/>
      <c r="P47" s="243">
        <f t="shared" si="1"/>
        <v>0</v>
      </c>
      <c r="Q47" s="613"/>
      <c r="R47" s="612">
        <f t="shared" si="2"/>
        <v>0</v>
      </c>
      <c r="S47" s="614">
        <f t="shared" si="3"/>
        <v>0</v>
      </c>
      <c r="U47" s="667">
        <v>53205080000000</v>
      </c>
      <c r="V47" s="668" t="s">
        <v>94</v>
      </c>
      <c r="W47" s="669"/>
    </row>
    <row r="48" spans="1:23" s="215" customFormat="1" x14ac:dyDescent="0.25">
      <c r="A48" s="1010"/>
      <c r="B48" s="1018"/>
      <c r="C48" s="684"/>
      <c r="D48" s="686"/>
      <c r="E48" s="687"/>
      <c r="F48" s="685"/>
      <c r="G48" s="609"/>
      <c r="H48" s="609"/>
      <c r="I48" s="559"/>
      <c r="J48" s="543">
        <f t="shared" si="8"/>
        <v>0</v>
      </c>
      <c r="K48" s="610">
        <f t="shared" si="7"/>
        <v>0</v>
      </c>
      <c r="L48" s="217"/>
      <c r="M48" s="611"/>
      <c r="N48" s="612">
        <f t="shared" si="0"/>
        <v>0</v>
      </c>
      <c r="O48" s="611"/>
      <c r="P48" s="243">
        <f t="shared" si="1"/>
        <v>0</v>
      </c>
      <c r="Q48" s="613"/>
      <c r="R48" s="612">
        <f t="shared" si="2"/>
        <v>0</v>
      </c>
      <c r="S48" s="614">
        <f t="shared" si="3"/>
        <v>0</v>
      </c>
      <c r="U48" s="667">
        <v>53205990000000</v>
      </c>
      <c r="V48" s="668" t="s">
        <v>95</v>
      </c>
      <c r="W48" s="669"/>
    </row>
    <row r="49" spans="1:23" s="215" customFormat="1" x14ac:dyDescent="0.25">
      <c r="A49" s="1010"/>
      <c r="B49" s="1018"/>
      <c r="C49" s="684"/>
      <c r="D49" s="686"/>
      <c r="E49" s="687"/>
      <c r="F49" s="685"/>
      <c r="G49" s="609"/>
      <c r="H49" s="609"/>
      <c r="I49" s="559"/>
      <c r="J49" s="543">
        <f t="shared" si="8"/>
        <v>0</v>
      </c>
      <c r="K49" s="610">
        <f t="shared" si="7"/>
        <v>0</v>
      </c>
      <c r="L49" s="217"/>
      <c r="M49" s="611"/>
      <c r="N49" s="612">
        <f>+$K49*M49</f>
        <v>0</v>
      </c>
      <c r="O49" s="611"/>
      <c r="P49" s="243">
        <f t="shared" si="1"/>
        <v>0</v>
      </c>
      <c r="Q49" s="613"/>
      <c r="R49" s="612">
        <f t="shared" si="2"/>
        <v>0</v>
      </c>
      <c r="S49" s="614">
        <f t="shared" si="3"/>
        <v>0</v>
      </c>
      <c r="U49" s="664"/>
      <c r="V49" s="665" t="s">
        <v>96</v>
      </c>
      <c r="W49" s="666">
        <f>SUM(W50:W59)</f>
        <v>0</v>
      </c>
    </row>
    <row r="50" spans="1:23" s="215" customFormat="1" x14ac:dyDescent="0.25">
      <c r="A50" s="1010"/>
      <c r="B50" s="1018"/>
      <c r="C50" s="684"/>
      <c r="D50" s="686"/>
      <c r="E50" s="687"/>
      <c r="F50" s="685"/>
      <c r="G50" s="609"/>
      <c r="H50" s="609"/>
      <c r="I50" s="559"/>
      <c r="J50" s="543">
        <f t="shared" si="8"/>
        <v>0</v>
      </c>
      <c r="K50" s="610">
        <f t="shared" si="7"/>
        <v>0</v>
      </c>
      <c r="L50" s="217"/>
      <c r="M50" s="611"/>
      <c r="N50" s="612">
        <f t="shared" si="0"/>
        <v>0</v>
      </c>
      <c r="O50" s="611"/>
      <c r="P50" s="243">
        <f t="shared" si="1"/>
        <v>0</v>
      </c>
      <c r="Q50" s="613"/>
      <c r="R50" s="612">
        <f t="shared" si="2"/>
        <v>0</v>
      </c>
      <c r="S50" s="614">
        <f t="shared" si="3"/>
        <v>0</v>
      </c>
      <c r="U50" s="667">
        <v>53203010200000</v>
      </c>
      <c r="V50" s="668" t="s">
        <v>97</v>
      </c>
      <c r="W50" s="669"/>
    </row>
    <row r="51" spans="1:23" s="215" customFormat="1" x14ac:dyDescent="0.25">
      <c r="A51" s="1010"/>
      <c r="B51" s="1018"/>
      <c r="C51" s="684"/>
      <c r="D51" s="686"/>
      <c r="E51" s="687"/>
      <c r="F51" s="685"/>
      <c r="G51" s="609"/>
      <c r="H51" s="609"/>
      <c r="I51" s="559"/>
      <c r="J51" s="543">
        <f t="shared" si="8"/>
        <v>0</v>
      </c>
      <c r="K51" s="610">
        <f t="shared" si="7"/>
        <v>0</v>
      </c>
      <c r="L51" s="217"/>
      <c r="M51" s="611"/>
      <c r="N51" s="612">
        <f t="shared" si="0"/>
        <v>0</v>
      </c>
      <c r="O51" s="611"/>
      <c r="P51" s="243">
        <f t="shared" si="1"/>
        <v>0</v>
      </c>
      <c r="Q51" s="613"/>
      <c r="R51" s="612">
        <f t="shared" si="2"/>
        <v>0</v>
      </c>
      <c r="S51" s="614">
        <f t="shared" si="3"/>
        <v>0</v>
      </c>
      <c r="U51" s="667">
        <v>53204010000000</v>
      </c>
      <c r="V51" s="668" t="s">
        <v>98</v>
      </c>
      <c r="W51" s="669"/>
    </row>
    <row r="52" spans="1:23" s="215" customFormat="1" x14ac:dyDescent="0.25">
      <c r="A52" s="1010"/>
      <c r="B52" s="1018"/>
      <c r="C52" s="684"/>
      <c r="D52" s="686"/>
      <c r="E52" s="687"/>
      <c r="F52" s="685"/>
      <c r="G52" s="609"/>
      <c r="H52" s="609"/>
      <c r="I52" s="559"/>
      <c r="J52" s="543">
        <f t="shared" si="8"/>
        <v>0</v>
      </c>
      <c r="K52" s="610">
        <f t="shared" si="7"/>
        <v>0</v>
      </c>
      <c r="L52" s="217"/>
      <c r="M52" s="611"/>
      <c r="N52" s="612">
        <f t="shared" si="0"/>
        <v>0</v>
      </c>
      <c r="O52" s="611"/>
      <c r="P52" s="243">
        <f t="shared" si="1"/>
        <v>0</v>
      </c>
      <c r="Q52" s="613"/>
      <c r="R52" s="612">
        <f t="shared" si="2"/>
        <v>0</v>
      </c>
      <c r="S52" s="614">
        <f t="shared" si="3"/>
        <v>0</v>
      </c>
      <c r="U52" s="667">
        <v>53204040200000</v>
      </c>
      <c r="V52" s="668" t="s">
        <v>99</v>
      </c>
      <c r="W52" s="669"/>
    </row>
    <row r="53" spans="1:23" s="215" customFormat="1" x14ac:dyDescent="0.25">
      <c r="A53" s="1010"/>
      <c r="B53" s="1018"/>
      <c r="C53" s="684"/>
      <c r="D53" s="686"/>
      <c r="E53" s="687"/>
      <c r="F53" s="685"/>
      <c r="G53" s="609"/>
      <c r="H53" s="609"/>
      <c r="I53" s="559"/>
      <c r="J53" s="543">
        <f t="shared" si="8"/>
        <v>0</v>
      </c>
      <c r="K53" s="610">
        <f t="shared" si="7"/>
        <v>0</v>
      </c>
      <c r="L53" s="217"/>
      <c r="M53" s="611"/>
      <c r="N53" s="612">
        <f t="shared" si="0"/>
        <v>0</v>
      </c>
      <c r="O53" s="611"/>
      <c r="P53" s="243">
        <f t="shared" si="1"/>
        <v>0</v>
      </c>
      <c r="Q53" s="613"/>
      <c r="R53" s="612">
        <f t="shared" si="2"/>
        <v>0</v>
      </c>
      <c r="S53" s="614">
        <f t="shared" si="3"/>
        <v>0</v>
      </c>
      <c r="U53" s="667">
        <v>53204060000000</v>
      </c>
      <c r="V53" s="668" t="s">
        <v>100</v>
      </c>
      <c r="W53" s="669"/>
    </row>
    <row r="54" spans="1:23" s="215" customFormat="1" x14ac:dyDescent="0.25">
      <c r="A54" s="1010"/>
      <c r="B54" s="1018"/>
      <c r="C54" s="684"/>
      <c r="D54" s="686"/>
      <c r="E54" s="687"/>
      <c r="F54" s="685"/>
      <c r="G54" s="609"/>
      <c r="H54" s="609"/>
      <c r="I54" s="559"/>
      <c r="J54" s="543">
        <f t="shared" si="8"/>
        <v>0</v>
      </c>
      <c r="K54" s="610">
        <f t="shared" si="7"/>
        <v>0</v>
      </c>
      <c r="L54" s="217"/>
      <c r="M54" s="611"/>
      <c r="N54" s="612">
        <f t="shared" si="0"/>
        <v>0</v>
      </c>
      <c r="O54" s="611"/>
      <c r="P54" s="243">
        <f t="shared" si="1"/>
        <v>0</v>
      </c>
      <c r="Q54" s="613"/>
      <c r="R54" s="612">
        <f t="shared" si="2"/>
        <v>0</v>
      </c>
      <c r="S54" s="614">
        <f t="shared" si="3"/>
        <v>0</v>
      </c>
      <c r="U54" s="667">
        <v>53204070000000</v>
      </c>
      <c r="V54" s="668" t="s">
        <v>131</v>
      </c>
      <c r="W54" s="669"/>
    </row>
    <row r="55" spans="1:23" s="215" customFormat="1" x14ac:dyDescent="0.25">
      <c r="A55" s="1010"/>
      <c r="B55" s="1018"/>
      <c r="C55" s="684"/>
      <c r="D55" s="686"/>
      <c r="E55" s="687"/>
      <c r="F55" s="685"/>
      <c r="G55" s="609"/>
      <c r="H55" s="609"/>
      <c r="I55" s="559"/>
      <c r="J55" s="543">
        <f t="shared" si="8"/>
        <v>0</v>
      </c>
      <c r="K55" s="610">
        <f t="shared" si="7"/>
        <v>0</v>
      </c>
      <c r="L55" s="217"/>
      <c r="M55" s="611"/>
      <c r="N55" s="612">
        <f t="shared" si="0"/>
        <v>0</v>
      </c>
      <c r="O55" s="611"/>
      <c r="P55" s="243">
        <f t="shared" si="1"/>
        <v>0</v>
      </c>
      <c r="Q55" s="613"/>
      <c r="R55" s="612">
        <f t="shared" si="2"/>
        <v>0</v>
      </c>
      <c r="S55" s="614">
        <f t="shared" si="3"/>
        <v>0</v>
      </c>
      <c r="U55" s="667">
        <v>53204080000000</v>
      </c>
      <c r="V55" s="668" t="s">
        <v>102</v>
      </c>
      <c r="W55" s="669"/>
    </row>
    <row r="56" spans="1:23" s="215" customFormat="1" x14ac:dyDescent="0.25">
      <c r="A56" s="1010"/>
      <c r="B56" s="1018"/>
      <c r="C56" s="684"/>
      <c r="D56" s="686"/>
      <c r="E56" s="687"/>
      <c r="F56" s="685"/>
      <c r="G56" s="609"/>
      <c r="H56" s="609"/>
      <c r="I56" s="559"/>
      <c r="J56" s="543">
        <f t="shared" si="8"/>
        <v>0</v>
      </c>
      <c r="K56" s="610">
        <f t="shared" si="7"/>
        <v>0</v>
      </c>
      <c r="L56" s="217"/>
      <c r="M56" s="611"/>
      <c r="N56" s="612">
        <f t="shared" si="0"/>
        <v>0</v>
      </c>
      <c r="O56" s="611"/>
      <c r="P56" s="243">
        <f t="shared" si="1"/>
        <v>0</v>
      </c>
      <c r="Q56" s="613"/>
      <c r="R56" s="612">
        <f t="shared" si="2"/>
        <v>0</v>
      </c>
      <c r="S56" s="614">
        <f t="shared" si="3"/>
        <v>0</v>
      </c>
      <c r="U56" s="667">
        <v>53214010000000</v>
      </c>
      <c r="V56" s="668" t="s">
        <v>103</v>
      </c>
      <c r="W56" s="669"/>
    </row>
    <row r="57" spans="1:23" s="215" customFormat="1" x14ac:dyDescent="0.25">
      <c r="A57" s="1010"/>
      <c r="B57" s="1018"/>
      <c r="C57" s="684"/>
      <c r="D57" s="686"/>
      <c r="E57" s="687"/>
      <c r="F57" s="685"/>
      <c r="G57" s="609"/>
      <c r="H57" s="609"/>
      <c r="I57" s="559"/>
      <c r="J57" s="543">
        <f t="shared" si="8"/>
        <v>0</v>
      </c>
      <c r="K57" s="610">
        <f t="shared" si="7"/>
        <v>0</v>
      </c>
      <c r="L57" s="217"/>
      <c r="M57" s="611"/>
      <c r="N57" s="612">
        <f t="shared" si="0"/>
        <v>0</v>
      </c>
      <c r="O57" s="611"/>
      <c r="P57" s="243">
        <f t="shared" si="1"/>
        <v>0</v>
      </c>
      <c r="Q57" s="613"/>
      <c r="R57" s="612">
        <f t="shared" si="2"/>
        <v>0</v>
      </c>
      <c r="S57" s="614">
        <f t="shared" si="3"/>
        <v>0</v>
      </c>
      <c r="U57" s="667">
        <v>53214040000000</v>
      </c>
      <c r="V57" s="668" t="s">
        <v>104</v>
      </c>
      <c r="W57" s="669"/>
    </row>
    <row r="58" spans="1:23" s="215" customFormat="1" x14ac:dyDescent="0.25">
      <c r="A58" s="1010"/>
      <c r="B58" s="1018"/>
      <c r="C58" s="684"/>
      <c r="D58" s="686"/>
      <c r="E58" s="687"/>
      <c r="F58" s="685"/>
      <c r="G58" s="609"/>
      <c r="H58" s="609"/>
      <c r="I58" s="559"/>
      <c r="J58" s="543">
        <f t="shared" si="8"/>
        <v>0</v>
      </c>
      <c r="K58" s="610">
        <f t="shared" si="7"/>
        <v>0</v>
      </c>
      <c r="L58" s="217"/>
      <c r="M58" s="611"/>
      <c r="N58" s="612">
        <v>0</v>
      </c>
      <c r="O58" s="611"/>
      <c r="P58" s="243">
        <v>0</v>
      </c>
      <c r="Q58" s="613"/>
      <c r="R58" s="612">
        <v>0</v>
      </c>
      <c r="S58" s="614">
        <f t="shared" si="3"/>
        <v>0</v>
      </c>
      <c r="U58" s="667">
        <v>55201010100004</v>
      </c>
      <c r="V58" s="668" t="s">
        <v>105</v>
      </c>
      <c r="W58" s="669"/>
    </row>
    <row r="59" spans="1:23" s="215" customFormat="1" x14ac:dyDescent="0.25">
      <c r="A59" s="1010"/>
      <c r="B59" s="1018"/>
      <c r="C59" s="684"/>
      <c r="D59" s="686"/>
      <c r="E59" s="687"/>
      <c r="F59" s="685"/>
      <c r="G59" s="609"/>
      <c r="H59" s="609"/>
      <c r="I59" s="559"/>
      <c r="J59" s="543">
        <f t="shared" si="8"/>
        <v>0</v>
      </c>
      <c r="K59" s="610">
        <f t="shared" si="7"/>
        <v>0</v>
      </c>
      <c r="L59" s="217"/>
      <c r="M59" s="611"/>
      <c r="N59" s="612">
        <f t="shared" si="0"/>
        <v>0</v>
      </c>
      <c r="O59" s="611"/>
      <c r="P59" s="243">
        <f t="shared" si="1"/>
        <v>0</v>
      </c>
      <c r="Q59" s="613"/>
      <c r="R59" s="612">
        <f t="shared" si="2"/>
        <v>0</v>
      </c>
      <c r="S59" s="614">
        <f t="shared" si="3"/>
        <v>0</v>
      </c>
      <c r="U59" s="667">
        <v>55201010100005</v>
      </c>
      <c r="V59" s="668" t="s">
        <v>106</v>
      </c>
      <c r="W59" s="669"/>
    </row>
    <row r="60" spans="1:23" s="215" customFormat="1" x14ac:dyDescent="0.25">
      <c r="A60" s="1010"/>
      <c r="B60" s="1018"/>
      <c r="C60" s="684"/>
      <c r="D60" s="686"/>
      <c r="E60" s="687"/>
      <c r="F60" s="685"/>
      <c r="G60" s="609"/>
      <c r="H60" s="609"/>
      <c r="I60" s="559"/>
      <c r="J60" s="543">
        <f t="shared" si="8"/>
        <v>0</v>
      </c>
      <c r="K60" s="610">
        <f t="shared" si="7"/>
        <v>0</v>
      </c>
      <c r="L60" s="217"/>
      <c r="M60" s="611"/>
      <c r="N60" s="612">
        <f t="shared" si="0"/>
        <v>0</v>
      </c>
      <c r="O60" s="611"/>
      <c r="P60" s="243">
        <f t="shared" si="1"/>
        <v>0</v>
      </c>
      <c r="Q60" s="613"/>
      <c r="R60" s="612">
        <f t="shared" si="2"/>
        <v>0</v>
      </c>
      <c r="S60" s="614">
        <f t="shared" si="3"/>
        <v>0</v>
      </c>
      <c r="U60" s="664"/>
      <c r="V60" s="665" t="s">
        <v>107</v>
      </c>
      <c r="W60" s="666">
        <f>SUM(W61:W69)</f>
        <v>0</v>
      </c>
    </row>
    <row r="61" spans="1:23" s="215" customFormat="1" ht="15.75" thickBot="1" x14ac:dyDescent="0.3">
      <c r="A61" s="1011"/>
      <c r="B61" s="1019"/>
      <c r="C61" s="671"/>
      <c r="D61" s="672"/>
      <c r="E61" s="673"/>
      <c r="F61" s="674"/>
      <c r="G61" s="675"/>
      <c r="H61" s="675"/>
      <c r="I61" s="629"/>
      <c r="J61" s="634">
        <f t="shared" si="8"/>
        <v>0</v>
      </c>
      <c r="K61" s="636">
        <f t="shared" si="7"/>
        <v>0</v>
      </c>
      <c r="L61" s="217"/>
      <c r="M61" s="676"/>
      <c r="N61" s="677">
        <f t="shared" si="0"/>
        <v>0</v>
      </c>
      <c r="O61" s="676"/>
      <c r="P61" s="678">
        <f t="shared" si="1"/>
        <v>0</v>
      </c>
      <c r="Q61" s="679"/>
      <c r="R61" s="677">
        <f t="shared" si="2"/>
        <v>0</v>
      </c>
      <c r="S61" s="680">
        <f t="shared" si="3"/>
        <v>0</v>
      </c>
      <c r="U61" s="667">
        <v>53207010000000</v>
      </c>
      <c r="V61" s="668" t="s">
        <v>108</v>
      </c>
      <c r="W61" s="669"/>
    </row>
    <row r="62" spans="1:23" s="215" customFormat="1" ht="16.5" thickBot="1" x14ac:dyDescent="0.3">
      <c r="K62" s="544">
        <f>SUM(K15:K61)</f>
        <v>42462663.879999995</v>
      </c>
      <c r="M62" s="252">
        <f>IFERROR(+N62/$K$62,0)</f>
        <v>1</v>
      </c>
      <c r="N62" s="253">
        <f>SUM(N15:N61)</f>
        <v>42462663.879999995</v>
      </c>
      <c r="O62" s="252">
        <f>IFERROR(+P62/$K$62,0)</f>
        <v>0</v>
      </c>
      <c r="P62" s="253">
        <f>SUM(P15:P61)</f>
        <v>0</v>
      </c>
      <c r="Q62" s="252">
        <f>IFERROR(+R62/$K$62,0)</f>
        <v>0</v>
      </c>
      <c r="R62" s="253">
        <f>SUM(R15:R61)</f>
        <v>0</v>
      </c>
      <c r="U62" s="667">
        <v>53207020000000</v>
      </c>
      <c r="V62" s="668" t="s">
        <v>109</v>
      </c>
      <c r="W62" s="669"/>
    </row>
    <row r="63" spans="1:23" s="215" customFormat="1" x14ac:dyDescent="0.25">
      <c r="K63" s="254">
        <v>1</v>
      </c>
      <c r="U63" s="667">
        <v>53208020000000</v>
      </c>
      <c r="V63" s="668" t="s">
        <v>110</v>
      </c>
      <c r="W63" s="669"/>
    </row>
    <row r="64" spans="1:23" s="215" customFormat="1" x14ac:dyDescent="0.25">
      <c r="U64" s="667">
        <v>53208990000000</v>
      </c>
      <c r="V64" s="668" t="s">
        <v>111</v>
      </c>
      <c r="W64" s="669"/>
    </row>
    <row r="65" spans="1:23" s="215" customFormat="1" x14ac:dyDescent="0.25">
      <c r="U65" s="667">
        <v>53209010000000</v>
      </c>
      <c r="V65" s="668" t="s">
        <v>112</v>
      </c>
      <c r="W65" s="669"/>
    </row>
    <row r="66" spans="1:23" s="215" customFormat="1" x14ac:dyDescent="0.25">
      <c r="U66" s="667">
        <v>53209040000000</v>
      </c>
      <c r="V66" s="668" t="s">
        <v>113</v>
      </c>
      <c r="W66" s="669"/>
    </row>
    <row r="67" spans="1:23" s="215" customFormat="1" x14ac:dyDescent="0.25">
      <c r="U67" s="667">
        <v>53209050000000</v>
      </c>
      <c r="V67" s="668" t="s">
        <v>114</v>
      </c>
      <c r="W67" s="669"/>
    </row>
    <row r="68" spans="1:23" s="215" customFormat="1" ht="15.75" thickBot="1" x14ac:dyDescent="0.3">
      <c r="U68" s="667">
        <v>53209990000000</v>
      </c>
      <c r="V68" s="668" t="s">
        <v>115</v>
      </c>
      <c r="W68" s="669"/>
    </row>
    <row r="69" spans="1:23" s="215" customFormat="1" x14ac:dyDescent="0.25">
      <c r="A69" s="1036" t="s">
        <v>160</v>
      </c>
      <c r="B69" s="1039" t="s">
        <v>161</v>
      </c>
      <c r="C69" s="256"/>
      <c r="D69" s="223"/>
      <c r="E69" s="223"/>
      <c r="F69" s="224"/>
      <c r="G69" s="225"/>
      <c r="H69" s="225"/>
      <c r="I69" s="558"/>
      <c r="J69" s="226">
        <f>G69*12</f>
        <v>0</v>
      </c>
      <c r="K69" s="227">
        <f t="shared" ref="K69:K73" si="9">G69*(1+$K$11)+H69+I69</f>
        <v>0</v>
      </c>
      <c r="L69" s="217"/>
      <c r="U69" s="667">
        <v>53210020100000</v>
      </c>
      <c r="V69" s="668" t="s">
        <v>116</v>
      </c>
      <c r="W69" s="669"/>
    </row>
    <row r="70" spans="1:23" s="215" customFormat="1" x14ac:dyDescent="0.25">
      <c r="A70" s="1037"/>
      <c r="B70" s="1040"/>
      <c r="C70" s="688"/>
      <c r="D70" s="586"/>
      <c r="E70" s="586"/>
      <c r="F70" s="608"/>
      <c r="G70" s="609"/>
      <c r="H70" s="609"/>
      <c r="I70" s="559"/>
      <c r="J70" s="689">
        <f>G70*12</f>
        <v>0</v>
      </c>
      <c r="K70" s="610">
        <f t="shared" si="9"/>
        <v>0</v>
      </c>
      <c r="L70" s="217"/>
      <c r="U70" s="664"/>
      <c r="V70" s="665" t="s">
        <v>117</v>
      </c>
      <c r="W70" s="666">
        <f>SUM(W71:W77)</f>
        <v>0</v>
      </c>
    </row>
    <row r="71" spans="1:23" s="215" customFormat="1" x14ac:dyDescent="0.25">
      <c r="A71" s="1037"/>
      <c r="B71" s="1040"/>
      <c r="C71" s="688"/>
      <c r="D71" s="586"/>
      <c r="E71" s="608"/>
      <c r="F71" s="608"/>
      <c r="G71" s="609"/>
      <c r="H71" s="609"/>
      <c r="I71" s="559"/>
      <c r="J71" s="689">
        <f t="shared" ref="J71:J73" si="10">SUM(G71:I71)</f>
        <v>0</v>
      </c>
      <c r="K71" s="610">
        <f t="shared" si="9"/>
        <v>0</v>
      </c>
      <c r="L71" s="217"/>
      <c r="U71" s="667">
        <v>53206030000000</v>
      </c>
      <c r="V71" s="668" t="s">
        <v>118</v>
      </c>
      <c r="W71" s="669"/>
    </row>
    <row r="72" spans="1:23" s="215" customFormat="1" x14ac:dyDescent="0.25">
      <c r="A72" s="1037"/>
      <c r="B72" s="1040"/>
      <c r="C72" s="688"/>
      <c r="D72" s="586"/>
      <c r="E72" s="608"/>
      <c r="F72" s="608"/>
      <c r="G72" s="609"/>
      <c r="H72" s="609"/>
      <c r="I72" s="559"/>
      <c r="J72" s="689">
        <f t="shared" si="10"/>
        <v>0</v>
      </c>
      <c r="K72" s="610">
        <f t="shared" si="9"/>
        <v>0</v>
      </c>
      <c r="L72" s="217"/>
      <c r="U72" s="667">
        <v>53206040000000</v>
      </c>
      <c r="V72" s="668" t="s">
        <v>119</v>
      </c>
      <c r="W72" s="669"/>
    </row>
    <row r="73" spans="1:23" s="215" customFormat="1" ht="15.75" thickBot="1" x14ac:dyDescent="0.3">
      <c r="A73" s="1038"/>
      <c r="B73" s="1041"/>
      <c r="C73" s="690"/>
      <c r="D73" s="672"/>
      <c r="E73" s="673"/>
      <c r="F73" s="673"/>
      <c r="G73" s="675"/>
      <c r="H73" s="675"/>
      <c r="I73" s="629"/>
      <c r="J73" s="691">
        <f t="shared" si="10"/>
        <v>0</v>
      </c>
      <c r="K73" s="636">
        <f t="shared" si="9"/>
        <v>0</v>
      </c>
      <c r="L73" s="217"/>
      <c r="U73" s="667">
        <v>53206060000000</v>
      </c>
      <c r="V73" s="668" t="s">
        <v>120</v>
      </c>
      <c r="W73" s="669"/>
    </row>
    <row r="74" spans="1:23" s="215" customFormat="1" ht="16.5" thickBot="1" x14ac:dyDescent="0.3">
      <c r="C74" s="216"/>
      <c r="D74" s="216"/>
      <c r="E74" s="257"/>
      <c r="F74" s="257"/>
      <c r="G74" s="257"/>
      <c r="H74" s="257"/>
      <c r="I74" s="257"/>
      <c r="K74" s="251">
        <f>SUM(K69:K73)</f>
        <v>0</v>
      </c>
      <c r="L74" s="217"/>
      <c r="U74" s="667">
        <v>53206070000000</v>
      </c>
      <c r="V74" s="668" t="s">
        <v>121</v>
      </c>
      <c r="W74" s="669"/>
    </row>
    <row r="75" spans="1:23" s="215" customFormat="1" x14ac:dyDescent="0.25">
      <c r="K75" s="254">
        <v>1</v>
      </c>
      <c r="L75" s="217"/>
      <c r="M75" s="258"/>
      <c r="O75" s="258"/>
      <c r="Q75" s="258"/>
      <c r="U75" s="667">
        <v>53206990000000</v>
      </c>
      <c r="V75" s="668" t="s">
        <v>122</v>
      </c>
      <c r="W75" s="669"/>
    </row>
    <row r="76" spans="1:23" s="215" customFormat="1" ht="16.5" thickBot="1" x14ac:dyDescent="0.3">
      <c r="H76" s="220"/>
      <c r="U76" s="667">
        <v>53208030000000</v>
      </c>
      <c r="V76" s="668" t="s">
        <v>123</v>
      </c>
      <c r="W76" s="669"/>
    </row>
    <row r="77" spans="1:23" s="215" customFormat="1" x14ac:dyDescent="0.25">
      <c r="A77" s="1036" t="s">
        <v>160</v>
      </c>
      <c r="B77" s="1039" t="s">
        <v>329</v>
      </c>
      <c r="C77" s="256"/>
      <c r="D77" s="223"/>
      <c r="E77" s="223"/>
      <c r="F77" s="224"/>
      <c r="G77" s="225"/>
      <c r="H77" s="225"/>
      <c r="I77" s="558"/>
      <c r="J77" s="226">
        <f>G77*12</f>
        <v>0</v>
      </c>
      <c r="K77" s="227">
        <f t="shared" ref="K77:K81" si="11">G77*(1+$K$11)+H77+I77</f>
        <v>0</v>
      </c>
      <c r="U77" s="667">
        <v>53212060000000</v>
      </c>
      <c r="V77" s="668" t="s">
        <v>124</v>
      </c>
      <c r="W77" s="669"/>
    </row>
    <row r="78" spans="1:23" s="215" customFormat="1" x14ac:dyDescent="0.25">
      <c r="A78" s="1037"/>
      <c r="B78" s="1040"/>
      <c r="C78" s="688"/>
      <c r="D78" s="586"/>
      <c r="E78" s="586"/>
      <c r="F78" s="608"/>
      <c r="G78" s="609"/>
      <c r="H78" s="609"/>
      <c r="I78" s="559"/>
      <c r="J78" s="689">
        <f>G78*12</f>
        <v>0</v>
      </c>
      <c r="K78" s="610">
        <f t="shared" si="11"/>
        <v>0</v>
      </c>
      <c r="U78" s="664"/>
      <c r="V78" s="665" t="s">
        <v>125</v>
      </c>
      <c r="W78" s="666">
        <f>SUM(W79:W79)</f>
        <v>0</v>
      </c>
    </row>
    <row r="79" spans="1:23" s="215" customFormat="1" x14ac:dyDescent="0.25">
      <c r="A79" s="1037"/>
      <c r="B79" s="1040"/>
      <c r="C79" s="688"/>
      <c r="D79" s="586"/>
      <c r="E79" s="608"/>
      <c r="F79" s="608"/>
      <c r="G79" s="609"/>
      <c r="H79" s="609"/>
      <c r="I79" s="559"/>
      <c r="J79" s="689">
        <f t="shared" ref="J79:J81" si="12">SUM(G79:I79)</f>
        <v>0</v>
      </c>
      <c r="K79" s="610">
        <f t="shared" si="11"/>
        <v>0</v>
      </c>
      <c r="U79" s="667">
        <v>53204999000000</v>
      </c>
      <c r="V79" s="668" t="s">
        <v>127</v>
      </c>
      <c r="W79" s="669"/>
    </row>
    <row r="80" spans="1:23" s="215" customFormat="1" x14ac:dyDescent="0.25">
      <c r="A80" s="1037"/>
      <c r="B80" s="1040"/>
      <c r="C80" s="688"/>
      <c r="D80" s="586"/>
      <c r="E80" s="608"/>
      <c r="F80" s="608"/>
      <c r="G80" s="609"/>
      <c r="H80" s="609"/>
      <c r="I80" s="559"/>
      <c r="J80" s="689">
        <f t="shared" si="12"/>
        <v>0</v>
      </c>
      <c r="K80" s="610">
        <f t="shared" si="11"/>
        <v>0</v>
      </c>
      <c r="U80" s="1042" t="s">
        <v>162</v>
      </c>
      <c r="V80" s="1043"/>
      <c r="W80" s="692">
        <f>+W40+W15</f>
        <v>0</v>
      </c>
    </row>
    <row r="81" spans="1:23" s="215" customFormat="1" ht="15.75" thickBot="1" x14ac:dyDescent="0.3">
      <c r="A81" s="1038"/>
      <c r="B81" s="1041"/>
      <c r="C81" s="690"/>
      <c r="D81" s="672"/>
      <c r="E81" s="673"/>
      <c r="F81" s="673"/>
      <c r="G81" s="675"/>
      <c r="H81" s="675"/>
      <c r="I81" s="629"/>
      <c r="J81" s="691">
        <f t="shared" si="12"/>
        <v>0</v>
      </c>
      <c r="K81" s="636">
        <f t="shared" si="11"/>
        <v>0</v>
      </c>
    </row>
    <row r="82" spans="1:23" s="215" customFormat="1" ht="16.5" thickBot="1" x14ac:dyDescent="0.3">
      <c r="C82" s="216"/>
      <c r="D82" s="216"/>
      <c r="E82" s="257"/>
      <c r="F82" s="257"/>
      <c r="G82" s="257"/>
      <c r="H82" s="257"/>
      <c r="I82" s="257"/>
      <c r="K82" s="251">
        <f>SUM(K77:K81)</f>
        <v>0</v>
      </c>
      <c r="U82" s="1044" t="s">
        <v>159</v>
      </c>
      <c r="V82" s="1045"/>
      <c r="W82" s="255"/>
    </row>
    <row r="83" spans="1:23" x14ac:dyDescent="0.25">
      <c r="K83" s="254">
        <v>1</v>
      </c>
    </row>
    <row r="84" spans="1:23" ht="15.75" thickBot="1" x14ac:dyDescent="0.3"/>
    <row r="85" spans="1:23" x14ac:dyDescent="0.25">
      <c r="A85" s="1036" t="s">
        <v>160</v>
      </c>
      <c r="B85" s="1039" t="s">
        <v>330</v>
      </c>
      <c r="C85" s="256"/>
      <c r="D85" s="223"/>
      <c r="E85" s="223"/>
      <c r="F85" s="224"/>
      <c r="G85" s="225"/>
      <c r="H85" s="225"/>
      <c r="I85" s="558"/>
      <c r="J85" s="226">
        <f>G85*12</f>
        <v>0</v>
      </c>
      <c r="K85" s="227">
        <f t="shared" ref="K85:K89" si="13">G85*(1+$K$11)+H85+I85</f>
        <v>0</v>
      </c>
    </row>
    <row r="86" spans="1:23" x14ac:dyDescent="0.25">
      <c r="A86" s="1037"/>
      <c r="B86" s="1040"/>
      <c r="C86" s="688"/>
      <c r="D86" s="586"/>
      <c r="E86" s="586"/>
      <c r="F86" s="608"/>
      <c r="G86" s="609"/>
      <c r="H86" s="609"/>
      <c r="I86" s="559"/>
      <c r="J86" s="689">
        <f>G86*12</f>
        <v>0</v>
      </c>
      <c r="K86" s="610">
        <f t="shared" si="13"/>
        <v>0</v>
      </c>
    </row>
    <row r="87" spans="1:23" x14ac:dyDescent="0.25">
      <c r="A87" s="1037"/>
      <c r="B87" s="1040"/>
      <c r="C87" s="688"/>
      <c r="D87" s="586"/>
      <c r="E87" s="608"/>
      <c r="F87" s="608"/>
      <c r="G87" s="609"/>
      <c r="H87" s="609"/>
      <c r="I87" s="559"/>
      <c r="J87" s="689">
        <f t="shared" ref="J87:J89" si="14">SUM(G87:I87)</f>
        <v>0</v>
      </c>
      <c r="K87" s="610">
        <f t="shared" si="13"/>
        <v>0</v>
      </c>
    </row>
    <row r="88" spans="1:23" x14ac:dyDescent="0.25">
      <c r="A88" s="1037"/>
      <c r="B88" s="1040"/>
      <c r="C88" s="688"/>
      <c r="D88" s="586"/>
      <c r="E88" s="608"/>
      <c r="F88" s="608"/>
      <c r="G88" s="609"/>
      <c r="H88" s="609"/>
      <c r="I88" s="559"/>
      <c r="J88" s="689">
        <f t="shared" si="14"/>
        <v>0</v>
      </c>
      <c r="K88" s="610">
        <f t="shared" si="13"/>
        <v>0</v>
      </c>
    </row>
    <row r="89" spans="1:23" ht="15.75" thickBot="1" x14ac:dyDescent="0.3">
      <c r="A89" s="1038"/>
      <c r="B89" s="1041"/>
      <c r="C89" s="690"/>
      <c r="D89" s="672"/>
      <c r="E89" s="673"/>
      <c r="F89" s="673"/>
      <c r="G89" s="675"/>
      <c r="H89" s="675"/>
      <c r="I89" s="629"/>
      <c r="J89" s="691">
        <f t="shared" si="14"/>
        <v>0</v>
      </c>
      <c r="K89" s="636">
        <f t="shared" si="13"/>
        <v>0</v>
      </c>
    </row>
    <row r="90" spans="1:23" ht="16.5" thickBot="1" x14ac:dyDescent="0.3">
      <c r="C90" s="216"/>
      <c r="D90" s="216"/>
      <c r="E90" s="257"/>
      <c r="F90" s="257"/>
      <c r="G90" s="257"/>
      <c r="H90" s="257"/>
      <c r="I90" s="257"/>
      <c r="K90" s="251">
        <f>SUM(K85:K89)</f>
        <v>0</v>
      </c>
    </row>
    <row r="91" spans="1:23" x14ac:dyDescent="0.25">
      <c r="K91" s="254">
        <v>1</v>
      </c>
    </row>
    <row r="98" spans="11:12" s="215" customFormat="1" x14ac:dyDescent="0.25">
      <c r="L98" s="259"/>
    </row>
    <row r="100" spans="11:12" s="215" customFormat="1" x14ac:dyDescent="0.25">
      <c r="K100" s="260"/>
    </row>
    <row r="102" spans="11:12" s="215" customFormat="1" x14ac:dyDescent="0.25">
      <c r="K102" s="261"/>
    </row>
  </sheetData>
  <mergeCells count="50">
    <mergeCell ref="A85:A89"/>
    <mergeCell ref="B85:B89"/>
    <mergeCell ref="A69:A73"/>
    <mergeCell ref="B69:B73"/>
    <mergeCell ref="U80:V80"/>
    <mergeCell ref="U82:V82"/>
    <mergeCell ref="A77:A81"/>
    <mergeCell ref="B77:B81"/>
    <mergeCell ref="AN14:AO14"/>
    <mergeCell ref="S13:S14"/>
    <mergeCell ref="U13:U14"/>
    <mergeCell ref="AI13:AJ13"/>
    <mergeCell ref="AN13:AO13"/>
    <mergeCell ref="AP14:AQ14"/>
    <mergeCell ref="AR14:AS14"/>
    <mergeCell ref="A15:A61"/>
    <mergeCell ref="B15:B24"/>
    <mergeCell ref="AN15:AO15"/>
    <mergeCell ref="AP15:AQ15"/>
    <mergeCell ref="AR15:AS15"/>
    <mergeCell ref="B25:B34"/>
    <mergeCell ref="B35:B39"/>
    <mergeCell ref="B40:B61"/>
    <mergeCell ref="V13:V14"/>
    <mergeCell ref="W13:W14"/>
    <mergeCell ref="Z13:AA13"/>
    <mergeCell ref="AB13:AC13"/>
    <mergeCell ref="AD13:AE13"/>
    <mergeCell ref="AG13:AH13"/>
    <mergeCell ref="AP13:AQ13"/>
    <mergeCell ref="AR13:AS13"/>
    <mergeCell ref="AN9:AS10"/>
    <mergeCell ref="AG9:AL10"/>
    <mergeCell ref="AK13:AL13"/>
    <mergeCell ref="M12:R12"/>
    <mergeCell ref="A13:B14"/>
    <mergeCell ref="C13:C14"/>
    <mergeCell ref="D13:D14"/>
    <mergeCell ref="E13:E14"/>
    <mergeCell ref="F13:F14"/>
    <mergeCell ref="G13:J13"/>
    <mergeCell ref="K13:K14"/>
    <mergeCell ref="M13:N13"/>
    <mergeCell ref="O13:P13"/>
    <mergeCell ref="Q13:R13"/>
    <mergeCell ref="E4:F4"/>
    <mergeCell ref="A9:H9"/>
    <mergeCell ref="M9:S10"/>
    <mergeCell ref="U9:W10"/>
    <mergeCell ref="Z9:AE10"/>
  </mergeCells>
  <conditionalFormatting sqref="S15:S61">
    <cfRule type="cellIs" dxfId="11" priority="1" operator="equal">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Tabla Instructivo</vt:lpstr>
      <vt:lpstr>Tabla Indice</vt:lpstr>
      <vt:lpstr>Analisis</vt:lpstr>
      <vt:lpstr>A) Resumen Ingresos y Egresos</vt:lpstr>
      <vt:lpstr>B) Reajuste Tarifas y Ocupación</vt:lpstr>
      <vt:lpstr>IVA</vt:lpstr>
      <vt:lpstr>% Reajuste</vt:lpstr>
      <vt:lpstr>C) Estimación Costos Directos</vt:lpstr>
      <vt:lpstr>D) Costos Indirectos </vt:lpstr>
      <vt:lpstr>E) Resumen Tarifado </vt:lpstr>
      <vt:lpstr>F) Remuneraciones</vt:lpstr>
      <vt:lpstr>G) Comparación Mercado</vt:lpstr>
      <vt:lpstr>H) Detalle Datos</vt:lpstr>
      <vt:lpstr>I)Estructua Económica Mensual</vt:lpstr>
      <vt:lpstr>J) Comparativa con Presupuesto</vt:lpstr>
      <vt:lpstr>K) </vt:lpstr>
      <vt:lpstr>'B) Reajuste Tarifas y Ocupación'!Área_de_impresión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352 Joaquin Rodrigo</dc:creator>
  <cp:lastModifiedBy>130 Carolina Vera</cp:lastModifiedBy>
  <cp:lastPrinted>2024-09-23T17:58:33Z</cp:lastPrinted>
  <dcterms:created xsi:type="dcterms:W3CDTF">2022-05-03T15:20:56Z</dcterms:created>
  <dcterms:modified xsi:type="dcterms:W3CDTF">2025-10-29T18:24:55Z</dcterms:modified>
</cp:coreProperties>
</file>