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ncRecreativa\Desktop\Tarifas 2026\BIENMAG\"/>
    </mc:Choice>
  </mc:AlternateContent>
  <xr:revisionPtr revIDLastSave="0" documentId="13_ncr:1_{51351729-37DF-4C34-9E01-D369C92063B6}" xr6:coauthVersionLast="47" xr6:coauthVersionMax="47" xr10:uidLastSave="{00000000-0000-0000-0000-000000000000}"/>
  <bookViews>
    <workbookView xWindow="-110" yWindow="-110" windowWidth="19420" windowHeight="11500" tabRatio="915" firstSheet="5" activeTab="6" xr2:uid="{00000000-000D-0000-FFFF-FFFF00000000}"/>
  </bookViews>
  <sheets>
    <sheet name="Instructivo" sheetId="13" r:id="rId1"/>
    <sheet name="A) Resumen Ingresos y Egresos" sheetId="1" r:id="rId2"/>
    <sheet name="B) Reajuste Tarifa y Ocupación" sheetId="2" r:id="rId3"/>
    <sheet name="IVA" sheetId="16" state="hidden" r:id="rId4"/>
    <sheet name="% Reajuste" sheetId="15" state="hidden" r:id="rId5"/>
    <sheet name="C) Estimación Costos Directos" sheetId="3" r:id="rId6"/>
    <sheet name="D) Costos Indirectos" sheetId="4" r:id="rId7"/>
    <sheet name="E) Resumen Tarifado " sheetId="5" r:id="rId8"/>
    <sheet name="F) Remuneraciones" sheetId="6" r:id="rId9"/>
    <sheet name="G) Comparación Mercado" sheetId="7" r:id="rId10"/>
    <sheet name="H) Detalle Datos" sheetId="8" r:id="rId11"/>
    <sheet name="I) Costo Desayuno" sheetId="9" r:id="rId12"/>
    <sheet name="J)Estructura Económica Mensual" sheetId="10" r:id="rId13"/>
    <sheet name="K)" sheetId="11" state="hidden" r:id="rId14"/>
    <sheet name="L)" sheetId="12" state="hidden" r:id="rId15"/>
  </sheets>
  <externalReferences>
    <externalReference r:id="rId16"/>
    <externalReference r:id="rId17"/>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6" i="6" l="1"/>
  <c r="J56" i="6"/>
  <c r="K15" i="6"/>
  <c r="L11" i="6"/>
  <c r="I11" i="6"/>
  <c r="K21" i="6"/>
  <c r="J21" i="6"/>
  <c r="L33" i="2"/>
  <c r="I15" i="6"/>
  <c r="E105" i="1" l="1"/>
  <c r="D105" i="1"/>
  <c r="D101" i="1"/>
  <c r="E101" i="1"/>
  <c r="E98" i="1"/>
  <c r="E95" i="1"/>
  <c r="D98" i="1"/>
  <c r="D95" i="1"/>
  <c r="D60" i="1"/>
  <c r="K34" i="2"/>
  <c r="J34" i="2" s="1"/>
  <c r="K35" i="2"/>
  <c r="J35" i="2" s="1"/>
  <c r="K36" i="2"/>
  <c r="J36" i="2" s="1"/>
  <c r="D100" i="1" s="1"/>
  <c r="N34" i="2" l="1"/>
  <c r="C32" i="5"/>
  <c r="N35" i="2"/>
  <c r="C33" i="5"/>
  <c r="D94" i="1"/>
  <c r="N36" i="2"/>
  <c r="C34" i="5"/>
  <c r="D97" i="1"/>
  <c r="D99" i="1" s="1"/>
  <c r="D102" i="1"/>
  <c r="D103" i="1" s="1"/>
  <c r="D96" i="1"/>
  <c r="X16" i="4"/>
  <c r="X20" i="4"/>
  <c r="X41" i="4"/>
  <c r="X46" i="4"/>
  <c r="X49" i="4"/>
  <c r="X60" i="4"/>
  <c r="X70" i="4"/>
  <c r="X78" i="4"/>
  <c r="X40" i="4" l="1"/>
  <c r="X15" i="4"/>
  <c r="X80" i="4" l="1"/>
  <c r="J18" i="4" l="1"/>
  <c r="J17" i="4"/>
  <c r="J67" i="4" l="1"/>
  <c r="I60" i="6"/>
  <c r="I59" i="6"/>
  <c r="I58" i="6"/>
  <c r="I57" i="6"/>
  <c r="I56" i="6"/>
  <c r="I55" i="6"/>
  <c r="I54" i="6"/>
  <c r="I53" i="6"/>
  <c r="I21" i="6"/>
  <c r="I20" i="6"/>
  <c r="I19" i="6"/>
  <c r="I18" i="6"/>
  <c r="I17" i="6"/>
  <c r="I16" i="6"/>
  <c r="I14" i="6"/>
  <c r="I13" i="6"/>
  <c r="I12" i="6"/>
  <c r="D52" i="8" l="1"/>
  <c r="M41" i="8"/>
  <c r="N39" i="8"/>
  <c r="F41" i="8"/>
  <c r="G39" i="8"/>
  <c r="G29" i="8"/>
  <c r="G28" i="8"/>
  <c r="G27" i="8"/>
  <c r="G26" i="8"/>
  <c r="F30" i="8"/>
  <c r="E30" i="8"/>
  <c r="D30" i="8"/>
  <c r="C30" i="8"/>
  <c r="G14" i="8"/>
  <c r="N14" i="8" s="1"/>
  <c r="G15" i="8"/>
  <c r="I15" i="8" s="1"/>
  <c r="G16" i="8"/>
  <c r="I16" i="8" s="1"/>
  <c r="K16" i="8" s="1"/>
  <c r="G13" i="8"/>
  <c r="I13" i="8" s="1"/>
  <c r="K13" i="8" s="1"/>
  <c r="F17" i="8"/>
  <c r="E17" i="8"/>
  <c r="D17" i="8"/>
  <c r="C17" i="8"/>
  <c r="F54" i="8"/>
  <c r="M51" i="8"/>
  <c r="E52" i="8"/>
  <c r="C52" i="8"/>
  <c r="F32" i="8"/>
  <c r="F19" i="8"/>
  <c r="G52" i="8" l="1"/>
  <c r="I14" i="8"/>
  <c r="G30" i="8"/>
  <c r="N16" i="8"/>
  <c r="N15" i="8"/>
  <c r="P15" i="8" s="1"/>
  <c r="N13" i="8"/>
  <c r="G17" i="8"/>
  <c r="I17" i="8" s="1"/>
  <c r="K15" i="8"/>
  <c r="R14" i="8"/>
  <c r="P14" i="8"/>
  <c r="K14" i="8"/>
  <c r="K17" i="8" l="1"/>
  <c r="K19" i="8" s="1"/>
  <c r="K21" i="8" s="1"/>
  <c r="R15" i="8"/>
  <c r="R13" i="8"/>
  <c r="P13" i="8"/>
  <c r="R16" i="8"/>
  <c r="P16" i="8"/>
  <c r="P17" i="8" l="1"/>
  <c r="P19" i="8" s="1"/>
  <c r="P21" i="8" s="1"/>
  <c r="R17" i="8"/>
  <c r="R19" i="8" s="1"/>
  <c r="R21" i="8" s="1"/>
  <c r="Q23" i="8" l="1"/>
  <c r="L5" i="16"/>
  <c r="L6" i="16"/>
  <c r="L7" i="16"/>
  <c r="L8" i="16"/>
  <c r="L10" i="16"/>
  <c r="L11" i="16"/>
  <c r="L12" i="16"/>
  <c r="L13" i="16"/>
  <c r="L14" i="16"/>
  <c r="L15" i="16"/>
  <c r="L16" i="16"/>
  <c r="L17" i="16"/>
  <c r="L18" i="16"/>
  <c r="L19" i="16"/>
  <c r="L21" i="16"/>
  <c r="L22" i="16"/>
  <c r="L23" i="16"/>
  <c r="L24" i="16"/>
  <c r="L25" i="16"/>
  <c r="L26" i="16"/>
  <c r="L27" i="16"/>
  <c r="L28" i="16"/>
  <c r="L4" i="16"/>
  <c r="K24" i="16"/>
  <c r="K27" i="16"/>
  <c r="K28" i="16"/>
  <c r="I23" i="16"/>
  <c r="I24" i="16"/>
  <c r="I25" i="16"/>
  <c r="I26" i="16"/>
  <c r="I27" i="16"/>
  <c r="I28" i="16"/>
  <c r="I5" i="16"/>
  <c r="I6" i="16"/>
  <c r="I7" i="16"/>
  <c r="I8" i="16"/>
  <c r="I10" i="16"/>
  <c r="I11" i="16"/>
  <c r="I12" i="16"/>
  <c r="I13" i="16"/>
  <c r="I14" i="16"/>
  <c r="I15" i="16"/>
  <c r="I16" i="16"/>
  <c r="I17" i="16"/>
  <c r="I18" i="16"/>
  <c r="I19" i="16"/>
  <c r="I21" i="16"/>
  <c r="I22" i="16"/>
  <c r="I4" i="16"/>
  <c r="H5" i="16"/>
  <c r="K5" i="16" s="1"/>
  <c r="H6" i="16"/>
  <c r="K6" i="16" s="1"/>
  <c r="H7" i="16"/>
  <c r="K7" i="16" s="1"/>
  <c r="H8" i="16"/>
  <c r="K8" i="16" s="1"/>
  <c r="H10" i="16"/>
  <c r="K10" i="16" s="1"/>
  <c r="H11" i="16"/>
  <c r="K11" i="16" s="1"/>
  <c r="H12" i="16"/>
  <c r="K12" i="16" s="1"/>
  <c r="H13" i="16"/>
  <c r="K13" i="16" s="1"/>
  <c r="H14" i="16"/>
  <c r="K14" i="16" s="1"/>
  <c r="H15" i="16"/>
  <c r="K15" i="16" s="1"/>
  <c r="H16" i="16"/>
  <c r="K16" i="16" s="1"/>
  <c r="H17" i="16"/>
  <c r="K17" i="16" s="1"/>
  <c r="H18" i="16"/>
  <c r="K18" i="16" s="1"/>
  <c r="H19" i="16"/>
  <c r="K19" i="16" s="1"/>
  <c r="H21" i="16"/>
  <c r="K21" i="16" s="1"/>
  <c r="H22" i="16"/>
  <c r="K22" i="16" s="1"/>
  <c r="H23" i="16"/>
  <c r="K23" i="16" s="1"/>
  <c r="H24" i="16"/>
  <c r="H25" i="16"/>
  <c r="K25" i="16" s="1"/>
  <c r="H26" i="16"/>
  <c r="K26" i="16" s="1"/>
  <c r="H27" i="16"/>
  <c r="H28" i="16"/>
  <c r="H4" i="16"/>
  <c r="K4" i="16" s="1"/>
  <c r="M22" i="2"/>
  <c r="L22" i="2" l="1"/>
  <c r="K22" i="2"/>
  <c r="D264" i="3"/>
  <c r="J14" i="15"/>
  <c r="M14" i="15" l="1"/>
  <c r="I4" i="15" l="1"/>
  <c r="L4" i="15" s="1"/>
  <c r="J4" i="15"/>
  <c r="M4" i="15" s="1"/>
  <c r="K12" i="2"/>
  <c r="O12" i="2" s="1"/>
  <c r="K90" i="4" l="1"/>
  <c r="J90" i="4"/>
  <c r="K89" i="4"/>
  <c r="J89" i="4"/>
  <c r="K88" i="4"/>
  <c r="J88" i="4"/>
  <c r="K87" i="4"/>
  <c r="J87" i="4"/>
  <c r="K86" i="4"/>
  <c r="K91" i="4" s="1"/>
  <c r="K82" i="4"/>
  <c r="J82" i="4"/>
  <c r="K81" i="4"/>
  <c r="J81" i="4"/>
  <c r="K80" i="4"/>
  <c r="J80" i="4"/>
  <c r="K79" i="4"/>
  <c r="J79" i="4"/>
  <c r="K78" i="4"/>
  <c r="K71" i="4"/>
  <c r="J71" i="4"/>
  <c r="K70" i="4"/>
  <c r="J70" i="4"/>
  <c r="K69" i="4"/>
  <c r="J69" i="4"/>
  <c r="K68" i="4"/>
  <c r="J68" i="4"/>
  <c r="K67" i="4"/>
  <c r="S61" i="4"/>
  <c r="K61" i="4"/>
  <c r="P61" i="4" s="1"/>
  <c r="J61" i="4"/>
  <c r="S60" i="4"/>
  <c r="K60" i="4"/>
  <c r="N60" i="4" s="1"/>
  <c r="J60" i="4"/>
  <c r="S59" i="4"/>
  <c r="K59" i="4"/>
  <c r="R59" i="4" s="1"/>
  <c r="J59" i="4"/>
  <c r="S58" i="4"/>
  <c r="K58" i="4"/>
  <c r="N58" i="4" s="1"/>
  <c r="J58" i="4"/>
  <c r="S57" i="4"/>
  <c r="K57" i="4"/>
  <c r="R57" i="4" s="1"/>
  <c r="J57" i="4"/>
  <c r="S56" i="4"/>
  <c r="K56" i="4"/>
  <c r="N56" i="4" s="1"/>
  <c r="J56" i="4"/>
  <c r="S55" i="4"/>
  <c r="K55" i="4"/>
  <c r="R55" i="4" s="1"/>
  <c r="J55" i="4"/>
  <c r="S54" i="4"/>
  <c r="K54" i="4"/>
  <c r="N54" i="4" s="1"/>
  <c r="J54" i="4"/>
  <c r="S53" i="4"/>
  <c r="K53" i="4"/>
  <c r="R53" i="4" s="1"/>
  <c r="J53" i="4"/>
  <c r="S52" i="4"/>
  <c r="K52" i="4"/>
  <c r="N52" i="4" s="1"/>
  <c r="J52" i="4"/>
  <c r="S51" i="4"/>
  <c r="K51" i="4"/>
  <c r="R51" i="4" s="1"/>
  <c r="J51" i="4"/>
  <c r="S50" i="4"/>
  <c r="K50" i="4"/>
  <c r="N50" i="4" s="1"/>
  <c r="J50" i="4"/>
  <c r="S49" i="4"/>
  <c r="K49" i="4"/>
  <c r="P49" i="4" s="1"/>
  <c r="J49" i="4"/>
  <c r="S48" i="4"/>
  <c r="K48" i="4"/>
  <c r="P48" i="4" s="1"/>
  <c r="J48" i="4"/>
  <c r="S47" i="4"/>
  <c r="K47" i="4"/>
  <c r="P47" i="4" s="1"/>
  <c r="J47" i="4"/>
  <c r="S46" i="4"/>
  <c r="K46" i="4"/>
  <c r="R46" i="4" s="1"/>
  <c r="J46" i="4"/>
  <c r="S45" i="4"/>
  <c r="K45" i="4"/>
  <c r="N45" i="4" s="1"/>
  <c r="J45" i="4"/>
  <c r="S44" i="4"/>
  <c r="K44" i="4"/>
  <c r="R44" i="4" s="1"/>
  <c r="J44" i="4"/>
  <c r="S43" i="4"/>
  <c r="K43" i="4"/>
  <c r="N43" i="4" s="1"/>
  <c r="J43" i="4"/>
  <c r="S42" i="4"/>
  <c r="K42" i="4"/>
  <c r="R42" i="4" s="1"/>
  <c r="J42" i="4"/>
  <c r="S41" i="4"/>
  <c r="K41" i="4"/>
  <c r="P41" i="4" s="1"/>
  <c r="J41" i="4"/>
  <c r="S40" i="4"/>
  <c r="K40" i="4"/>
  <c r="N40" i="4" s="1"/>
  <c r="J40" i="4"/>
  <c r="S39" i="4"/>
  <c r="K39" i="4"/>
  <c r="R39" i="4" s="1"/>
  <c r="J39" i="4"/>
  <c r="S38" i="4"/>
  <c r="K38" i="4"/>
  <c r="N38" i="4" s="1"/>
  <c r="J38" i="4"/>
  <c r="S37" i="4"/>
  <c r="K37" i="4"/>
  <c r="R37" i="4" s="1"/>
  <c r="J37" i="4"/>
  <c r="S36" i="4"/>
  <c r="K36" i="4"/>
  <c r="N36" i="4" s="1"/>
  <c r="J36" i="4"/>
  <c r="S35" i="4"/>
  <c r="K35" i="4"/>
  <c r="R35" i="4" s="1"/>
  <c r="J35" i="4"/>
  <c r="S34" i="4"/>
  <c r="K34" i="4"/>
  <c r="N34" i="4" s="1"/>
  <c r="J34" i="4"/>
  <c r="S33" i="4"/>
  <c r="K33" i="4"/>
  <c r="R33" i="4" s="1"/>
  <c r="J33" i="4"/>
  <c r="S32" i="4"/>
  <c r="K32" i="4"/>
  <c r="N32" i="4" s="1"/>
  <c r="J32" i="4"/>
  <c r="S31" i="4"/>
  <c r="K31" i="4"/>
  <c r="R31" i="4" s="1"/>
  <c r="J31" i="4"/>
  <c r="S30" i="4"/>
  <c r="K30" i="4"/>
  <c r="N30" i="4" s="1"/>
  <c r="J30" i="4"/>
  <c r="S29" i="4"/>
  <c r="K29" i="4"/>
  <c r="R29" i="4" s="1"/>
  <c r="J29" i="4"/>
  <c r="S28" i="4"/>
  <c r="K28" i="4"/>
  <c r="N28" i="4" s="1"/>
  <c r="J28" i="4"/>
  <c r="S27" i="4"/>
  <c r="K27" i="4"/>
  <c r="R27" i="4" s="1"/>
  <c r="J27" i="4"/>
  <c r="S26" i="4"/>
  <c r="K26" i="4"/>
  <c r="N26" i="4" s="1"/>
  <c r="J26" i="4"/>
  <c r="S25" i="4"/>
  <c r="J25" i="4"/>
  <c r="S24" i="4"/>
  <c r="K24" i="4"/>
  <c r="P24" i="4" s="1"/>
  <c r="J24" i="4"/>
  <c r="S23" i="4"/>
  <c r="K23" i="4"/>
  <c r="R23" i="4" s="1"/>
  <c r="J23" i="4"/>
  <c r="S22" i="4"/>
  <c r="K22" i="4"/>
  <c r="P22" i="4" s="1"/>
  <c r="J22" i="4"/>
  <c r="S21" i="4"/>
  <c r="K21" i="4"/>
  <c r="N21" i="4" s="1"/>
  <c r="J21" i="4"/>
  <c r="S20" i="4"/>
  <c r="K20" i="4"/>
  <c r="R20" i="4" s="1"/>
  <c r="J20" i="4"/>
  <c r="S19" i="4"/>
  <c r="K19" i="4"/>
  <c r="P19" i="4" s="1"/>
  <c r="J19" i="4"/>
  <c r="S18" i="4"/>
  <c r="K18" i="4"/>
  <c r="S17" i="4"/>
  <c r="S16" i="4"/>
  <c r="J16" i="4"/>
  <c r="S15" i="4"/>
  <c r="K34" i="10"/>
  <c r="C34" i="10"/>
  <c r="R18" i="4" l="1"/>
  <c r="P18" i="4"/>
  <c r="N18" i="4"/>
  <c r="N34" i="10"/>
  <c r="R19" i="4"/>
  <c r="R49" i="4"/>
  <c r="P30" i="4"/>
  <c r="P36" i="4"/>
  <c r="R47" i="4"/>
  <c r="P28" i="4"/>
  <c r="R45" i="4"/>
  <c r="P21" i="4"/>
  <c r="K25" i="4"/>
  <c r="R25" i="4" s="1"/>
  <c r="J15" i="4"/>
  <c r="P32" i="4"/>
  <c r="R48" i="4"/>
  <c r="K15" i="4"/>
  <c r="N15" i="4" s="1"/>
  <c r="R61" i="4"/>
  <c r="N47" i="4"/>
  <c r="P34" i="4"/>
  <c r="K17" i="4"/>
  <c r="P38" i="4"/>
  <c r="P26" i="4"/>
  <c r="R43" i="4"/>
  <c r="K16" i="4"/>
  <c r="R16" i="4" s="1"/>
  <c r="P40" i="4"/>
  <c r="N49" i="4"/>
  <c r="R21" i="4"/>
  <c r="R22" i="4"/>
  <c r="N23" i="4"/>
  <c r="P50" i="4"/>
  <c r="P52" i="4"/>
  <c r="P54" i="4"/>
  <c r="P56" i="4"/>
  <c r="P58" i="4"/>
  <c r="P60" i="4"/>
  <c r="K83" i="4"/>
  <c r="R50" i="4"/>
  <c r="R54" i="4"/>
  <c r="R60" i="4"/>
  <c r="P23" i="4"/>
  <c r="R52" i="4"/>
  <c r="R56" i="4"/>
  <c r="R58" i="4"/>
  <c r="K72" i="4"/>
  <c r="R24" i="4"/>
  <c r="R26" i="4"/>
  <c r="R28" i="4"/>
  <c r="R30" i="4"/>
  <c r="R32" i="4"/>
  <c r="R34" i="4"/>
  <c r="R36" i="4"/>
  <c r="R38" i="4"/>
  <c r="R40" i="4"/>
  <c r="R41" i="4"/>
  <c r="P43" i="4"/>
  <c r="P45" i="4"/>
  <c r="N20" i="4"/>
  <c r="N27" i="4"/>
  <c r="N31" i="4"/>
  <c r="N33" i="4"/>
  <c r="N37" i="4"/>
  <c r="N39" i="4"/>
  <c r="N44" i="4"/>
  <c r="N46" i="4"/>
  <c r="N51" i="4"/>
  <c r="N55" i="4"/>
  <c r="N57" i="4"/>
  <c r="N19" i="4"/>
  <c r="P20" i="4"/>
  <c r="N22" i="4"/>
  <c r="N24" i="4"/>
  <c r="P27" i="4"/>
  <c r="P29" i="4"/>
  <c r="P31" i="4"/>
  <c r="P33" i="4"/>
  <c r="P35" i="4"/>
  <c r="P37" i="4"/>
  <c r="P39" i="4"/>
  <c r="N41" i="4"/>
  <c r="P42" i="4"/>
  <c r="P44" i="4"/>
  <c r="P46" i="4"/>
  <c r="N48" i="4"/>
  <c r="P51" i="4"/>
  <c r="P53" i="4"/>
  <c r="P55" i="4"/>
  <c r="P57" i="4"/>
  <c r="P59" i="4"/>
  <c r="N61" i="4"/>
  <c r="N29" i="4"/>
  <c r="N35" i="4"/>
  <c r="N42" i="4"/>
  <c r="N53" i="4"/>
  <c r="N59" i="4"/>
  <c r="K12" i="10"/>
  <c r="C12" i="10"/>
  <c r="L12" i="2"/>
  <c r="P12" i="2" s="1"/>
  <c r="O28" i="10"/>
  <c r="O29" i="10"/>
  <c r="O27" i="10"/>
  <c r="I29" i="15"/>
  <c r="M12" i="2"/>
  <c r="Q12" i="2" s="1"/>
  <c r="J5" i="15"/>
  <c r="J6" i="15"/>
  <c r="J7" i="15"/>
  <c r="J8" i="15"/>
  <c r="J9" i="15"/>
  <c r="J10" i="15"/>
  <c r="M10" i="15" s="1"/>
  <c r="J11" i="15"/>
  <c r="M11" i="15" s="1"/>
  <c r="J12" i="15"/>
  <c r="M12" i="15" s="1"/>
  <c r="J13" i="15"/>
  <c r="M13" i="15" s="1"/>
  <c r="J15" i="15"/>
  <c r="J16" i="15"/>
  <c r="J17" i="15"/>
  <c r="J18" i="15"/>
  <c r="J19" i="15"/>
  <c r="J20" i="15"/>
  <c r="J21" i="15"/>
  <c r="M21" i="15" s="1"/>
  <c r="J22" i="15"/>
  <c r="M22" i="15" s="1"/>
  <c r="J23" i="15"/>
  <c r="M23" i="15" s="1"/>
  <c r="J24" i="15"/>
  <c r="M24" i="15" s="1"/>
  <c r="J25" i="15"/>
  <c r="J26" i="15"/>
  <c r="J27" i="15"/>
  <c r="J28" i="15"/>
  <c r="J29" i="15"/>
  <c r="I5" i="15"/>
  <c r="I6" i="15"/>
  <c r="I7" i="15"/>
  <c r="I8" i="15"/>
  <c r="I9" i="15"/>
  <c r="I10" i="15"/>
  <c r="L10" i="15" s="1"/>
  <c r="I11" i="15"/>
  <c r="L11" i="15" s="1"/>
  <c r="I12" i="15"/>
  <c r="L12" i="15" s="1"/>
  <c r="I13" i="15"/>
  <c r="L13" i="15" s="1"/>
  <c r="I14" i="15"/>
  <c r="I15" i="15"/>
  <c r="I16" i="15"/>
  <c r="I17" i="15"/>
  <c r="I18" i="15"/>
  <c r="I19" i="15"/>
  <c r="I20" i="15"/>
  <c r="I21" i="15"/>
  <c r="L21" i="15" s="1"/>
  <c r="I22" i="15"/>
  <c r="L22" i="15" s="1"/>
  <c r="I23" i="15"/>
  <c r="L23" i="15" s="1"/>
  <c r="I24" i="15"/>
  <c r="L24" i="15" s="1"/>
  <c r="I25" i="15"/>
  <c r="I26" i="15"/>
  <c r="I27" i="15"/>
  <c r="I28" i="15"/>
  <c r="P17" i="4" l="1"/>
  <c r="R17" i="4"/>
  <c r="N17" i="4"/>
  <c r="N16" i="4"/>
  <c r="P16" i="4"/>
  <c r="R15" i="4"/>
  <c r="R62" i="4" s="1"/>
  <c r="N12" i="10"/>
  <c r="O12" i="10" s="1"/>
  <c r="M19" i="15"/>
  <c r="M7" i="15"/>
  <c r="R23" i="5"/>
  <c r="M17" i="15"/>
  <c r="P15" i="4"/>
  <c r="R33" i="5"/>
  <c r="M27" i="15"/>
  <c r="M15" i="15"/>
  <c r="M26" i="15"/>
  <c r="M25" i="15"/>
  <c r="P25" i="4"/>
  <c r="M8" i="15"/>
  <c r="M26" i="2"/>
  <c r="M18" i="15"/>
  <c r="M6" i="15"/>
  <c r="K62" i="4"/>
  <c r="M5" i="15"/>
  <c r="M28" i="15"/>
  <c r="R22" i="5"/>
  <c r="M16" i="15"/>
  <c r="N25" i="4"/>
  <c r="L18" i="15"/>
  <c r="L27" i="15"/>
  <c r="L19" i="15"/>
  <c r="L15" i="15"/>
  <c r="L7" i="15"/>
  <c r="L26" i="15"/>
  <c r="L14" i="15"/>
  <c r="L6" i="15"/>
  <c r="L25" i="15"/>
  <c r="L17" i="15"/>
  <c r="L5" i="15"/>
  <c r="L28" i="15"/>
  <c r="L16" i="15"/>
  <c r="L8" i="15"/>
  <c r="L61" i="6"/>
  <c r="L60" i="6"/>
  <c r="L59" i="6"/>
  <c r="L57" i="6"/>
  <c r="L56" i="6"/>
  <c r="L21" i="6"/>
  <c r="L20" i="6"/>
  <c r="L19" i="6"/>
  <c r="L18" i="6"/>
  <c r="L16" i="6"/>
  <c r="L14" i="6"/>
  <c r="D25" i="1"/>
  <c r="K33" i="2"/>
  <c r="O33" i="2" s="1"/>
  <c r="D20" i="5"/>
  <c r="K13" i="2"/>
  <c r="O13" i="2" s="1"/>
  <c r="F24" i="1"/>
  <c r="G24" i="1"/>
  <c r="K23" i="2"/>
  <c r="K24" i="2"/>
  <c r="K25" i="2"/>
  <c r="O25" i="2" s="1"/>
  <c r="K26" i="2"/>
  <c r="K27" i="2"/>
  <c r="D25" i="5" s="1"/>
  <c r="D15" i="1"/>
  <c r="N75" i="10" s="1"/>
  <c r="K56" i="10"/>
  <c r="C56" i="10"/>
  <c r="O66" i="10"/>
  <c r="K67" i="10"/>
  <c r="C67" i="10"/>
  <c r="N67" i="10" s="1"/>
  <c r="O44" i="10"/>
  <c r="K45" i="10"/>
  <c r="C45" i="10"/>
  <c r="O22" i="10"/>
  <c r="K23" i="10"/>
  <c r="C23" i="10"/>
  <c r="L13" i="6"/>
  <c r="L15" i="6"/>
  <c r="L17" i="6"/>
  <c r="L22" i="6"/>
  <c r="L23" i="6"/>
  <c r="L24" i="6"/>
  <c r="L25" i="6"/>
  <c r="L26" i="6"/>
  <c r="L27" i="6"/>
  <c r="L28" i="6"/>
  <c r="L30" i="6"/>
  <c r="L32" i="6"/>
  <c r="L33" i="6"/>
  <c r="L34" i="6"/>
  <c r="L35" i="6"/>
  <c r="L36" i="6"/>
  <c r="L37" i="6"/>
  <c r="L38" i="6"/>
  <c r="L40" i="6"/>
  <c r="L41" i="6"/>
  <c r="L42" i="6"/>
  <c r="L44" i="6"/>
  <c r="L45" i="6"/>
  <c r="L46" i="6"/>
  <c r="L47" i="6"/>
  <c r="L48" i="6"/>
  <c r="L49" i="6"/>
  <c r="L50" i="6"/>
  <c r="L51" i="6"/>
  <c r="L52" i="6"/>
  <c r="L54" i="6"/>
  <c r="L58" i="6"/>
  <c r="L62" i="6"/>
  <c r="L63" i="6"/>
  <c r="L64" i="6"/>
  <c r="L65" i="6"/>
  <c r="L66" i="6"/>
  <c r="L67" i="6"/>
  <c r="L68" i="6"/>
  <c r="L69" i="6"/>
  <c r="L70" i="6"/>
  <c r="L72" i="6"/>
  <c r="L73" i="6"/>
  <c r="L74" i="6"/>
  <c r="L75" i="6"/>
  <c r="L76" i="6"/>
  <c r="L77" i="6"/>
  <c r="L78" i="6"/>
  <c r="L79" i="6"/>
  <c r="L80" i="6"/>
  <c r="L81" i="6"/>
  <c r="L82"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4" i="6"/>
  <c r="L125" i="6"/>
  <c r="L126" i="6"/>
  <c r="L127" i="6"/>
  <c r="L128" i="6"/>
  <c r="L129" i="6"/>
  <c r="L130" i="6"/>
  <c r="L131" i="6"/>
  <c r="L132" i="6"/>
  <c r="L133" i="6"/>
  <c r="L134" i="6"/>
  <c r="L135" i="6"/>
  <c r="L136" i="6"/>
  <c r="L138" i="6"/>
  <c r="L139" i="6"/>
  <c r="L140" i="6"/>
  <c r="L141" i="6"/>
  <c r="L142" i="6"/>
  <c r="L144" i="6"/>
  <c r="L145" i="6"/>
  <c r="L146" i="6"/>
  <c r="L147" i="6"/>
  <c r="L148" i="6"/>
  <c r="L149" i="6"/>
  <c r="L150" i="6"/>
  <c r="L151" i="6"/>
  <c r="L152" i="6"/>
  <c r="L153" i="6"/>
  <c r="L154" i="6"/>
  <c r="L156" i="6"/>
  <c r="L157" i="6"/>
  <c r="L158" i="6"/>
  <c r="L159" i="6"/>
  <c r="L160" i="6"/>
  <c r="L161" i="6"/>
  <c r="L162" i="6"/>
  <c r="L163" i="6"/>
  <c r="L164" i="6"/>
  <c r="E49" i="1"/>
  <c r="E52" i="1"/>
  <c r="E24" i="9"/>
  <c r="E42" i="7"/>
  <c r="D42" i="7"/>
  <c r="M25" i="7"/>
  <c r="D405" i="3"/>
  <c r="D233" i="3"/>
  <c r="E91" i="1"/>
  <c r="E87" i="1"/>
  <c r="E84" i="1"/>
  <c r="E81" i="1"/>
  <c r="E78" i="1"/>
  <c r="E46" i="1"/>
  <c r="Q80" i="10"/>
  <c r="Q79" i="10"/>
  <c r="Q78" i="10"/>
  <c r="Q76" i="10"/>
  <c r="Q75" i="10"/>
  <c r="Q69" i="10"/>
  <c r="Q68" i="10"/>
  <c r="Q67" i="10"/>
  <c r="Q65" i="10"/>
  <c r="P66" i="10" s="1"/>
  <c r="Q64" i="10"/>
  <c r="Q58" i="10"/>
  <c r="Q57" i="10"/>
  <c r="Q56" i="10"/>
  <c r="Q54" i="10"/>
  <c r="Q53" i="10"/>
  <c r="Q47" i="10"/>
  <c r="Q46" i="10"/>
  <c r="Q45" i="10"/>
  <c r="Q43" i="10"/>
  <c r="P44" i="10"/>
  <c r="Q42" i="10"/>
  <c r="Q36" i="10"/>
  <c r="Q35" i="10"/>
  <c r="Q34" i="10"/>
  <c r="Q32" i="10"/>
  <c r="Q31" i="10"/>
  <c r="Q25" i="10"/>
  <c r="Q24" i="10"/>
  <c r="Q23" i="10"/>
  <c r="Q21" i="10"/>
  <c r="P22" i="10" s="1"/>
  <c r="Q20" i="10"/>
  <c r="Q14" i="10"/>
  <c r="Q13" i="10"/>
  <c r="Q12" i="10"/>
  <c r="Q10" i="10"/>
  <c r="Q9" i="10"/>
  <c r="D141" i="3"/>
  <c r="B22" i="7"/>
  <c r="B35" i="5"/>
  <c r="Y37" i="2"/>
  <c r="Y36" i="2"/>
  <c r="Y35" i="2"/>
  <c r="Y34" i="2"/>
  <c r="B40" i="7"/>
  <c r="B41" i="7"/>
  <c r="B42" i="7"/>
  <c r="B39" i="7"/>
  <c r="B38" i="7"/>
  <c r="B35" i="7"/>
  <c r="B36" i="7"/>
  <c r="B37" i="7"/>
  <c r="B34" i="7"/>
  <c r="B33" i="7"/>
  <c r="B29" i="7"/>
  <c r="B30" i="7"/>
  <c r="B31" i="7"/>
  <c r="B32" i="7"/>
  <c r="B28" i="7"/>
  <c r="B27" i="7"/>
  <c r="B24" i="7"/>
  <c r="B25" i="7"/>
  <c r="B26" i="7"/>
  <c r="B23" i="7"/>
  <c r="B18" i="7"/>
  <c r="B19" i="7"/>
  <c r="B20" i="7"/>
  <c r="B21" i="7"/>
  <c r="B17" i="7"/>
  <c r="A42" i="7"/>
  <c r="A39" i="7"/>
  <c r="A38" i="7"/>
  <c r="A28" i="7"/>
  <c r="A27" i="7"/>
  <c r="A17" i="7"/>
  <c r="B123" i="6"/>
  <c r="B95" i="6"/>
  <c r="B81" i="6"/>
  <c r="B53" i="6"/>
  <c r="B39" i="6"/>
  <c r="B11" i="6"/>
  <c r="P35" i="5"/>
  <c r="P32" i="5"/>
  <c r="R32" i="5"/>
  <c r="P33" i="5"/>
  <c r="P34" i="5"/>
  <c r="P31" i="5"/>
  <c r="P21" i="5"/>
  <c r="O21" i="5" s="1"/>
  <c r="P22" i="5"/>
  <c r="O22" i="5" s="1"/>
  <c r="P23" i="5"/>
  <c r="O23" i="5" s="1"/>
  <c r="P24" i="5"/>
  <c r="O24" i="5" s="1"/>
  <c r="P25" i="5"/>
  <c r="O25" i="5" s="1"/>
  <c r="R25" i="5"/>
  <c r="R20" i="5"/>
  <c r="P20" i="5"/>
  <c r="O20" i="5" s="1"/>
  <c r="R11" i="5"/>
  <c r="P11" i="5"/>
  <c r="O11" i="5" s="1"/>
  <c r="P12" i="5"/>
  <c r="O12" i="5" s="1"/>
  <c r="P13" i="5"/>
  <c r="O13" i="5" s="1"/>
  <c r="P14" i="5"/>
  <c r="O14" i="5" s="1"/>
  <c r="Q10" i="5"/>
  <c r="R10" i="5"/>
  <c r="P10" i="5"/>
  <c r="O10" i="5" s="1"/>
  <c r="B33" i="5"/>
  <c r="B34" i="5"/>
  <c r="B32" i="5"/>
  <c r="B31" i="5"/>
  <c r="B28" i="5"/>
  <c r="B29" i="5"/>
  <c r="B30" i="5"/>
  <c r="B27" i="5"/>
  <c r="B21" i="5"/>
  <c r="B22" i="5"/>
  <c r="B23" i="5"/>
  <c r="B24" i="5"/>
  <c r="B25" i="5"/>
  <c r="B20" i="5"/>
  <c r="B17" i="5"/>
  <c r="B18" i="5"/>
  <c r="B19" i="5"/>
  <c r="B16" i="5"/>
  <c r="B15" i="5"/>
  <c r="B11" i="5"/>
  <c r="B12" i="5"/>
  <c r="B13" i="5"/>
  <c r="B14" i="5"/>
  <c r="B10" i="5"/>
  <c r="A35" i="5"/>
  <c r="A32" i="5"/>
  <c r="A31" i="5"/>
  <c r="A21" i="5"/>
  <c r="A20" i="5"/>
  <c r="A10" i="5"/>
  <c r="A371" i="3"/>
  <c r="A299" i="3"/>
  <c r="A227" i="3"/>
  <c r="A155" i="3"/>
  <c r="A83" i="3"/>
  <c r="A11" i="3"/>
  <c r="B104" i="1"/>
  <c r="B100" i="1"/>
  <c r="B97" i="1"/>
  <c r="B94" i="1"/>
  <c r="B90" i="1"/>
  <c r="B86" i="1"/>
  <c r="B83" i="1"/>
  <c r="B80" i="1"/>
  <c r="B77" i="1"/>
  <c r="B74" i="1"/>
  <c r="B71" i="1"/>
  <c r="B68" i="1"/>
  <c r="B65" i="1"/>
  <c r="B62" i="1"/>
  <c r="B59" i="1"/>
  <c r="B55" i="1"/>
  <c r="B51" i="1"/>
  <c r="B48" i="1"/>
  <c r="B45" i="1"/>
  <c r="B42" i="1"/>
  <c r="B39" i="1"/>
  <c r="B36" i="1"/>
  <c r="B33" i="1"/>
  <c r="B30" i="1"/>
  <c r="B27" i="1"/>
  <c r="B24" i="1"/>
  <c r="A104" i="1"/>
  <c r="A94" i="1"/>
  <c r="A90" i="1"/>
  <c r="A59" i="1"/>
  <c r="A55" i="1"/>
  <c r="A24" i="1"/>
  <c r="A14" i="1"/>
  <c r="A13" i="1"/>
  <c r="A12" i="1"/>
  <c r="A11" i="1"/>
  <c r="A10" i="1"/>
  <c r="A9" i="1"/>
  <c r="H36" i="12"/>
  <c r="I36" i="12"/>
  <c r="J36" i="12"/>
  <c r="K36" i="12"/>
  <c r="L36" i="12"/>
  <c r="M36" i="12"/>
  <c r="N36" i="12"/>
  <c r="O36" i="12"/>
  <c r="P36" i="12"/>
  <c r="Q36" i="12"/>
  <c r="R36" i="12"/>
  <c r="S36" i="12"/>
  <c r="T36" i="12"/>
  <c r="U36" i="12"/>
  <c r="V36" i="12"/>
  <c r="W36" i="12"/>
  <c r="X36" i="12"/>
  <c r="Y36" i="12"/>
  <c r="Z36" i="12"/>
  <c r="H37" i="12"/>
  <c r="I37" i="12"/>
  <c r="J37" i="12"/>
  <c r="K37" i="12"/>
  <c r="L37" i="12"/>
  <c r="M37" i="12"/>
  <c r="N37" i="12"/>
  <c r="O37" i="12"/>
  <c r="P37" i="12"/>
  <c r="Q37" i="12"/>
  <c r="R37" i="12"/>
  <c r="S37" i="12"/>
  <c r="T37" i="12"/>
  <c r="U37" i="12"/>
  <c r="V37" i="12"/>
  <c r="W37" i="12"/>
  <c r="X37" i="12"/>
  <c r="Y37" i="12"/>
  <c r="Z37" i="12"/>
  <c r="H38" i="12"/>
  <c r="I38" i="12"/>
  <c r="J38" i="12"/>
  <c r="K38" i="12"/>
  <c r="L38" i="12"/>
  <c r="M38" i="12"/>
  <c r="N38" i="12"/>
  <c r="O38" i="12"/>
  <c r="P38" i="12"/>
  <c r="Q38" i="12"/>
  <c r="R38" i="12"/>
  <c r="S38" i="12"/>
  <c r="T38" i="12"/>
  <c r="U38" i="12"/>
  <c r="V38" i="12"/>
  <c r="W38" i="12"/>
  <c r="X38" i="12"/>
  <c r="Y38" i="12"/>
  <c r="Z38" i="12"/>
  <c r="G36" i="12"/>
  <c r="G37" i="12"/>
  <c r="G38" i="12"/>
  <c r="D45" i="12" s="1"/>
  <c r="F36" i="12"/>
  <c r="F37" i="12"/>
  <c r="F38" i="12"/>
  <c r="Z35" i="12"/>
  <c r="Y35" i="12"/>
  <c r="X35" i="12"/>
  <c r="W35" i="12"/>
  <c r="V35" i="12"/>
  <c r="U35" i="12"/>
  <c r="T35" i="12"/>
  <c r="S35" i="12"/>
  <c r="R35" i="12"/>
  <c r="Q35" i="12"/>
  <c r="P35" i="12"/>
  <c r="O35" i="12"/>
  <c r="N35" i="12"/>
  <c r="M35" i="12"/>
  <c r="L35" i="12"/>
  <c r="K35" i="12"/>
  <c r="J35" i="12"/>
  <c r="I35" i="12"/>
  <c r="D46" i="12" s="1"/>
  <c r="H35" i="12"/>
  <c r="E45" i="12" s="1"/>
  <c r="G35" i="12"/>
  <c r="F35" i="12"/>
  <c r="E36" i="12"/>
  <c r="E37" i="12"/>
  <c r="E38" i="12"/>
  <c r="E35" i="12"/>
  <c r="D36" i="12"/>
  <c r="D37" i="12"/>
  <c r="D38" i="12"/>
  <c r="C38" i="12"/>
  <c r="C37" i="12"/>
  <c r="C36" i="12"/>
  <c r="D35" i="12"/>
  <c r="C35" i="12"/>
  <c r="L58" i="11"/>
  <c r="J58" i="11"/>
  <c r="H58" i="11"/>
  <c r="F58" i="11"/>
  <c r="D58" i="11"/>
  <c r="L45" i="11"/>
  <c r="L46" i="11" s="1"/>
  <c r="J46" i="11"/>
  <c r="H46" i="11"/>
  <c r="F46" i="11"/>
  <c r="D46" i="11"/>
  <c r="L35" i="11"/>
  <c r="J35" i="11"/>
  <c r="H35" i="11"/>
  <c r="F35" i="11"/>
  <c r="D35" i="11"/>
  <c r="L22" i="11"/>
  <c r="J22" i="11"/>
  <c r="H22" i="11"/>
  <c r="F22" i="11"/>
  <c r="D22" i="11"/>
  <c r="L10" i="11"/>
  <c r="J10" i="11"/>
  <c r="H10" i="11"/>
  <c r="F10" i="11"/>
  <c r="D10" i="11"/>
  <c r="S55" i="11"/>
  <c r="C55" i="11"/>
  <c r="S43" i="11"/>
  <c r="C43" i="11"/>
  <c r="Y43" i="11" s="1"/>
  <c r="AA42" i="11"/>
  <c r="S32" i="11"/>
  <c r="C32" i="11"/>
  <c r="S19" i="11"/>
  <c r="C19" i="11"/>
  <c r="Y19" i="11" s="1"/>
  <c r="AA19" i="11" s="1"/>
  <c r="AA18" i="11"/>
  <c r="S7" i="11"/>
  <c r="C7" i="11"/>
  <c r="D44" i="12"/>
  <c r="J28" i="5"/>
  <c r="J29" i="5"/>
  <c r="J30" i="5"/>
  <c r="J31" i="5"/>
  <c r="J32" i="5"/>
  <c r="J33" i="5"/>
  <c r="J34" i="5"/>
  <c r="J27" i="5"/>
  <c r="J17" i="5"/>
  <c r="J18" i="5"/>
  <c r="J19" i="5"/>
  <c r="J20" i="5"/>
  <c r="J21" i="5"/>
  <c r="J22" i="5"/>
  <c r="J23" i="5"/>
  <c r="J24" i="5"/>
  <c r="J25" i="5"/>
  <c r="J16" i="5"/>
  <c r="J11" i="5"/>
  <c r="J12" i="5"/>
  <c r="J13" i="5"/>
  <c r="J14" i="5"/>
  <c r="J10" i="5"/>
  <c r="I28" i="5"/>
  <c r="I29" i="5"/>
  <c r="I30" i="5"/>
  <c r="I31" i="5"/>
  <c r="I32" i="5"/>
  <c r="I33" i="5"/>
  <c r="I34" i="5"/>
  <c r="I27" i="5"/>
  <c r="I17" i="5"/>
  <c r="I18" i="5"/>
  <c r="I19" i="5"/>
  <c r="I20" i="5"/>
  <c r="I21" i="5"/>
  <c r="I22" i="5"/>
  <c r="I23" i="5"/>
  <c r="I24" i="5"/>
  <c r="I25" i="5"/>
  <c r="I16" i="5"/>
  <c r="I11" i="5"/>
  <c r="I12" i="5"/>
  <c r="I13" i="5"/>
  <c r="I14" i="5"/>
  <c r="I10" i="5"/>
  <c r="H28" i="5"/>
  <c r="H29" i="5"/>
  <c r="H30" i="5"/>
  <c r="H31" i="5"/>
  <c r="H32" i="5"/>
  <c r="H33" i="5"/>
  <c r="H34" i="5"/>
  <c r="H35" i="5"/>
  <c r="H27" i="5"/>
  <c r="H17" i="5"/>
  <c r="H18" i="5"/>
  <c r="H19" i="5"/>
  <c r="H20" i="5"/>
  <c r="H21" i="5"/>
  <c r="H22" i="5"/>
  <c r="H23" i="5"/>
  <c r="H24" i="5"/>
  <c r="H25" i="5"/>
  <c r="H16" i="5"/>
  <c r="H11" i="5"/>
  <c r="H12" i="5"/>
  <c r="H13" i="5"/>
  <c r="H14" i="5"/>
  <c r="H10" i="5"/>
  <c r="G31" i="5"/>
  <c r="G21" i="5"/>
  <c r="G22" i="5"/>
  <c r="G23" i="5"/>
  <c r="G24" i="5"/>
  <c r="G25" i="5"/>
  <c r="G20" i="5"/>
  <c r="G11" i="5"/>
  <c r="G12" i="5"/>
  <c r="G13" i="5"/>
  <c r="G14" i="5"/>
  <c r="G10" i="5"/>
  <c r="G105" i="1"/>
  <c r="G104" i="1"/>
  <c r="G101" i="1"/>
  <c r="G98" i="1"/>
  <c r="G95" i="1"/>
  <c r="G91" i="1"/>
  <c r="G87" i="1"/>
  <c r="G84" i="1"/>
  <c r="G81" i="1"/>
  <c r="G78" i="1"/>
  <c r="G72" i="1"/>
  <c r="G69" i="1"/>
  <c r="G66" i="1"/>
  <c r="G63" i="1"/>
  <c r="G60" i="1"/>
  <c r="G56" i="1"/>
  <c r="G52" i="1"/>
  <c r="G49" i="1"/>
  <c r="G46" i="1"/>
  <c r="G43" i="1"/>
  <c r="G37" i="1"/>
  <c r="G34" i="1"/>
  <c r="G31" i="1"/>
  <c r="G28" i="1"/>
  <c r="G25" i="1"/>
  <c r="F105" i="1"/>
  <c r="F104" i="1"/>
  <c r="F101" i="1"/>
  <c r="F98" i="1"/>
  <c r="F95" i="1"/>
  <c r="F91" i="1"/>
  <c r="F87" i="1"/>
  <c r="F84" i="1"/>
  <c r="F81" i="1"/>
  <c r="F78" i="1"/>
  <c r="F72" i="1"/>
  <c r="F69" i="1"/>
  <c r="F66" i="1"/>
  <c r="F63" i="1"/>
  <c r="F60" i="1"/>
  <c r="F56" i="1"/>
  <c r="F52" i="1"/>
  <c r="F49" i="1"/>
  <c r="F46" i="1"/>
  <c r="F37" i="1"/>
  <c r="F34" i="1"/>
  <c r="F31" i="1"/>
  <c r="F28" i="1"/>
  <c r="F25" i="1"/>
  <c r="E72" i="1"/>
  <c r="E69" i="1"/>
  <c r="E66" i="1"/>
  <c r="E63" i="1"/>
  <c r="E60" i="1"/>
  <c r="E56" i="1"/>
  <c r="E37" i="1"/>
  <c r="E34" i="1"/>
  <c r="E31" i="1"/>
  <c r="E28" i="1"/>
  <c r="E25" i="1"/>
  <c r="D91" i="1"/>
  <c r="D72" i="1"/>
  <c r="D69" i="1"/>
  <c r="D66" i="1"/>
  <c r="D63" i="1"/>
  <c r="D56" i="1"/>
  <c r="D37" i="1"/>
  <c r="D34" i="1"/>
  <c r="D31" i="1"/>
  <c r="D28" i="1"/>
  <c r="K78" i="10"/>
  <c r="C78" i="10"/>
  <c r="E27" i="9"/>
  <c r="E26" i="9"/>
  <c r="E25" i="9"/>
  <c r="E23" i="9"/>
  <c r="E22" i="9"/>
  <c r="E21" i="9"/>
  <c r="E20" i="9"/>
  <c r="E19" i="9"/>
  <c r="E18" i="9"/>
  <c r="E17" i="9"/>
  <c r="E16" i="9"/>
  <c r="E15" i="9"/>
  <c r="M42" i="7"/>
  <c r="M41" i="7"/>
  <c r="M40" i="7"/>
  <c r="M39" i="7"/>
  <c r="M38" i="7"/>
  <c r="M37" i="7"/>
  <c r="M36" i="7"/>
  <c r="M35" i="7"/>
  <c r="M34" i="7"/>
  <c r="M32" i="7"/>
  <c r="M31" i="7"/>
  <c r="M30" i="7"/>
  <c r="M29" i="7"/>
  <c r="M27" i="7"/>
  <c r="M26" i="7"/>
  <c r="M24" i="7"/>
  <c r="M23" i="7"/>
  <c r="M21" i="7"/>
  <c r="M20" i="7"/>
  <c r="M19" i="7"/>
  <c r="M18" i="7"/>
  <c r="M17" i="7"/>
  <c r="D4" i="7"/>
  <c r="O31" i="5"/>
  <c r="B9" i="5"/>
  <c r="A9" i="5"/>
  <c r="G511" i="3"/>
  <c r="H511" i="3" s="1"/>
  <c r="G510" i="3"/>
  <c r="D509" i="3"/>
  <c r="G508" i="3"/>
  <c r="H508" i="3" s="1"/>
  <c r="G507" i="3"/>
  <c r="H507" i="3" s="1"/>
  <c r="G506" i="3"/>
  <c r="H506" i="3" s="1"/>
  <c r="G505" i="3"/>
  <c r="H505" i="3" s="1"/>
  <c r="G504" i="3"/>
  <c r="H504" i="3" s="1"/>
  <c r="G503" i="3"/>
  <c r="H503" i="3" s="1"/>
  <c r="G502" i="3"/>
  <c r="H502" i="3" s="1"/>
  <c r="D501" i="3"/>
  <c r="G500" i="3"/>
  <c r="H500" i="3" s="1"/>
  <c r="G15" i="1" s="1"/>
  <c r="G499" i="3"/>
  <c r="H499" i="3" s="1"/>
  <c r="G498" i="3"/>
  <c r="H498" i="3" s="1"/>
  <c r="G497" i="3"/>
  <c r="H497" i="3" s="1"/>
  <c r="G496" i="3"/>
  <c r="H496" i="3" s="1"/>
  <c r="G495" i="3"/>
  <c r="H495" i="3" s="1"/>
  <c r="G494" i="3"/>
  <c r="H494" i="3" s="1"/>
  <c r="G493" i="3"/>
  <c r="H493" i="3" s="1"/>
  <c r="G492" i="3"/>
  <c r="D491" i="3"/>
  <c r="G490" i="3"/>
  <c r="H490" i="3" s="1"/>
  <c r="G489" i="3"/>
  <c r="H489" i="3" s="1"/>
  <c r="G488" i="3"/>
  <c r="H488" i="3" s="1"/>
  <c r="G487" i="3"/>
  <c r="H487" i="3" s="1"/>
  <c r="G486" i="3"/>
  <c r="H486" i="3" s="1"/>
  <c r="G485" i="3"/>
  <c r="H485" i="3"/>
  <c r="G484" i="3"/>
  <c r="H484" i="3" s="1"/>
  <c r="G483" i="3"/>
  <c r="H483" i="3" s="1"/>
  <c r="G482" i="3"/>
  <c r="H482" i="3" s="1"/>
  <c r="G481" i="3"/>
  <c r="H481" i="3" s="1"/>
  <c r="D480" i="3"/>
  <c r="G479" i="3"/>
  <c r="H479" i="3" s="1"/>
  <c r="G478" i="3"/>
  <c r="H478" i="3" s="1"/>
  <c r="D477" i="3"/>
  <c r="G476" i="3"/>
  <c r="G475" i="3"/>
  <c r="H475" i="3" s="1"/>
  <c r="G474" i="3"/>
  <c r="H474" i="3" s="1"/>
  <c r="G473" i="3"/>
  <c r="H473" i="3" s="1"/>
  <c r="D472" i="3"/>
  <c r="G470" i="3"/>
  <c r="H470" i="3" s="1"/>
  <c r="G469" i="3"/>
  <c r="H469" i="3" s="1"/>
  <c r="G468" i="3"/>
  <c r="H468" i="3" s="1"/>
  <c r="G467" i="3"/>
  <c r="H467" i="3"/>
  <c r="G466" i="3"/>
  <c r="H466" i="3" s="1"/>
  <c r="G465" i="3"/>
  <c r="H465" i="3"/>
  <c r="G464" i="3"/>
  <c r="H464" i="3" s="1"/>
  <c r="G463" i="3"/>
  <c r="H463" i="3" s="1"/>
  <c r="G462" i="3"/>
  <c r="H462" i="3" s="1"/>
  <c r="G461" i="3"/>
  <c r="H461" i="3" s="1"/>
  <c r="G460" i="3"/>
  <c r="H460" i="3" s="1"/>
  <c r="G459" i="3"/>
  <c r="H459" i="3" s="1"/>
  <c r="G458" i="3"/>
  <c r="H458" i="3" s="1"/>
  <c r="G457" i="3"/>
  <c r="H457" i="3" s="1"/>
  <c r="G456" i="3"/>
  <c r="H456" i="3" s="1"/>
  <c r="G455" i="3"/>
  <c r="H455" i="3" s="1"/>
  <c r="G454" i="3"/>
  <c r="H454" i="3" s="1"/>
  <c r="G453" i="3"/>
  <c r="G452" i="3"/>
  <c r="H452" i="3" s="1"/>
  <c r="D451" i="3"/>
  <c r="G450" i="3"/>
  <c r="D449" i="3"/>
  <c r="G448" i="3"/>
  <c r="H448" i="3" s="1"/>
  <c r="G447" i="3"/>
  <c r="H447" i="3" s="1"/>
  <c r="G446" i="3"/>
  <c r="H446" i="3" s="1"/>
  <c r="G439" i="3"/>
  <c r="H439" i="3" s="1"/>
  <c r="G438" i="3"/>
  <c r="D437" i="3"/>
  <c r="G436" i="3"/>
  <c r="G435" i="3"/>
  <c r="H435" i="3" s="1"/>
  <c r="G434" i="3"/>
  <c r="H434" i="3" s="1"/>
  <c r="G433" i="3"/>
  <c r="H433" i="3" s="1"/>
  <c r="G432" i="3"/>
  <c r="H432" i="3" s="1"/>
  <c r="G431" i="3"/>
  <c r="H431" i="3" s="1"/>
  <c r="G430" i="3"/>
  <c r="H430" i="3" s="1"/>
  <c r="D429" i="3"/>
  <c r="G428" i="3"/>
  <c r="H428" i="3" s="1"/>
  <c r="G14" i="1" s="1"/>
  <c r="G427" i="3"/>
  <c r="H427" i="3" s="1"/>
  <c r="G426" i="3"/>
  <c r="H426" i="3" s="1"/>
  <c r="G425" i="3"/>
  <c r="H425" i="3" s="1"/>
  <c r="G424" i="3"/>
  <c r="H424" i="3" s="1"/>
  <c r="G423" i="3"/>
  <c r="H423" i="3" s="1"/>
  <c r="G422" i="3"/>
  <c r="H422" i="3"/>
  <c r="G421" i="3"/>
  <c r="H421" i="3" s="1"/>
  <c r="G420" i="3"/>
  <c r="H420" i="3" s="1"/>
  <c r="D419" i="3"/>
  <c r="G418" i="3"/>
  <c r="H418" i="3" s="1"/>
  <c r="G417" i="3"/>
  <c r="H417" i="3" s="1"/>
  <c r="G416" i="3"/>
  <c r="H416" i="3" s="1"/>
  <c r="G415" i="3"/>
  <c r="H415" i="3" s="1"/>
  <c r="G414" i="3"/>
  <c r="H414" i="3" s="1"/>
  <c r="G413" i="3"/>
  <c r="H413" i="3" s="1"/>
  <c r="G412" i="3"/>
  <c r="H412" i="3"/>
  <c r="G411" i="3"/>
  <c r="H411" i="3" s="1"/>
  <c r="G410" i="3"/>
  <c r="G409" i="3"/>
  <c r="H409" i="3" s="1"/>
  <c r="D408" i="3"/>
  <c r="G407" i="3"/>
  <c r="H407" i="3" s="1"/>
  <c r="G406" i="3"/>
  <c r="H406" i="3" s="1"/>
  <c r="G404" i="3"/>
  <c r="H404" i="3" s="1"/>
  <c r="G403" i="3"/>
  <c r="H403" i="3" s="1"/>
  <c r="G402" i="3"/>
  <c r="H402" i="3" s="1"/>
  <c r="G401" i="3"/>
  <c r="H401" i="3" s="1"/>
  <c r="D400" i="3"/>
  <c r="G398" i="3"/>
  <c r="H398" i="3" s="1"/>
  <c r="G397" i="3"/>
  <c r="H397" i="3" s="1"/>
  <c r="G396" i="3"/>
  <c r="H396" i="3" s="1"/>
  <c r="G395" i="3"/>
  <c r="H395" i="3" s="1"/>
  <c r="G394" i="3"/>
  <c r="H394" i="3" s="1"/>
  <c r="G393" i="3"/>
  <c r="H393" i="3" s="1"/>
  <c r="G392" i="3"/>
  <c r="H392" i="3" s="1"/>
  <c r="G391" i="3"/>
  <c r="H391" i="3" s="1"/>
  <c r="G390" i="3"/>
  <c r="H390" i="3" s="1"/>
  <c r="G389" i="3"/>
  <c r="H389" i="3"/>
  <c r="G388" i="3"/>
  <c r="H388" i="3" s="1"/>
  <c r="G387" i="3"/>
  <c r="H387" i="3" s="1"/>
  <c r="G386" i="3"/>
  <c r="H386" i="3" s="1"/>
  <c r="G385" i="3"/>
  <c r="H385" i="3" s="1"/>
  <c r="G384" i="3"/>
  <c r="H384" i="3" s="1"/>
  <c r="G383" i="3"/>
  <c r="H383" i="3" s="1"/>
  <c r="G382" i="3"/>
  <c r="H382" i="3" s="1"/>
  <c r="G381" i="3"/>
  <c r="H381" i="3" s="1"/>
  <c r="G380" i="3"/>
  <c r="D379" i="3"/>
  <c r="G378" i="3"/>
  <c r="G377" i="3" s="1"/>
  <c r="D377" i="3"/>
  <c r="G376" i="3"/>
  <c r="H376" i="3" s="1"/>
  <c r="G375" i="3"/>
  <c r="G374" i="3"/>
  <c r="H374" i="3" s="1"/>
  <c r="G367" i="3"/>
  <c r="H367" i="3" s="1"/>
  <c r="G366" i="3"/>
  <c r="H366" i="3" s="1"/>
  <c r="D365" i="3"/>
  <c r="G364" i="3"/>
  <c r="H364" i="3" s="1"/>
  <c r="G363" i="3"/>
  <c r="H363" i="3" s="1"/>
  <c r="G362" i="3"/>
  <c r="H362" i="3" s="1"/>
  <c r="G361" i="3"/>
  <c r="H361" i="3" s="1"/>
  <c r="G360" i="3"/>
  <c r="H360" i="3"/>
  <c r="G359" i="3"/>
  <c r="H359" i="3" s="1"/>
  <c r="G358" i="3"/>
  <c r="H358" i="3" s="1"/>
  <c r="D357" i="3"/>
  <c r="G356" i="3"/>
  <c r="H356" i="3" s="1"/>
  <c r="G13" i="1" s="1"/>
  <c r="G355" i="3"/>
  <c r="H355" i="3" s="1"/>
  <c r="G354" i="3"/>
  <c r="H354" i="3" s="1"/>
  <c r="G353" i="3"/>
  <c r="H353" i="3" s="1"/>
  <c r="G352" i="3"/>
  <c r="H352" i="3" s="1"/>
  <c r="G351" i="3"/>
  <c r="H351" i="3" s="1"/>
  <c r="G350" i="3"/>
  <c r="H350" i="3" s="1"/>
  <c r="G349" i="3"/>
  <c r="G348" i="3"/>
  <c r="H348" i="3" s="1"/>
  <c r="D347" i="3"/>
  <c r="G346" i="3"/>
  <c r="H346" i="3" s="1"/>
  <c r="G345" i="3"/>
  <c r="H345" i="3" s="1"/>
  <c r="G344" i="3"/>
  <c r="H344" i="3" s="1"/>
  <c r="G343" i="3"/>
  <c r="H343" i="3"/>
  <c r="G342" i="3"/>
  <c r="H342" i="3" s="1"/>
  <c r="G341" i="3"/>
  <c r="H341" i="3" s="1"/>
  <c r="G340" i="3"/>
  <c r="H340" i="3" s="1"/>
  <c r="G339" i="3"/>
  <c r="H339" i="3" s="1"/>
  <c r="G338" i="3"/>
  <c r="H338" i="3" s="1"/>
  <c r="G337" i="3"/>
  <c r="H337" i="3" s="1"/>
  <c r="D336" i="3"/>
  <c r="G335" i="3"/>
  <c r="H335" i="3" s="1"/>
  <c r="G334" i="3"/>
  <c r="G332" i="3"/>
  <c r="H332" i="3" s="1"/>
  <c r="G331" i="3"/>
  <c r="H331" i="3" s="1"/>
  <c r="G330" i="3"/>
  <c r="H330" i="3" s="1"/>
  <c r="G329" i="3"/>
  <c r="H329" i="3" s="1"/>
  <c r="D328" i="3"/>
  <c r="G326" i="3"/>
  <c r="H326" i="3" s="1"/>
  <c r="G325" i="3"/>
  <c r="H325" i="3" s="1"/>
  <c r="G324" i="3"/>
  <c r="H324" i="3" s="1"/>
  <c r="G323" i="3"/>
  <c r="H323" i="3"/>
  <c r="G322" i="3"/>
  <c r="H322" i="3" s="1"/>
  <c r="G321" i="3"/>
  <c r="H321" i="3" s="1"/>
  <c r="G320" i="3"/>
  <c r="H320" i="3" s="1"/>
  <c r="G319" i="3"/>
  <c r="H319" i="3" s="1"/>
  <c r="G318" i="3"/>
  <c r="H318" i="3" s="1"/>
  <c r="G317" i="3"/>
  <c r="H317" i="3"/>
  <c r="G316" i="3"/>
  <c r="H316" i="3" s="1"/>
  <c r="G315" i="3"/>
  <c r="H315" i="3" s="1"/>
  <c r="G314" i="3"/>
  <c r="H314" i="3" s="1"/>
  <c r="G313" i="3"/>
  <c r="H313" i="3" s="1"/>
  <c r="G312" i="3"/>
  <c r="H312" i="3" s="1"/>
  <c r="G311" i="3"/>
  <c r="H311" i="3" s="1"/>
  <c r="G310" i="3"/>
  <c r="H310" i="3" s="1"/>
  <c r="G309" i="3"/>
  <c r="H309" i="3" s="1"/>
  <c r="G308" i="3"/>
  <c r="H308" i="3" s="1"/>
  <c r="D307" i="3"/>
  <c r="G306" i="3"/>
  <c r="G305" i="3" s="1"/>
  <c r="D305" i="3"/>
  <c r="G304" i="3"/>
  <c r="H304" i="3" s="1"/>
  <c r="G303" i="3"/>
  <c r="H303" i="3" s="1"/>
  <c r="G302" i="3"/>
  <c r="H302" i="3" s="1"/>
  <c r="G295" i="3"/>
  <c r="G294" i="3"/>
  <c r="H294" i="3" s="1"/>
  <c r="D293" i="3"/>
  <c r="G292" i="3"/>
  <c r="H292" i="3" s="1"/>
  <c r="G291" i="3"/>
  <c r="H291" i="3"/>
  <c r="G290" i="3"/>
  <c r="H290" i="3" s="1"/>
  <c r="G289" i="3"/>
  <c r="H289" i="3"/>
  <c r="G288" i="3"/>
  <c r="H288" i="3" s="1"/>
  <c r="G287" i="3"/>
  <c r="H287" i="3" s="1"/>
  <c r="G286" i="3"/>
  <c r="H286" i="3" s="1"/>
  <c r="D285" i="3"/>
  <c r="G284" i="3"/>
  <c r="H284" i="3" s="1"/>
  <c r="G12" i="1" s="1"/>
  <c r="G283" i="3"/>
  <c r="H283" i="3" s="1"/>
  <c r="G282" i="3"/>
  <c r="H282" i="3" s="1"/>
  <c r="G281" i="3"/>
  <c r="H281" i="3" s="1"/>
  <c r="G280" i="3"/>
  <c r="H280" i="3" s="1"/>
  <c r="G279" i="3"/>
  <c r="H279" i="3" s="1"/>
  <c r="G278" i="3"/>
  <c r="H278" i="3" s="1"/>
  <c r="G277" i="3"/>
  <c r="H277" i="3" s="1"/>
  <c r="G276" i="3"/>
  <c r="D275" i="3"/>
  <c r="G274" i="3"/>
  <c r="H274" i="3" s="1"/>
  <c r="G273" i="3"/>
  <c r="H273" i="3" s="1"/>
  <c r="G272" i="3"/>
  <c r="H272" i="3" s="1"/>
  <c r="G271" i="3"/>
  <c r="H271" i="3" s="1"/>
  <c r="G270" i="3"/>
  <c r="H270" i="3" s="1"/>
  <c r="G269" i="3"/>
  <c r="H269" i="3" s="1"/>
  <c r="G268" i="3"/>
  <c r="G267" i="3"/>
  <c r="H267" i="3" s="1"/>
  <c r="G266" i="3"/>
  <c r="H266" i="3" s="1"/>
  <c r="G265" i="3"/>
  <c r="H265" i="3" s="1"/>
  <c r="G263" i="3"/>
  <c r="H263" i="3" s="1"/>
  <c r="G262" i="3"/>
  <c r="H262" i="3" s="1"/>
  <c r="D261" i="3"/>
  <c r="G260" i="3"/>
  <c r="H260" i="3" s="1"/>
  <c r="G259" i="3"/>
  <c r="H259" i="3" s="1"/>
  <c r="G258" i="3"/>
  <c r="G257" i="3"/>
  <c r="H257" i="3" s="1"/>
  <c r="D256" i="3"/>
  <c r="G254" i="3"/>
  <c r="H254" i="3" s="1"/>
  <c r="G253" i="3"/>
  <c r="H253" i="3" s="1"/>
  <c r="G252" i="3"/>
  <c r="H252" i="3" s="1"/>
  <c r="G251" i="3"/>
  <c r="H251" i="3" s="1"/>
  <c r="G250" i="3"/>
  <c r="H250" i="3" s="1"/>
  <c r="G249" i="3"/>
  <c r="H249" i="3" s="1"/>
  <c r="G248" i="3"/>
  <c r="H248" i="3" s="1"/>
  <c r="G247" i="3"/>
  <c r="H247" i="3" s="1"/>
  <c r="G246" i="3"/>
  <c r="H246" i="3" s="1"/>
  <c r="G245" i="3"/>
  <c r="H245" i="3" s="1"/>
  <c r="G244" i="3"/>
  <c r="H244" i="3" s="1"/>
  <c r="G243" i="3"/>
  <c r="H243" i="3" s="1"/>
  <c r="G242" i="3"/>
  <c r="H242" i="3" s="1"/>
  <c r="G241" i="3"/>
  <c r="H241" i="3" s="1"/>
  <c r="G240" i="3"/>
  <c r="H240" i="3" s="1"/>
  <c r="G239" i="3"/>
  <c r="H239" i="3" s="1"/>
  <c r="G238" i="3"/>
  <c r="H238" i="3" s="1"/>
  <c r="G237" i="3"/>
  <c r="G236" i="3"/>
  <c r="H236" i="3" s="1"/>
  <c r="D235" i="3"/>
  <c r="G234" i="3"/>
  <c r="G233" i="3" s="1"/>
  <c r="G232" i="3"/>
  <c r="H232" i="3" s="1"/>
  <c r="G231" i="3"/>
  <c r="H231" i="3" s="1"/>
  <c r="G230" i="3"/>
  <c r="H230" i="3" s="1"/>
  <c r="G223" i="3"/>
  <c r="G222" i="3"/>
  <c r="H222" i="3" s="1"/>
  <c r="D221" i="3"/>
  <c r="G220" i="3"/>
  <c r="H220" i="3" s="1"/>
  <c r="G219" i="3"/>
  <c r="H219" i="3" s="1"/>
  <c r="G218" i="3"/>
  <c r="H218" i="3" s="1"/>
  <c r="G217" i="3"/>
  <c r="H217" i="3" s="1"/>
  <c r="G216" i="3"/>
  <c r="G215" i="3"/>
  <c r="H215" i="3" s="1"/>
  <c r="G214" i="3"/>
  <c r="H214" i="3" s="1"/>
  <c r="D213" i="3"/>
  <c r="G212" i="3"/>
  <c r="H212" i="3" s="1"/>
  <c r="G11" i="1" s="1"/>
  <c r="G211" i="3"/>
  <c r="H211" i="3" s="1"/>
  <c r="G210" i="3"/>
  <c r="H210" i="3" s="1"/>
  <c r="G209" i="3"/>
  <c r="H209" i="3" s="1"/>
  <c r="G208" i="3"/>
  <c r="H208" i="3" s="1"/>
  <c r="G207" i="3"/>
  <c r="H207" i="3" s="1"/>
  <c r="G206" i="3"/>
  <c r="H206" i="3" s="1"/>
  <c r="G205" i="3"/>
  <c r="H205" i="3" s="1"/>
  <c r="G204" i="3"/>
  <c r="H204" i="3" s="1"/>
  <c r="D203" i="3"/>
  <c r="G202" i="3"/>
  <c r="H202" i="3" s="1"/>
  <c r="G200" i="3"/>
  <c r="H200" i="3" s="1"/>
  <c r="G199" i="3"/>
  <c r="H199" i="3" s="1"/>
  <c r="G198" i="3"/>
  <c r="H198" i="3" s="1"/>
  <c r="G197" i="3"/>
  <c r="H197" i="3" s="1"/>
  <c r="G196" i="3"/>
  <c r="H196" i="3" s="1"/>
  <c r="G195" i="3"/>
  <c r="H195" i="3" s="1"/>
  <c r="G194" i="3"/>
  <c r="H194" i="3" s="1"/>
  <c r="G193" i="3"/>
  <c r="H193" i="3" s="1"/>
  <c r="D192" i="3"/>
  <c r="G191" i="3"/>
  <c r="H191" i="3" s="1"/>
  <c r="G190" i="3"/>
  <c r="H190" i="3" s="1"/>
  <c r="D189" i="3"/>
  <c r="G188" i="3"/>
  <c r="H188" i="3" s="1"/>
  <c r="G187" i="3"/>
  <c r="H187" i="3" s="1"/>
  <c r="G186" i="3"/>
  <c r="H186" i="3" s="1"/>
  <c r="G185" i="3"/>
  <c r="H185" i="3" s="1"/>
  <c r="D184" i="3"/>
  <c r="G182" i="3"/>
  <c r="H182" i="3" s="1"/>
  <c r="G181" i="3"/>
  <c r="H181" i="3" s="1"/>
  <c r="G180" i="3"/>
  <c r="H180" i="3" s="1"/>
  <c r="G179" i="3"/>
  <c r="H179" i="3" s="1"/>
  <c r="G178" i="3"/>
  <c r="H178" i="3" s="1"/>
  <c r="G177" i="3"/>
  <c r="H177" i="3" s="1"/>
  <c r="G176" i="3"/>
  <c r="H176" i="3" s="1"/>
  <c r="G175" i="3"/>
  <c r="H175" i="3" s="1"/>
  <c r="G174" i="3"/>
  <c r="H174" i="3" s="1"/>
  <c r="G173" i="3"/>
  <c r="H173" i="3" s="1"/>
  <c r="G172" i="3"/>
  <c r="H172" i="3" s="1"/>
  <c r="G171" i="3"/>
  <c r="H171" i="3" s="1"/>
  <c r="G170" i="3"/>
  <c r="H170" i="3" s="1"/>
  <c r="G169" i="3"/>
  <c r="H169" i="3" s="1"/>
  <c r="G168" i="3"/>
  <c r="H168" i="3" s="1"/>
  <c r="G167" i="3"/>
  <c r="H167" i="3" s="1"/>
  <c r="G166" i="3"/>
  <c r="H166" i="3" s="1"/>
  <c r="G165" i="3"/>
  <c r="H165" i="3" s="1"/>
  <c r="G164" i="3"/>
  <c r="H164" i="3" s="1"/>
  <c r="D163" i="3"/>
  <c r="G162" i="3"/>
  <c r="D161" i="3"/>
  <c r="G160" i="3"/>
  <c r="H160" i="3" s="1"/>
  <c r="G159" i="3"/>
  <c r="H159" i="3" s="1"/>
  <c r="G158" i="3"/>
  <c r="H158" i="3" s="1"/>
  <c r="G151" i="3"/>
  <c r="H151" i="3" s="1"/>
  <c r="G150" i="3"/>
  <c r="G149" i="3" s="1"/>
  <c r="G148" i="3"/>
  <c r="H148" i="3" s="1"/>
  <c r="G147" i="3"/>
  <c r="H147" i="3" s="1"/>
  <c r="G146" i="3"/>
  <c r="H146" i="3" s="1"/>
  <c r="G145" i="3"/>
  <c r="H145" i="3" s="1"/>
  <c r="G144" i="3"/>
  <c r="H144" i="3" s="1"/>
  <c r="G143" i="3"/>
  <c r="H143" i="3" s="1"/>
  <c r="G142" i="3"/>
  <c r="H142" i="3" s="1"/>
  <c r="G140" i="3"/>
  <c r="H140" i="3" s="1"/>
  <c r="G10" i="1" s="1"/>
  <c r="G139" i="3"/>
  <c r="H139" i="3" s="1"/>
  <c r="G138" i="3"/>
  <c r="H138" i="3" s="1"/>
  <c r="G137" i="3"/>
  <c r="H137" i="3" s="1"/>
  <c r="G136" i="3"/>
  <c r="H136" i="3" s="1"/>
  <c r="G135" i="3"/>
  <c r="H135" i="3" s="1"/>
  <c r="G134" i="3"/>
  <c r="H134" i="3" s="1"/>
  <c r="G133" i="3"/>
  <c r="H133" i="3" s="1"/>
  <c r="G132" i="3"/>
  <c r="H132" i="3" s="1"/>
  <c r="D131" i="3"/>
  <c r="G130" i="3"/>
  <c r="H130" i="3" s="1"/>
  <c r="G129" i="3"/>
  <c r="H129" i="3" s="1"/>
  <c r="G128" i="3"/>
  <c r="H128" i="3" s="1"/>
  <c r="G127" i="3"/>
  <c r="H127" i="3" s="1"/>
  <c r="G126" i="3"/>
  <c r="H126" i="3" s="1"/>
  <c r="G125" i="3"/>
  <c r="H125" i="3" s="1"/>
  <c r="G124" i="3"/>
  <c r="H124" i="3" s="1"/>
  <c r="G123" i="3"/>
  <c r="H123" i="3" s="1"/>
  <c r="G122" i="3"/>
  <c r="H122" i="3" s="1"/>
  <c r="G121" i="3"/>
  <c r="H121" i="3" s="1"/>
  <c r="D120" i="3"/>
  <c r="G119" i="3"/>
  <c r="G118" i="3"/>
  <c r="H118" i="3" s="1"/>
  <c r="D117" i="3"/>
  <c r="G116" i="3"/>
  <c r="H116" i="3" s="1"/>
  <c r="G115" i="3"/>
  <c r="H115" i="3" s="1"/>
  <c r="G114" i="3"/>
  <c r="H114" i="3" s="1"/>
  <c r="G113" i="3"/>
  <c r="D112" i="3"/>
  <c r="G110" i="3"/>
  <c r="H110" i="3" s="1"/>
  <c r="G109" i="3"/>
  <c r="H109" i="3" s="1"/>
  <c r="G108" i="3"/>
  <c r="H108" i="3" s="1"/>
  <c r="G107" i="3"/>
  <c r="H107" i="3" s="1"/>
  <c r="G106" i="3"/>
  <c r="H106" i="3" s="1"/>
  <c r="G105" i="3"/>
  <c r="H105" i="3"/>
  <c r="G104" i="3"/>
  <c r="H104" i="3" s="1"/>
  <c r="G103" i="3"/>
  <c r="H103" i="3" s="1"/>
  <c r="G102" i="3"/>
  <c r="H102" i="3" s="1"/>
  <c r="G101" i="3"/>
  <c r="H101" i="3" s="1"/>
  <c r="G100" i="3"/>
  <c r="H100" i="3" s="1"/>
  <c r="G99" i="3"/>
  <c r="H99" i="3" s="1"/>
  <c r="G98" i="3"/>
  <c r="G97" i="3"/>
  <c r="H97" i="3"/>
  <c r="G96" i="3"/>
  <c r="H96" i="3" s="1"/>
  <c r="G95" i="3"/>
  <c r="H95" i="3" s="1"/>
  <c r="G94" i="3"/>
  <c r="H94" i="3" s="1"/>
  <c r="G93" i="3"/>
  <c r="H93" i="3" s="1"/>
  <c r="G92" i="3"/>
  <c r="H92" i="3" s="1"/>
  <c r="D91" i="3"/>
  <c r="G90" i="3"/>
  <c r="H90" i="3" s="1"/>
  <c r="H89" i="3" s="1"/>
  <c r="D89" i="3"/>
  <c r="G88" i="3"/>
  <c r="G87" i="3"/>
  <c r="H87" i="3"/>
  <c r="G86" i="3"/>
  <c r="H86" i="3" s="1"/>
  <c r="H81" i="3"/>
  <c r="H153" i="3" s="1"/>
  <c r="H225" i="3" s="1"/>
  <c r="H297" i="3" s="1"/>
  <c r="H369" i="3" s="1"/>
  <c r="H441" i="3" s="1"/>
  <c r="G79" i="3"/>
  <c r="H79" i="3" s="1"/>
  <c r="G78" i="3"/>
  <c r="H78" i="3" s="1"/>
  <c r="H77" i="3" s="1"/>
  <c r="D77" i="3"/>
  <c r="G76" i="3"/>
  <c r="H76" i="3" s="1"/>
  <c r="G75" i="3"/>
  <c r="H75" i="3" s="1"/>
  <c r="G74" i="3"/>
  <c r="H74" i="3" s="1"/>
  <c r="G73" i="3"/>
  <c r="H73" i="3" s="1"/>
  <c r="G72" i="3"/>
  <c r="H72" i="3" s="1"/>
  <c r="G71" i="3"/>
  <c r="H71" i="3" s="1"/>
  <c r="G70" i="3"/>
  <c r="D69" i="3"/>
  <c r="G68" i="3"/>
  <c r="H68" i="3" s="1"/>
  <c r="G9" i="1" s="1"/>
  <c r="G67" i="3"/>
  <c r="H67" i="3" s="1"/>
  <c r="G66" i="3"/>
  <c r="H66" i="3" s="1"/>
  <c r="G65" i="3"/>
  <c r="H65" i="3" s="1"/>
  <c r="G64" i="3"/>
  <c r="H64" i="3" s="1"/>
  <c r="G63" i="3"/>
  <c r="G62" i="3"/>
  <c r="H62" i="3" s="1"/>
  <c r="G61" i="3"/>
  <c r="H61" i="3" s="1"/>
  <c r="G60" i="3"/>
  <c r="H60" i="3" s="1"/>
  <c r="D59" i="3"/>
  <c r="G58" i="3"/>
  <c r="H58" i="3" s="1"/>
  <c r="G56" i="3"/>
  <c r="H56" i="3" s="1"/>
  <c r="G55" i="3"/>
  <c r="H55" i="3" s="1"/>
  <c r="G54" i="3"/>
  <c r="H54" i="3" s="1"/>
  <c r="G53" i="3"/>
  <c r="H53" i="3" s="1"/>
  <c r="G52" i="3"/>
  <c r="H52" i="3" s="1"/>
  <c r="G51" i="3"/>
  <c r="H51" i="3"/>
  <c r="G50" i="3"/>
  <c r="H50" i="3" s="1"/>
  <c r="G49" i="3"/>
  <c r="H49" i="3" s="1"/>
  <c r="D48" i="3"/>
  <c r="G47" i="3"/>
  <c r="H47" i="3" s="1"/>
  <c r="G46" i="3"/>
  <c r="H46" i="3" s="1"/>
  <c r="D45" i="3"/>
  <c r="G44" i="3"/>
  <c r="G43" i="3"/>
  <c r="H43" i="3"/>
  <c r="G42" i="3"/>
  <c r="H42" i="3" s="1"/>
  <c r="G41" i="3"/>
  <c r="H41" i="3" s="1"/>
  <c r="D40" i="3"/>
  <c r="G38" i="3"/>
  <c r="H38" i="3" s="1"/>
  <c r="G37" i="3"/>
  <c r="H37" i="3" s="1"/>
  <c r="G36" i="3"/>
  <c r="H36" i="3" s="1"/>
  <c r="G35" i="3"/>
  <c r="H35" i="3" s="1"/>
  <c r="G34" i="3"/>
  <c r="H34" i="3" s="1"/>
  <c r="G33" i="3"/>
  <c r="H33" i="3" s="1"/>
  <c r="G32" i="3"/>
  <c r="H32" i="3" s="1"/>
  <c r="G31" i="3"/>
  <c r="H31" i="3" s="1"/>
  <c r="G30" i="3"/>
  <c r="H30" i="3" s="1"/>
  <c r="G29" i="3"/>
  <c r="H29" i="3" s="1"/>
  <c r="G28" i="3"/>
  <c r="H28" i="3" s="1"/>
  <c r="G27" i="3"/>
  <c r="H27" i="3" s="1"/>
  <c r="G26" i="3"/>
  <c r="H26" i="3" s="1"/>
  <c r="G25" i="3"/>
  <c r="H25" i="3" s="1"/>
  <c r="G24" i="3"/>
  <c r="G23" i="3"/>
  <c r="H23" i="3" s="1"/>
  <c r="G22" i="3"/>
  <c r="H22" i="3" s="1"/>
  <c r="G21" i="3"/>
  <c r="H21" i="3" s="1"/>
  <c r="G20" i="3"/>
  <c r="H20" i="3" s="1"/>
  <c r="D19" i="3"/>
  <c r="G18" i="3"/>
  <c r="G17" i="3" s="1"/>
  <c r="D17" i="3"/>
  <c r="G16" i="3"/>
  <c r="G15" i="3"/>
  <c r="H15" i="3" s="1"/>
  <c r="G14" i="3"/>
  <c r="H14" i="3"/>
  <c r="D4" i="3"/>
  <c r="T37" i="2"/>
  <c r="S37" i="2"/>
  <c r="K37" i="2"/>
  <c r="T36" i="2"/>
  <c r="T35" i="2"/>
  <c r="O35" i="2"/>
  <c r="T34" i="2"/>
  <c r="S34" i="2"/>
  <c r="O34" i="2"/>
  <c r="Y33" i="2"/>
  <c r="T33" i="2"/>
  <c r="S33" i="2"/>
  <c r="Y32" i="2"/>
  <c r="Y31" i="2"/>
  <c r="Y30" i="2"/>
  <c r="Y29" i="2"/>
  <c r="Y27" i="2"/>
  <c r="T27" i="2"/>
  <c r="M27" i="2"/>
  <c r="Y26" i="2"/>
  <c r="T26" i="2"/>
  <c r="Y25" i="2"/>
  <c r="T25" i="2"/>
  <c r="M25" i="2"/>
  <c r="Y24" i="2"/>
  <c r="T24" i="2"/>
  <c r="M24" i="2"/>
  <c r="Y23" i="2"/>
  <c r="T23" i="2"/>
  <c r="S23" i="2"/>
  <c r="Y22" i="2"/>
  <c r="T22" i="2"/>
  <c r="S22" i="2"/>
  <c r="Y21" i="2"/>
  <c r="Y20" i="2"/>
  <c r="Y19" i="2"/>
  <c r="Y18" i="2"/>
  <c r="Y16" i="2"/>
  <c r="T16" i="2"/>
  <c r="K16" i="2"/>
  <c r="Y15" i="2"/>
  <c r="T15" i="2"/>
  <c r="K15" i="2"/>
  <c r="Y14" i="2"/>
  <c r="T14" i="2"/>
  <c r="K14" i="2"/>
  <c r="O14" i="2" s="1"/>
  <c r="Y13" i="2"/>
  <c r="T13" i="2"/>
  <c r="M13" i="2"/>
  <c r="Y12" i="2"/>
  <c r="T12" i="2"/>
  <c r="S12" i="2"/>
  <c r="G201" i="3"/>
  <c r="D149" i="3"/>
  <c r="H453" i="3"/>
  <c r="G161" i="3"/>
  <c r="H162" i="3"/>
  <c r="H161" i="3" s="1"/>
  <c r="E57" i="3"/>
  <c r="G57" i="3" s="1"/>
  <c r="H11" i="1" l="1"/>
  <c r="D43" i="12"/>
  <c r="G477" i="3"/>
  <c r="G372" i="3"/>
  <c r="G89" i="3"/>
  <c r="Q62" i="4"/>
  <c r="P12" i="10"/>
  <c r="H189" i="3"/>
  <c r="O37" i="2"/>
  <c r="J37" i="2"/>
  <c r="H306" i="3"/>
  <c r="H305" i="3" s="1"/>
  <c r="G228" i="3"/>
  <c r="G112" i="3"/>
  <c r="Y7" i="11"/>
  <c r="G12" i="3"/>
  <c r="H375" i="3"/>
  <c r="E43" i="12"/>
  <c r="G408" i="3"/>
  <c r="G357" i="3"/>
  <c r="H261" i="3"/>
  <c r="H378" i="3"/>
  <c r="H377" i="3" s="1"/>
  <c r="G405" i="3"/>
  <c r="G333" i="3"/>
  <c r="H405" i="3"/>
  <c r="H15" i="1"/>
  <c r="N62" i="4"/>
  <c r="M62" i="4" s="1"/>
  <c r="AA15" i="4" s="1"/>
  <c r="AH15" i="4" s="1"/>
  <c r="AI15" i="4" s="1"/>
  <c r="P62" i="4"/>
  <c r="O62" i="4" s="1"/>
  <c r="AE15" i="4"/>
  <c r="AL15" i="4" s="1"/>
  <c r="AM15" i="4" s="1"/>
  <c r="H501" i="3"/>
  <c r="Q36" i="2"/>
  <c r="R34" i="5"/>
  <c r="M23" i="2"/>
  <c r="M29" i="2" s="1"/>
  <c r="R21" i="5"/>
  <c r="M14" i="2"/>
  <c r="G30" i="1" s="1"/>
  <c r="G32" i="1" s="1"/>
  <c r="R12" i="5"/>
  <c r="R14" i="5"/>
  <c r="M16" i="2"/>
  <c r="Q16" i="2" s="1"/>
  <c r="M15" i="2"/>
  <c r="E20" i="7" s="1"/>
  <c r="H20" i="7" s="1"/>
  <c r="R13" i="5"/>
  <c r="R31" i="5"/>
  <c r="M33" i="2"/>
  <c r="F31" i="5" s="1"/>
  <c r="N31" i="5" s="1"/>
  <c r="AF15" i="4"/>
  <c r="H234" i="3"/>
  <c r="H233" i="3" s="1"/>
  <c r="G256" i="3"/>
  <c r="H113" i="3"/>
  <c r="H112" i="3" s="1"/>
  <c r="H365" i="3"/>
  <c r="G480" i="3"/>
  <c r="G77" i="3"/>
  <c r="H45" i="3"/>
  <c r="R24" i="5"/>
  <c r="H334" i="3"/>
  <c r="H333" i="3" s="1"/>
  <c r="H328" i="3"/>
  <c r="E46" i="12"/>
  <c r="G444" i="3"/>
  <c r="G264" i="3"/>
  <c r="H410" i="3"/>
  <c r="G501" i="3"/>
  <c r="Y55" i="11"/>
  <c r="AA55" i="11" s="1"/>
  <c r="E44" i="12"/>
  <c r="L25" i="5"/>
  <c r="N10" i="10"/>
  <c r="L39" i="6"/>
  <c r="C21" i="10"/>
  <c r="L12" i="6"/>
  <c r="K10" i="10"/>
  <c r="C10" i="10"/>
  <c r="I10" i="10"/>
  <c r="M10" i="10"/>
  <c r="G10" i="10"/>
  <c r="L10" i="10"/>
  <c r="E10" i="10"/>
  <c r="F10" i="10"/>
  <c r="H10" i="10"/>
  <c r="C32" i="10"/>
  <c r="D32" i="10"/>
  <c r="H32" i="10"/>
  <c r="L32" i="10"/>
  <c r="J32" i="10"/>
  <c r="K32" i="10"/>
  <c r="E32" i="10"/>
  <c r="I32" i="10"/>
  <c r="M32" i="10"/>
  <c r="F32" i="10"/>
  <c r="N32" i="10"/>
  <c r="G32" i="10"/>
  <c r="J10" i="10"/>
  <c r="D10" i="10"/>
  <c r="D41" i="7"/>
  <c r="G41" i="7" s="1"/>
  <c r="Q34" i="5"/>
  <c r="Q11" i="5"/>
  <c r="L13" i="2"/>
  <c r="L19" i="2" s="1"/>
  <c r="D27" i="7"/>
  <c r="G27" i="7" s="1"/>
  <c r="Q20" i="5"/>
  <c r="Q25" i="5"/>
  <c r="L27" i="2"/>
  <c r="P27" i="2" s="1"/>
  <c r="L14" i="2"/>
  <c r="D19" i="7" s="1"/>
  <c r="G19" i="7" s="1"/>
  <c r="Q12" i="5"/>
  <c r="Q14" i="5"/>
  <c r="L16" i="2"/>
  <c r="P16" i="2" s="1"/>
  <c r="Q23" i="5"/>
  <c r="L25" i="2"/>
  <c r="L31" i="2" s="1"/>
  <c r="Q32" i="5"/>
  <c r="E32" i="5"/>
  <c r="M32" i="5" s="1"/>
  <c r="D40" i="7"/>
  <c r="G40" i="7" s="1"/>
  <c r="Q33" i="5"/>
  <c r="Q21" i="5"/>
  <c r="L23" i="2"/>
  <c r="L29" i="2" s="1"/>
  <c r="Q22" i="5"/>
  <c r="L24" i="2"/>
  <c r="E22" i="5" s="1"/>
  <c r="M22" i="5" s="1"/>
  <c r="Q31" i="5"/>
  <c r="F90" i="1"/>
  <c r="F92" i="1" s="1"/>
  <c r="F93" i="1" s="1"/>
  <c r="Q13" i="5"/>
  <c r="L15" i="2"/>
  <c r="E13" i="5" s="1"/>
  <c r="M13" i="5" s="1"/>
  <c r="Q24" i="5"/>
  <c r="L26" i="2"/>
  <c r="P26" i="2" s="1"/>
  <c r="C29" i="7"/>
  <c r="F29" i="7" s="1"/>
  <c r="O24" i="2"/>
  <c r="C20" i="7"/>
  <c r="F20" i="7" s="1"/>
  <c r="O15" i="2"/>
  <c r="D21" i="5"/>
  <c r="L21" i="5" s="1"/>
  <c r="O23" i="2"/>
  <c r="K30" i="2"/>
  <c r="D28" i="5" s="1"/>
  <c r="L28" i="5" s="1"/>
  <c r="J16" i="2"/>
  <c r="O16" i="2"/>
  <c r="J27" i="2"/>
  <c r="C25" i="5" s="1"/>
  <c r="K25" i="5" s="1"/>
  <c r="O27" i="2"/>
  <c r="E62" i="1"/>
  <c r="E64" i="1" s="1"/>
  <c r="J26" i="2"/>
  <c r="N26" i="2" s="1"/>
  <c r="O26" i="2"/>
  <c r="C41" i="7"/>
  <c r="F41" i="7" s="1"/>
  <c r="O36" i="2"/>
  <c r="J24" i="2"/>
  <c r="C22" i="5" s="1"/>
  <c r="K22" i="5" s="1"/>
  <c r="E55" i="1"/>
  <c r="E57" i="1" s="1"/>
  <c r="E58" i="1" s="1"/>
  <c r="O22" i="2"/>
  <c r="M30" i="2"/>
  <c r="Q30" i="2" s="1"/>
  <c r="Q24" i="2"/>
  <c r="G65" i="1"/>
  <c r="G67" i="1" s="1"/>
  <c r="Q25" i="2"/>
  <c r="M32" i="2"/>
  <c r="E37" i="7" s="1"/>
  <c r="H37" i="7" s="1"/>
  <c r="Q26" i="2"/>
  <c r="E32" i="7"/>
  <c r="H32" i="7" s="1"/>
  <c r="Q27" i="2"/>
  <c r="E39" i="7"/>
  <c r="H39" i="7" s="1"/>
  <c r="Q34" i="2"/>
  <c r="F33" i="5"/>
  <c r="N33" i="5" s="1"/>
  <c r="Q35" i="2"/>
  <c r="E27" i="7"/>
  <c r="H27" i="7" s="1"/>
  <c r="Q22" i="2"/>
  <c r="M19" i="2"/>
  <c r="Q19" i="2" s="1"/>
  <c r="Q13" i="2"/>
  <c r="C28" i="7"/>
  <c r="F28" i="7" s="1"/>
  <c r="K29" i="2"/>
  <c r="O29" i="2" s="1"/>
  <c r="J23" i="2"/>
  <c r="C21" i="5" s="1"/>
  <c r="K21" i="5" s="1"/>
  <c r="J22" i="2"/>
  <c r="L20" i="5"/>
  <c r="D10" i="5"/>
  <c r="L10" i="5" s="1"/>
  <c r="D24" i="5"/>
  <c r="L24" i="5" s="1"/>
  <c r="E40" i="7"/>
  <c r="H40" i="7" s="1"/>
  <c r="F106" i="1"/>
  <c r="F107" i="1" s="1"/>
  <c r="E18" i="7"/>
  <c r="H18" i="7" s="1"/>
  <c r="E59" i="1"/>
  <c r="E61" i="1" s="1"/>
  <c r="C31" i="7"/>
  <c r="F31" i="7" s="1"/>
  <c r="G106" i="1"/>
  <c r="G107" i="1" s="1"/>
  <c r="G26" i="1"/>
  <c r="G27" i="1"/>
  <c r="G29" i="1" s="1"/>
  <c r="E68" i="1"/>
  <c r="E70" i="1" s="1"/>
  <c r="K32" i="2"/>
  <c r="O32" i="2" s="1"/>
  <c r="H42" i="7"/>
  <c r="F26" i="1"/>
  <c r="F22" i="5"/>
  <c r="N22" i="5" s="1"/>
  <c r="M18" i="2"/>
  <c r="G42" i="1" s="1"/>
  <c r="G62" i="1"/>
  <c r="G64" i="1" s="1"/>
  <c r="D17" i="7"/>
  <c r="G17" i="7" s="1"/>
  <c r="F23" i="5"/>
  <c r="N23" i="5" s="1"/>
  <c r="G94" i="1"/>
  <c r="G96" i="1" s="1"/>
  <c r="E10" i="5"/>
  <c r="M10" i="5" s="1"/>
  <c r="C42" i="7"/>
  <c r="F42" i="7" s="1"/>
  <c r="K21" i="2"/>
  <c r="E33" i="1"/>
  <c r="E35" i="1" s="1"/>
  <c r="L18" i="2"/>
  <c r="E17" i="7"/>
  <c r="H17" i="7" s="1"/>
  <c r="F10" i="5"/>
  <c r="N10" i="5" s="1"/>
  <c r="AD15" i="4"/>
  <c r="AC15" i="4"/>
  <c r="AJ15" i="4" s="1"/>
  <c r="AK15" i="4" s="1"/>
  <c r="G97" i="1"/>
  <c r="G99" i="1" s="1"/>
  <c r="F32" i="5"/>
  <c r="N32" i="5" s="1"/>
  <c r="G71" i="1"/>
  <c r="G73" i="1" s="1"/>
  <c r="F25" i="5"/>
  <c r="N25" i="5" s="1"/>
  <c r="E30" i="7"/>
  <c r="H30" i="7" s="1"/>
  <c r="M31" i="2"/>
  <c r="E29" i="7"/>
  <c r="H29" i="7" s="1"/>
  <c r="G55" i="1"/>
  <c r="G57" i="1" s="1"/>
  <c r="G58" i="1" s="1"/>
  <c r="F11" i="5"/>
  <c r="N11" i="5" s="1"/>
  <c r="E104" i="1"/>
  <c r="E106" i="1" s="1"/>
  <c r="E107" i="1" s="1"/>
  <c r="C40" i="7"/>
  <c r="F40" i="7" s="1"/>
  <c r="E71" i="1"/>
  <c r="E73" i="1" s="1"/>
  <c r="C32" i="7"/>
  <c r="F32" i="7" s="1"/>
  <c r="C27" i="7"/>
  <c r="F27" i="7" s="1"/>
  <c r="E36" i="1"/>
  <c r="E38" i="1" s="1"/>
  <c r="C21" i="7"/>
  <c r="F21" i="7" s="1"/>
  <c r="D14" i="5"/>
  <c r="L14" i="5" s="1"/>
  <c r="D183" i="3"/>
  <c r="H480" i="3"/>
  <c r="F75" i="10"/>
  <c r="E52" i="11"/>
  <c r="G379" i="3"/>
  <c r="G371" i="3" s="1"/>
  <c r="H380" i="3"/>
  <c r="H379" i="3" s="1"/>
  <c r="E65" i="1"/>
  <c r="K31" i="2"/>
  <c r="C30" i="7"/>
  <c r="F30" i="7" s="1"/>
  <c r="H88" i="3"/>
  <c r="G84" i="3"/>
  <c r="L29" i="6"/>
  <c r="N11" i="10"/>
  <c r="F36" i="1"/>
  <c r="F38" i="1" s="1"/>
  <c r="H419" i="3"/>
  <c r="H184" i="3"/>
  <c r="D47" i="12"/>
  <c r="D23" i="5"/>
  <c r="L23" i="5" s="1"/>
  <c r="D255" i="3"/>
  <c r="H150" i="3"/>
  <c r="H149" i="3" s="1"/>
  <c r="H76" i="10"/>
  <c r="J33" i="2"/>
  <c r="E90" i="1"/>
  <c r="J12" i="2"/>
  <c r="N12" i="2" s="1"/>
  <c r="K18" i="2"/>
  <c r="O18" i="2" s="1"/>
  <c r="C17" i="7"/>
  <c r="F17" i="7" s="1"/>
  <c r="E24" i="1"/>
  <c r="E26" i="1" s="1"/>
  <c r="G449" i="3"/>
  <c r="H450" i="3"/>
  <c r="H449" i="3" s="1"/>
  <c r="I43" i="10"/>
  <c r="L43" i="10"/>
  <c r="H43" i="10"/>
  <c r="G203" i="3"/>
  <c r="D65" i="10"/>
  <c r="K19" i="2"/>
  <c r="J13" i="2"/>
  <c r="N13" i="2" s="1"/>
  <c r="C18" i="7"/>
  <c r="F18" i="7" s="1"/>
  <c r="E27" i="1"/>
  <c r="E29" i="1" s="1"/>
  <c r="D11" i="5"/>
  <c r="L11" i="5" s="1"/>
  <c r="H237" i="3"/>
  <c r="H235" i="3" s="1"/>
  <c r="G235" i="3"/>
  <c r="H14" i="1"/>
  <c r="E76" i="10"/>
  <c r="N23" i="10"/>
  <c r="P23" i="10" s="1"/>
  <c r="D12" i="5"/>
  <c r="L12" i="5" s="1"/>
  <c r="C19" i="7"/>
  <c r="F19" i="7" s="1"/>
  <c r="E41" i="11"/>
  <c r="E44" i="11" s="1"/>
  <c r="G19" i="3"/>
  <c r="G11" i="3" s="1"/>
  <c r="H24" i="3"/>
  <c r="H19" i="3" s="1"/>
  <c r="K76" i="10"/>
  <c r="H258" i="3"/>
  <c r="H268" i="3"/>
  <c r="H264" i="3" s="1"/>
  <c r="J25" i="2"/>
  <c r="N25" i="2" s="1"/>
  <c r="O53" i="11"/>
  <c r="G141" i="3"/>
  <c r="D327" i="3"/>
  <c r="N21" i="10"/>
  <c r="C53" i="11"/>
  <c r="W17" i="11"/>
  <c r="G40" i="3"/>
  <c r="M21" i="10"/>
  <c r="H120" i="3"/>
  <c r="F9" i="1"/>
  <c r="H10" i="1"/>
  <c r="H65" i="10"/>
  <c r="G189" i="3"/>
  <c r="F65" i="10"/>
  <c r="D76" i="10"/>
  <c r="D13" i="5"/>
  <c r="L13" i="5" s="1"/>
  <c r="J15" i="2"/>
  <c r="G261" i="3"/>
  <c r="M41" i="11"/>
  <c r="M44" i="11" s="1"/>
  <c r="D22" i="5"/>
  <c r="L22" i="5" s="1"/>
  <c r="G365" i="3"/>
  <c r="G163" i="3"/>
  <c r="J21" i="10"/>
  <c r="K53" i="11"/>
  <c r="O17" i="11"/>
  <c r="O20" i="11" s="1"/>
  <c r="C76" i="10"/>
  <c r="H44" i="3"/>
  <c r="H40" i="3" s="1"/>
  <c r="D39" i="3"/>
  <c r="L137" i="6"/>
  <c r="H131" i="3"/>
  <c r="U41" i="11"/>
  <c r="N45" i="10"/>
  <c r="O45" i="10" s="1"/>
  <c r="F20" i="5"/>
  <c r="N20" i="5" s="1"/>
  <c r="H256" i="3"/>
  <c r="G300" i="3"/>
  <c r="G299" i="3" s="1"/>
  <c r="K21" i="10"/>
  <c r="E97" i="1"/>
  <c r="H141" i="3"/>
  <c r="Q48" i="10"/>
  <c r="N56" i="10"/>
  <c r="O56" i="10" s="1"/>
  <c r="L76" i="10"/>
  <c r="D33" i="5"/>
  <c r="L33" i="5" s="1"/>
  <c r="Q6" i="11"/>
  <c r="G45" i="3"/>
  <c r="G117" i="3"/>
  <c r="G213" i="3"/>
  <c r="H13" i="1"/>
  <c r="G400" i="3"/>
  <c r="Q26" i="10"/>
  <c r="D43" i="10"/>
  <c r="G347" i="3"/>
  <c r="G42" i="7"/>
  <c r="F21" i="10"/>
  <c r="M65" i="10"/>
  <c r="I17" i="11"/>
  <c r="I20" i="11" s="1"/>
  <c r="D111" i="3"/>
  <c r="H336" i="3"/>
  <c r="H276" i="3"/>
  <c r="H275" i="3" s="1"/>
  <c r="G275" i="3"/>
  <c r="N78" i="10"/>
  <c r="P78" i="10" s="1"/>
  <c r="O78" i="10"/>
  <c r="P67" i="10"/>
  <c r="J14" i="2"/>
  <c r="N14" i="2" s="1"/>
  <c r="K20" i="2"/>
  <c r="O20" i="2" s="1"/>
  <c r="F24" i="5"/>
  <c r="N24" i="5" s="1"/>
  <c r="E31" i="7"/>
  <c r="H31" i="7" s="1"/>
  <c r="G68" i="1"/>
  <c r="G70" i="1" s="1"/>
  <c r="H203" i="3"/>
  <c r="H216" i="3"/>
  <c r="H213" i="3" s="1"/>
  <c r="H436" i="3"/>
  <c r="H429" i="3" s="1"/>
  <c r="G429" i="3"/>
  <c r="H451" i="3"/>
  <c r="H307" i="3"/>
  <c r="H400" i="3"/>
  <c r="G91" i="3"/>
  <c r="H98" i="3"/>
  <c r="H91" i="3" s="1"/>
  <c r="F12" i="1"/>
  <c r="G437" i="3"/>
  <c r="H438" i="3"/>
  <c r="H437" i="3" s="1"/>
  <c r="G451" i="3"/>
  <c r="G16" i="1"/>
  <c r="D399" i="3"/>
  <c r="G184" i="3"/>
  <c r="G307" i="3"/>
  <c r="G59" i="3"/>
  <c r="H63" i="3"/>
  <c r="H59" i="3" s="1"/>
  <c r="F14" i="1"/>
  <c r="H408" i="3"/>
  <c r="G69" i="3"/>
  <c r="H70" i="3"/>
  <c r="H69" i="3" s="1"/>
  <c r="H163" i="3"/>
  <c r="F11" i="1"/>
  <c r="H223" i="3"/>
  <c r="H221" i="3" s="1"/>
  <c r="G221" i="3"/>
  <c r="AA43" i="11"/>
  <c r="G156" i="3"/>
  <c r="H12" i="1"/>
  <c r="O52" i="11"/>
  <c r="J75" i="10"/>
  <c r="W52" i="11"/>
  <c r="K75" i="10"/>
  <c r="Q52" i="11"/>
  <c r="K52" i="11"/>
  <c r="D75" i="10"/>
  <c r="S52" i="11"/>
  <c r="H75" i="10"/>
  <c r="C52" i="11"/>
  <c r="L75" i="10"/>
  <c r="I52" i="11"/>
  <c r="I75" i="10"/>
  <c r="M52" i="11"/>
  <c r="U52" i="11"/>
  <c r="Y52" i="11"/>
  <c r="G52" i="11"/>
  <c r="M75" i="10"/>
  <c r="G75" i="10"/>
  <c r="C75" i="10"/>
  <c r="E75" i="10"/>
  <c r="H357" i="3"/>
  <c r="E30" i="1"/>
  <c r="H119" i="3"/>
  <c r="H117" i="3" s="1"/>
  <c r="H349" i="3"/>
  <c r="H347" i="3" s="1"/>
  <c r="D48" i="12"/>
  <c r="G17" i="11"/>
  <c r="G20" i="11" s="1"/>
  <c r="U17" i="11"/>
  <c r="M17" i="11"/>
  <c r="M20" i="11" s="1"/>
  <c r="Y17" i="11"/>
  <c r="Q17" i="11"/>
  <c r="Q20" i="11" s="1"/>
  <c r="E17" i="11"/>
  <c r="E20" i="11" s="1"/>
  <c r="L43" i="6"/>
  <c r="G21" i="10"/>
  <c r="S17" i="11"/>
  <c r="D21" i="10"/>
  <c r="K17" i="11"/>
  <c r="K20" i="11" s="1"/>
  <c r="H21" i="10"/>
  <c r="L21" i="10"/>
  <c r="C17" i="11"/>
  <c r="E21" i="10"/>
  <c r="I21" i="10"/>
  <c r="C11" i="10"/>
  <c r="I6" i="11"/>
  <c r="W6" i="11"/>
  <c r="O6" i="11"/>
  <c r="L31" i="6"/>
  <c r="G6" i="11"/>
  <c r="U6" i="11"/>
  <c r="M6" i="11"/>
  <c r="E6" i="11"/>
  <c r="S6" i="11"/>
  <c r="K6" i="11"/>
  <c r="C6" i="11"/>
  <c r="Y6" i="11"/>
  <c r="D11" i="10"/>
  <c r="E11" i="10"/>
  <c r="O67" i="10"/>
  <c r="F15" i="1"/>
  <c r="I54" i="11"/>
  <c r="C77" i="10"/>
  <c r="W54" i="11"/>
  <c r="E77" i="10"/>
  <c r="F77" i="10" s="1"/>
  <c r="G77" i="10" s="1"/>
  <c r="H77" i="10" s="1"/>
  <c r="I77" i="10" s="1"/>
  <c r="J77" i="10" s="1"/>
  <c r="K77" i="10" s="1"/>
  <c r="L77" i="10" s="1"/>
  <c r="M77" i="10" s="1"/>
  <c r="N77" i="10" s="1"/>
  <c r="O54" i="11"/>
  <c r="O56" i="11" s="1"/>
  <c r="G54" i="11"/>
  <c r="U54" i="11"/>
  <c r="L155" i="6"/>
  <c r="M54" i="11"/>
  <c r="E54" i="11"/>
  <c r="Y54" i="11"/>
  <c r="Q54" i="11"/>
  <c r="S54" i="11"/>
  <c r="K54" i="11"/>
  <c r="C54" i="11"/>
  <c r="M76" i="10"/>
  <c r="I53" i="11"/>
  <c r="I56" i="11" s="1"/>
  <c r="W53" i="11"/>
  <c r="U53" i="11"/>
  <c r="M53" i="11"/>
  <c r="E53" i="11"/>
  <c r="L143" i="6"/>
  <c r="G53" i="11"/>
  <c r="S53" i="11"/>
  <c r="Y53" i="11"/>
  <c r="I76" i="10"/>
  <c r="Q53" i="11"/>
  <c r="F76" i="10"/>
  <c r="J76" i="10"/>
  <c r="N76" i="10"/>
  <c r="G76" i="10"/>
  <c r="J65" i="10"/>
  <c r="N65" i="10"/>
  <c r="E65" i="10"/>
  <c r="K65" i="10"/>
  <c r="I65" i="10"/>
  <c r="S41" i="11"/>
  <c r="K41" i="11"/>
  <c r="K44" i="11" s="1"/>
  <c r="W41" i="11"/>
  <c r="O41" i="11"/>
  <c r="O44" i="11" s="1"/>
  <c r="C41" i="11"/>
  <c r="Y41" i="11"/>
  <c r="L83" i="6"/>
  <c r="M81" i="6" s="1"/>
  <c r="D229" i="3" s="1"/>
  <c r="G41" i="11"/>
  <c r="G44" i="11" s="1"/>
  <c r="Q41" i="11"/>
  <c r="Q44" i="11" s="1"/>
  <c r="I41" i="11"/>
  <c r="I44" i="11" s="1"/>
  <c r="N43" i="10"/>
  <c r="M43" i="10"/>
  <c r="G43" i="10"/>
  <c r="K43" i="10"/>
  <c r="F43" i="10"/>
  <c r="C43" i="10"/>
  <c r="J43" i="10"/>
  <c r="E43" i="10"/>
  <c r="Y31" i="11"/>
  <c r="G31" i="11"/>
  <c r="E31" i="11"/>
  <c r="L71" i="6"/>
  <c r="C33" i="10"/>
  <c r="C31" i="11"/>
  <c r="N33" i="10"/>
  <c r="L123" i="6"/>
  <c r="M123" i="6" s="1"/>
  <c r="D373" i="3" s="1"/>
  <c r="L65" i="10"/>
  <c r="N55" i="10"/>
  <c r="C55" i="10"/>
  <c r="D34" i="5"/>
  <c r="L34" i="5" s="1"/>
  <c r="E100" i="1"/>
  <c r="H285" i="3"/>
  <c r="H476" i="3"/>
  <c r="H472" i="3" s="1"/>
  <c r="G472" i="3"/>
  <c r="G491" i="3"/>
  <c r="H492" i="3"/>
  <c r="H491" i="3" s="1"/>
  <c r="C38" i="7"/>
  <c r="F38" i="7" s="1"/>
  <c r="D31" i="5"/>
  <c r="L31" i="5" s="1"/>
  <c r="H295" i="3"/>
  <c r="H293" i="3" s="1"/>
  <c r="G293" i="3"/>
  <c r="H477" i="3"/>
  <c r="G336" i="3"/>
  <c r="C65" i="10"/>
  <c r="D35" i="5"/>
  <c r="L35" i="5" s="1"/>
  <c r="D32" i="5"/>
  <c r="L32" i="5" s="1"/>
  <c r="E94" i="1"/>
  <c r="C39" i="7"/>
  <c r="F39" i="7" s="1"/>
  <c r="H18" i="3"/>
  <c r="H17" i="3" s="1"/>
  <c r="H9" i="1"/>
  <c r="H510" i="3"/>
  <c r="H509" i="3" s="1"/>
  <c r="G509" i="3"/>
  <c r="H16" i="3"/>
  <c r="G131" i="3"/>
  <c r="G65" i="10"/>
  <c r="G285" i="3"/>
  <c r="G419" i="3"/>
  <c r="Y32" i="11"/>
  <c r="AA32" i="11" s="1"/>
  <c r="G120" i="3"/>
  <c r="D471" i="3"/>
  <c r="G328" i="3"/>
  <c r="E47" i="12"/>
  <c r="O34" i="10"/>
  <c r="U30" i="11"/>
  <c r="L53" i="6"/>
  <c r="L54" i="10"/>
  <c r="F54" i="10"/>
  <c r="I54" i="10"/>
  <c r="H54" i="10"/>
  <c r="M54" i="10"/>
  <c r="G54" i="10"/>
  <c r="N54" i="10"/>
  <c r="C54" i="10"/>
  <c r="M95" i="6"/>
  <c r="D301" i="3" s="1"/>
  <c r="D54" i="10"/>
  <c r="J54" i="10"/>
  <c r="K54" i="10"/>
  <c r="E54" i="10"/>
  <c r="O30" i="11"/>
  <c r="O33" i="11" s="1"/>
  <c r="E30" i="11"/>
  <c r="L55" i="6"/>
  <c r="W30" i="11"/>
  <c r="Q30" i="11"/>
  <c r="Q33" i="11" s="1"/>
  <c r="S30" i="11"/>
  <c r="M30" i="11"/>
  <c r="M33" i="11" s="1"/>
  <c r="G30" i="11"/>
  <c r="K30" i="11"/>
  <c r="K33" i="11" s="1"/>
  <c r="I30" i="11"/>
  <c r="I33" i="11" s="1"/>
  <c r="C30" i="11"/>
  <c r="Y30" i="11"/>
  <c r="AA7" i="11"/>
  <c r="I5" i="11"/>
  <c r="G5" i="11"/>
  <c r="E5" i="11"/>
  <c r="C5" i="11"/>
  <c r="U5" i="11"/>
  <c r="M5" i="11"/>
  <c r="S5" i="11"/>
  <c r="K5" i="11"/>
  <c r="W5" i="11"/>
  <c r="O5" i="11"/>
  <c r="Y5" i="11"/>
  <c r="Q5" i="11"/>
  <c r="H57" i="3"/>
  <c r="H48" i="3" s="1"/>
  <c r="G48" i="3"/>
  <c r="G192" i="3"/>
  <c r="H201" i="3"/>
  <c r="H192" i="3" s="1"/>
  <c r="G155" i="3" l="1"/>
  <c r="G227" i="3"/>
  <c r="F27" i="1"/>
  <c r="F29" i="1" s="1"/>
  <c r="N37" i="2"/>
  <c r="C35" i="5"/>
  <c r="D104" i="1"/>
  <c r="D106" i="1" s="1"/>
  <c r="D107" i="1" s="1"/>
  <c r="E99" i="1"/>
  <c r="H99" i="1"/>
  <c r="E96" i="1"/>
  <c r="H96" i="1"/>
  <c r="E102" i="1"/>
  <c r="H102" i="1"/>
  <c r="AB15" i="4"/>
  <c r="G83" i="3"/>
  <c r="E8" i="11"/>
  <c r="G443" i="3"/>
  <c r="F100" i="1"/>
  <c r="F102" i="1" s="1"/>
  <c r="F34" i="5"/>
  <c r="N34" i="5" s="1"/>
  <c r="G100" i="1"/>
  <c r="G102" i="1" s="1"/>
  <c r="G103" i="1" s="1"/>
  <c r="E41" i="7"/>
  <c r="H41" i="7" s="1"/>
  <c r="P36" i="2"/>
  <c r="E28" i="7"/>
  <c r="H28" i="7" s="1"/>
  <c r="F21" i="5"/>
  <c r="N21" i="5" s="1"/>
  <c r="E19" i="7"/>
  <c r="H19" i="7" s="1"/>
  <c r="E34" i="5"/>
  <c r="M34" i="5" s="1"/>
  <c r="F28" i="5"/>
  <c r="N28" i="5" s="1"/>
  <c r="E35" i="7"/>
  <c r="H35" i="7" s="1"/>
  <c r="G59" i="1"/>
  <c r="G61" i="1" s="1"/>
  <c r="D27" i="5"/>
  <c r="L27" i="5" s="1"/>
  <c r="C34" i="7"/>
  <c r="F34" i="7" s="1"/>
  <c r="C24" i="5"/>
  <c r="K24" i="5" s="1"/>
  <c r="F33" i="1"/>
  <c r="F35" i="1" s="1"/>
  <c r="M39" i="6"/>
  <c r="D85" i="3" s="1"/>
  <c r="D84" i="3" s="1"/>
  <c r="D83" i="3" s="1"/>
  <c r="G77" i="1"/>
  <c r="G79" i="1" s="1"/>
  <c r="E34" i="7"/>
  <c r="H34" i="7" s="1"/>
  <c r="Q23" i="2"/>
  <c r="M21" i="2"/>
  <c r="Q21" i="2" s="1"/>
  <c r="Q15" i="2"/>
  <c r="F13" i="5"/>
  <c r="N13" i="5" s="1"/>
  <c r="G33" i="1"/>
  <c r="G35" i="1" s="1"/>
  <c r="F97" i="1"/>
  <c r="F99" i="1" s="1"/>
  <c r="E33" i="5"/>
  <c r="M33" i="5" s="1"/>
  <c r="D32" i="7"/>
  <c r="G32" i="7" s="1"/>
  <c r="F68" i="1"/>
  <c r="F70" i="1" s="1"/>
  <c r="L20" i="2"/>
  <c r="E18" i="5" s="1"/>
  <c r="M18" i="5" s="1"/>
  <c r="P14" i="2"/>
  <c r="D68" i="1"/>
  <c r="D70" i="1" s="1"/>
  <c r="C35" i="7"/>
  <c r="F35" i="7" s="1"/>
  <c r="AS15" i="4"/>
  <c r="P22" i="2"/>
  <c r="F30" i="1"/>
  <c r="F32" i="1" s="1"/>
  <c r="F55" i="1"/>
  <c r="F57" i="1" s="1"/>
  <c r="F58" i="1" s="1"/>
  <c r="E12" i="5"/>
  <c r="M12" i="5" s="1"/>
  <c r="E20" i="5"/>
  <c r="M20" i="5" s="1"/>
  <c r="G39" i="3"/>
  <c r="G80" i="3" s="1"/>
  <c r="L30" i="2"/>
  <c r="P30" i="2" s="1"/>
  <c r="F12" i="5"/>
  <c r="N12" i="5" s="1"/>
  <c r="D39" i="7"/>
  <c r="G39" i="7" s="1"/>
  <c r="Q14" i="2"/>
  <c r="P13" i="2"/>
  <c r="F14" i="5"/>
  <c r="N14" i="5" s="1"/>
  <c r="H111" i="3"/>
  <c r="G90" i="1"/>
  <c r="G92" i="1" s="1"/>
  <c r="G93" i="1" s="1"/>
  <c r="E21" i="7"/>
  <c r="H21" i="7" s="1"/>
  <c r="Q33" i="2"/>
  <c r="F62" i="1"/>
  <c r="F64" i="1" s="1"/>
  <c r="E38" i="7"/>
  <c r="H38" i="7" s="1"/>
  <c r="P35" i="2"/>
  <c r="G36" i="1"/>
  <c r="G38" i="1" s="1"/>
  <c r="F13" i="1"/>
  <c r="G86" i="1"/>
  <c r="G88" i="1" s="1"/>
  <c r="M20" i="2"/>
  <c r="Q20" i="2" s="1"/>
  <c r="M11" i="6"/>
  <c r="Q56" i="11"/>
  <c r="G8" i="11"/>
  <c r="AQ15" i="4"/>
  <c r="F71" i="1"/>
  <c r="F73" i="1" s="1"/>
  <c r="D38" i="7"/>
  <c r="G38" i="7" s="1"/>
  <c r="P23" i="2"/>
  <c r="E24" i="5"/>
  <c r="M24" i="5" s="1"/>
  <c r="E31" i="5"/>
  <c r="M31" i="5" s="1"/>
  <c r="P34" i="2"/>
  <c r="D29" i="7"/>
  <c r="G29" i="7" s="1"/>
  <c r="L32" i="2"/>
  <c r="P32" i="2" s="1"/>
  <c r="E11" i="5"/>
  <c r="M11" i="5" s="1"/>
  <c r="E21" i="5"/>
  <c r="M21" i="5" s="1"/>
  <c r="F94" i="1"/>
  <c r="F96" i="1" s="1"/>
  <c r="D28" i="7"/>
  <c r="G28" i="7" s="1"/>
  <c r="P25" i="2"/>
  <c r="P15" i="2"/>
  <c r="P24" i="2"/>
  <c r="P19" i="2"/>
  <c r="E17" i="5"/>
  <c r="M17" i="5" s="1"/>
  <c r="D24" i="7"/>
  <c r="G24" i="7" s="1"/>
  <c r="P31" i="2"/>
  <c r="D36" i="7"/>
  <c r="G36" i="7" s="1"/>
  <c r="E29" i="5"/>
  <c r="M29" i="5" s="1"/>
  <c r="P29" i="2"/>
  <c r="D34" i="7"/>
  <c r="G34" i="7" s="1"/>
  <c r="E27" i="5"/>
  <c r="M27" i="5" s="1"/>
  <c r="E25" i="5"/>
  <c r="M25" i="5" s="1"/>
  <c r="F65" i="1"/>
  <c r="F67" i="1" s="1"/>
  <c r="D30" i="7"/>
  <c r="G30" i="7" s="1"/>
  <c r="D31" i="7"/>
  <c r="G31" i="7" s="1"/>
  <c r="D21" i="7"/>
  <c r="G21" i="7" s="1"/>
  <c r="D18" i="7"/>
  <c r="G18" i="7" s="1"/>
  <c r="L21" i="2"/>
  <c r="P21" i="2" s="1"/>
  <c r="E23" i="5"/>
  <c r="M23" i="5" s="1"/>
  <c r="D20" i="7"/>
  <c r="G20" i="7" s="1"/>
  <c r="F59" i="1"/>
  <c r="F61" i="1" s="1"/>
  <c r="P33" i="2"/>
  <c r="E14" i="5"/>
  <c r="M14" i="5" s="1"/>
  <c r="C13" i="5"/>
  <c r="K13" i="5" s="1"/>
  <c r="N15" i="2"/>
  <c r="D55" i="1"/>
  <c r="N22" i="2"/>
  <c r="E80" i="1"/>
  <c r="E82" i="1" s="1"/>
  <c r="O30" i="2"/>
  <c r="D36" i="1"/>
  <c r="D38" i="1" s="1"/>
  <c r="N16" i="2"/>
  <c r="C14" i="5"/>
  <c r="K14" i="5" s="1"/>
  <c r="E77" i="1"/>
  <c r="E79" i="1" s="1"/>
  <c r="D29" i="5"/>
  <c r="L29" i="5" s="1"/>
  <c r="O31" i="2"/>
  <c r="F45" i="1"/>
  <c r="F47" i="1" s="1"/>
  <c r="C24" i="7"/>
  <c r="F24" i="7" s="1"/>
  <c r="O19" i="2"/>
  <c r="G80" i="1"/>
  <c r="G82" i="1" s="1"/>
  <c r="F83" i="1"/>
  <c r="F85" i="1" s="1"/>
  <c r="C31" i="5"/>
  <c r="K31" i="5" s="1"/>
  <c r="N33" i="2"/>
  <c r="F77" i="1"/>
  <c r="F79" i="1" s="1"/>
  <c r="E51" i="1"/>
  <c r="E53" i="1" s="1"/>
  <c r="O21" i="2"/>
  <c r="D59" i="1"/>
  <c r="D61" i="1" s="1"/>
  <c r="N23" i="2"/>
  <c r="D62" i="1"/>
  <c r="D64" i="1" s="1"/>
  <c r="N24" i="2"/>
  <c r="D71" i="1"/>
  <c r="D73" i="1" s="1"/>
  <c r="N27" i="2"/>
  <c r="E24" i="7"/>
  <c r="H24" i="7" s="1"/>
  <c r="G45" i="1"/>
  <c r="G47" i="1" s="1"/>
  <c r="F27" i="5"/>
  <c r="N27" i="5" s="1"/>
  <c r="Q29" i="2"/>
  <c r="F30" i="5"/>
  <c r="N30" i="5" s="1"/>
  <c r="Q32" i="2"/>
  <c r="F17" i="5"/>
  <c r="N17" i="5" s="1"/>
  <c r="E36" i="7"/>
  <c r="H36" i="7" s="1"/>
  <c r="Q31" i="2"/>
  <c r="F16" i="5"/>
  <c r="N16" i="5" s="1"/>
  <c r="Q18" i="2"/>
  <c r="E16" i="5"/>
  <c r="M16" i="5" s="1"/>
  <c r="P18" i="2"/>
  <c r="D33" i="1"/>
  <c r="D35" i="1" s="1"/>
  <c r="C20" i="5"/>
  <c r="K20" i="5" s="1"/>
  <c r="E45" i="1"/>
  <c r="E47" i="1" s="1"/>
  <c r="D90" i="1"/>
  <c r="D92" i="1" s="1"/>
  <c r="D93" i="1" s="1"/>
  <c r="G83" i="1"/>
  <c r="G85" i="1" s="1"/>
  <c r="D30" i="5"/>
  <c r="L30" i="5" s="1"/>
  <c r="C37" i="7"/>
  <c r="F37" i="7" s="1"/>
  <c r="E86" i="1"/>
  <c r="E88" i="1" s="1"/>
  <c r="E23" i="7"/>
  <c r="H23" i="7" s="1"/>
  <c r="D23" i="7"/>
  <c r="G23" i="7" s="1"/>
  <c r="D19" i="5"/>
  <c r="L19" i="5" s="1"/>
  <c r="C26" i="7"/>
  <c r="F26" i="7" s="1"/>
  <c r="F29" i="5"/>
  <c r="N29" i="5" s="1"/>
  <c r="F42" i="1"/>
  <c r="AO15" i="4"/>
  <c r="I44" i="1"/>
  <c r="J44" i="1" s="1"/>
  <c r="E92" i="1"/>
  <c r="E93" i="1" s="1"/>
  <c r="C36" i="7"/>
  <c r="F36" i="7" s="1"/>
  <c r="P34" i="10"/>
  <c r="M8" i="11"/>
  <c r="Q8" i="11"/>
  <c r="K8" i="11"/>
  <c r="H39" i="3"/>
  <c r="E14" i="10" s="1"/>
  <c r="P45" i="10"/>
  <c r="P56" i="10"/>
  <c r="D16" i="5"/>
  <c r="L16" i="5" s="1"/>
  <c r="C23" i="7"/>
  <c r="F23" i="7" s="1"/>
  <c r="E42" i="1"/>
  <c r="G183" i="3"/>
  <c r="G224" i="3" s="1"/>
  <c r="M137" i="6"/>
  <c r="D445" i="3" s="1"/>
  <c r="H445" i="3" s="1"/>
  <c r="H327" i="3"/>
  <c r="D58" i="10" s="1"/>
  <c r="D24" i="1"/>
  <c r="C10" i="5"/>
  <c r="K10" i="5" s="1"/>
  <c r="D27" i="1"/>
  <c r="D29" i="1" s="1"/>
  <c r="I29" i="1" s="1"/>
  <c r="C11" i="5"/>
  <c r="K11" i="5" s="1"/>
  <c r="M56" i="11"/>
  <c r="I8" i="11"/>
  <c r="H16" i="1"/>
  <c r="D17" i="5"/>
  <c r="L17" i="5" s="1"/>
  <c r="O8" i="11"/>
  <c r="D65" i="1"/>
  <c r="D67" i="1" s="1"/>
  <c r="C23" i="5"/>
  <c r="K23" i="5" s="1"/>
  <c r="K56" i="11"/>
  <c r="E83" i="1"/>
  <c r="E85" i="1" s="1"/>
  <c r="E67" i="1"/>
  <c r="O23" i="10"/>
  <c r="G399" i="3"/>
  <c r="G440" i="3" s="1"/>
  <c r="H255" i="3"/>
  <c r="L47" i="10" s="1"/>
  <c r="G327" i="3"/>
  <c r="G368" i="3" s="1"/>
  <c r="O65" i="10"/>
  <c r="P65" i="10"/>
  <c r="AA53" i="11"/>
  <c r="E56" i="11"/>
  <c r="P75" i="10"/>
  <c r="O75" i="10"/>
  <c r="M53" i="6"/>
  <c r="D157" i="3" s="1"/>
  <c r="H157" i="3" s="1"/>
  <c r="D55" i="10"/>
  <c r="E55" i="10" s="1"/>
  <c r="E33" i="11"/>
  <c r="H373" i="3"/>
  <c r="D372" i="3"/>
  <c r="D371" i="3" s="1"/>
  <c r="D440" i="3" s="1"/>
  <c r="C44" i="11"/>
  <c r="AA41" i="11"/>
  <c r="E32" i="1"/>
  <c r="F10" i="1"/>
  <c r="H399" i="3"/>
  <c r="O43" i="10"/>
  <c r="P43" i="10"/>
  <c r="O76" i="10"/>
  <c r="O11" i="10"/>
  <c r="P11" i="10"/>
  <c r="P76" i="10"/>
  <c r="AA54" i="11"/>
  <c r="C56" i="11"/>
  <c r="AA6" i="11"/>
  <c r="G255" i="3"/>
  <c r="G296" i="3" s="1"/>
  <c r="H229" i="3"/>
  <c r="D228" i="3"/>
  <c r="D227" i="3" s="1"/>
  <c r="D296" i="3" s="1"/>
  <c r="G111" i="3"/>
  <c r="G152" i="3" s="1"/>
  <c r="G471" i="3"/>
  <c r="G512" i="3" s="1"/>
  <c r="D77" i="10"/>
  <c r="O77" i="10" s="1"/>
  <c r="G33" i="11"/>
  <c r="H183" i="3"/>
  <c r="K36" i="10" s="1"/>
  <c r="H471" i="3"/>
  <c r="AA17" i="11"/>
  <c r="C20" i="11"/>
  <c r="C25" i="7"/>
  <c r="F25" i="7" s="1"/>
  <c r="D18" i="5"/>
  <c r="L18" i="5" s="1"/>
  <c r="E48" i="1"/>
  <c r="E50" i="1" s="1"/>
  <c r="AA31" i="11"/>
  <c r="O21" i="10"/>
  <c r="P21" i="10"/>
  <c r="C12" i="5"/>
  <c r="K12" i="5" s="1"/>
  <c r="D30" i="1"/>
  <c r="D32" i="1" s="1"/>
  <c r="D33" i="10"/>
  <c r="E33" i="10" s="1"/>
  <c r="G56" i="11"/>
  <c r="AA52" i="11"/>
  <c r="O54" i="10"/>
  <c r="P54" i="10"/>
  <c r="H301" i="3"/>
  <c r="D300" i="3"/>
  <c r="D299" i="3" s="1"/>
  <c r="D368" i="3" s="1"/>
  <c r="C33" i="11"/>
  <c r="AA30" i="11"/>
  <c r="C8" i="11"/>
  <c r="AA5" i="11"/>
  <c r="H85" i="3" l="1"/>
  <c r="H103" i="1"/>
  <c r="C13" i="1" s="1"/>
  <c r="I106" i="1"/>
  <c r="I107" i="1" s="1"/>
  <c r="B14" i="1" s="1"/>
  <c r="H106" i="1"/>
  <c r="H107" i="1" s="1"/>
  <c r="I99" i="1"/>
  <c r="J99" i="1" s="1"/>
  <c r="E103" i="1"/>
  <c r="I102" i="1"/>
  <c r="J102" i="1" s="1"/>
  <c r="E25" i="7"/>
  <c r="H25" i="7" s="1"/>
  <c r="G48" i="1"/>
  <c r="G50" i="1" s="1"/>
  <c r="F103" i="1"/>
  <c r="F16" i="1"/>
  <c r="I70" i="1"/>
  <c r="I64" i="1"/>
  <c r="I96" i="1"/>
  <c r="J96" i="1" s="1"/>
  <c r="H70" i="1"/>
  <c r="I38" i="1"/>
  <c r="P77" i="10"/>
  <c r="I61" i="1"/>
  <c r="E26" i="7"/>
  <c r="H26" i="7" s="1"/>
  <c r="G51" i="1"/>
  <c r="G53" i="1" s="1"/>
  <c r="F19" i="5"/>
  <c r="N19" i="5" s="1"/>
  <c r="F18" i="5"/>
  <c r="N18" i="5" s="1"/>
  <c r="I35" i="1"/>
  <c r="I73" i="1"/>
  <c r="E30" i="5"/>
  <c r="M30" i="5" s="1"/>
  <c r="D35" i="7"/>
  <c r="G35" i="7" s="1"/>
  <c r="E28" i="5"/>
  <c r="M28" i="5" s="1"/>
  <c r="P20" i="2"/>
  <c r="D25" i="7"/>
  <c r="G25" i="7" s="1"/>
  <c r="F48" i="1"/>
  <c r="F50" i="1" s="1"/>
  <c r="H73" i="1"/>
  <c r="H38" i="1"/>
  <c r="H35" i="1"/>
  <c r="I79" i="1"/>
  <c r="J79" i="1" s="1"/>
  <c r="F80" i="1"/>
  <c r="F82" i="1" s="1"/>
  <c r="F89" i="1" s="1"/>
  <c r="D26" i="7"/>
  <c r="G26" i="7" s="1"/>
  <c r="G89" i="1"/>
  <c r="D152" i="3"/>
  <c r="E24" i="10"/>
  <c r="F24" i="10"/>
  <c r="M24" i="10"/>
  <c r="N24" i="10"/>
  <c r="D24" i="10"/>
  <c r="G24" i="10"/>
  <c r="H24" i="10"/>
  <c r="I24" i="10"/>
  <c r="J24" i="10"/>
  <c r="K24" i="10"/>
  <c r="L24" i="10"/>
  <c r="C24" i="10"/>
  <c r="H92" i="1"/>
  <c r="H93" i="1" s="1"/>
  <c r="C12" i="1" s="1"/>
  <c r="H61" i="1"/>
  <c r="E25" i="10"/>
  <c r="F25" i="10"/>
  <c r="K25" i="10"/>
  <c r="N25" i="10"/>
  <c r="C25" i="10"/>
  <c r="G25" i="10"/>
  <c r="H25" i="10"/>
  <c r="I25" i="10"/>
  <c r="J25" i="10"/>
  <c r="L25" i="10"/>
  <c r="M25" i="10"/>
  <c r="D25" i="10"/>
  <c r="O55" i="10"/>
  <c r="F86" i="1"/>
  <c r="F88" i="1" s="1"/>
  <c r="I88" i="1" s="1"/>
  <c r="J88" i="1" s="1"/>
  <c r="D37" i="7"/>
  <c r="G37" i="7" s="1"/>
  <c r="F51" i="1"/>
  <c r="F53" i="1" s="1"/>
  <c r="E19" i="5"/>
  <c r="M19" i="5" s="1"/>
  <c r="D57" i="1"/>
  <c r="H57" i="1"/>
  <c r="H58" i="1" s="1"/>
  <c r="C10" i="1" s="1"/>
  <c r="I47" i="1"/>
  <c r="J47" i="1" s="1"/>
  <c r="H64" i="1"/>
  <c r="I85" i="1"/>
  <c r="J85" i="1" s="1"/>
  <c r="E89" i="1"/>
  <c r="J106" i="1"/>
  <c r="J107" i="1" s="1"/>
  <c r="I92" i="1"/>
  <c r="I93" i="1" s="1"/>
  <c r="B12" i="1" s="1"/>
  <c r="F58" i="10"/>
  <c r="K58" i="10"/>
  <c r="G58" i="10"/>
  <c r="H67" i="1"/>
  <c r="I32" i="1"/>
  <c r="C14" i="10"/>
  <c r="F14" i="10"/>
  <c r="L14" i="10"/>
  <c r="D156" i="3"/>
  <c r="D155" i="3" s="1"/>
  <c r="D224" i="3" s="1"/>
  <c r="P33" i="10"/>
  <c r="L58" i="10"/>
  <c r="N58" i="10"/>
  <c r="K47" i="10"/>
  <c r="J47" i="10"/>
  <c r="E47" i="10"/>
  <c r="D47" i="10"/>
  <c r="H36" i="10"/>
  <c r="G36" i="10"/>
  <c r="N36" i="10"/>
  <c r="K14" i="10"/>
  <c r="M14" i="10"/>
  <c r="H14" i="10"/>
  <c r="G14" i="10"/>
  <c r="N14" i="10"/>
  <c r="I14" i="10"/>
  <c r="D14" i="10"/>
  <c r="J14" i="10"/>
  <c r="M36" i="10"/>
  <c r="J58" i="10"/>
  <c r="C47" i="10"/>
  <c r="H47" i="10"/>
  <c r="I58" i="10"/>
  <c r="O32" i="10"/>
  <c r="D444" i="3"/>
  <c r="D443" i="3" s="1"/>
  <c r="D512" i="3" s="1"/>
  <c r="M47" i="10"/>
  <c r="E58" i="10"/>
  <c r="C58" i="10"/>
  <c r="G47" i="10"/>
  <c r="I47" i="10"/>
  <c r="O33" i="10"/>
  <c r="M58" i="10"/>
  <c r="F47" i="10"/>
  <c r="H29" i="1"/>
  <c r="J29" i="1" s="1"/>
  <c r="H58" i="10"/>
  <c r="N47" i="10"/>
  <c r="I67" i="1"/>
  <c r="D89" i="1"/>
  <c r="H26" i="1"/>
  <c r="D26" i="1"/>
  <c r="F36" i="10"/>
  <c r="L36" i="10"/>
  <c r="E10" i="1"/>
  <c r="H84" i="3"/>
  <c r="H83" i="3" s="1"/>
  <c r="H152" i="3" s="1"/>
  <c r="I10" i="1" s="1"/>
  <c r="J10" i="1" s="1"/>
  <c r="H228" i="3"/>
  <c r="H227" i="3" s="1"/>
  <c r="E12" i="1"/>
  <c r="I36" i="10"/>
  <c r="G80" i="10"/>
  <c r="C80" i="10"/>
  <c r="D80" i="10"/>
  <c r="F80" i="10"/>
  <c r="H80" i="10"/>
  <c r="L80" i="10"/>
  <c r="N80" i="10"/>
  <c r="I80" i="10"/>
  <c r="K80" i="10"/>
  <c r="E80" i="10"/>
  <c r="J80" i="10"/>
  <c r="M80" i="10"/>
  <c r="D36" i="10"/>
  <c r="H32" i="1"/>
  <c r="P55" i="10"/>
  <c r="E14" i="1"/>
  <c r="H372" i="3"/>
  <c r="H371" i="3" s="1"/>
  <c r="E54" i="1"/>
  <c r="J36" i="10"/>
  <c r="P32" i="10"/>
  <c r="E15" i="1"/>
  <c r="H444" i="3"/>
  <c r="H443" i="3" s="1"/>
  <c r="K69" i="10"/>
  <c r="L69" i="10"/>
  <c r="D69" i="10"/>
  <c r="J69" i="10"/>
  <c r="C69" i="10"/>
  <c r="F69" i="10"/>
  <c r="G69" i="10"/>
  <c r="E69" i="10"/>
  <c r="I69" i="10"/>
  <c r="M69" i="10"/>
  <c r="H69" i="10"/>
  <c r="N69" i="10"/>
  <c r="E36" i="10"/>
  <c r="C36" i="10"/>
  <c r="E13" i="1"/>
  <c r="H300" i="3"/>
  <c r="H299" i="3" s="1"/>
  <c r="H156" i="3"/>
  <c r="H155" i="3" s="1"/>
  <c r="E11" i="1"/>
  <c r="P10" i="10"/>
  <c r="O10" i="10"/>
  <c r="D13" i="3"/>
  <c r="C14" i="1" l="1"/>
  <c r="D14" i="1" s="1"/>
  <c r="J64" i="10" s="1"/>
  <c r="J70" i="1"/>
  <c r="J103" i="1"/>
  <c r="J64" i="1"/>
  <c r="J73" i="1"/>
  <c r="J38" i="1"/>
  <c r="I103" i="1"/>
  <c r="B13" i="1" s="1"/>
  <c r="D13" i="1" s="1"/>
  <c r="M53" i="10" s="1"/>
  <c r="D12" i="1"/>
  <c r="H42" i="10" s="1"/>
  <c r="J61" i="1"/>
  <c r="I53" i="1"/>
  <c r="J53" i="1" s="1"/>
  <c r="J35" i="1"/>
  <c r="I50" i="1"/>
  <c r="J50" i="1" s="1"/>
  <c r="H89" i="1"/>
  <c r="C11" i="1" s="1"/>
  <c r="O25" i="10"/>
  <c r="O24" i="10"/>
  <c r="P25" i="10"/>
  <c r="D58" i="1"/>
  <c r="I57" i="1"/>
  <c r="J92" i="1"/>
  <c r="J93" i="1" s="1"/>
  <c r="F54" i="1"/>
  <c r="J67" i="1"/>
  <c r="I82" i="1"/>
  <c r="J82" i="1" s="1"/>
  <c r="G54" i="1"/>
  <c r="H54" i="1"/>
  <c r="C9" i="1" s="1"/>
  <c r="J32" i="1"/>
  <c r="O58" i="10"/>
  <c r="P47" i="10"/>
  <c r="O47" i="10"/>
  <c r="O14" i="10"/>
  <c r="P14" i="10"/>
  <c r="P58" i="10"/>
  <c r="O36" i="10"/>
  <c r="I26" i="1"/>
  <c r="D54" i="1"/>
  <c r="E68" i="10"/>
  <c r="M68" i="10"/>
  <c r="H440" i="3"/>
  <c r="I14" i="1" s="1"/>
  <c r="J14" i="1" s="1"/>
  <c r="I68" i="10"/>
  <c r="C68" i="10"/>
  <c r="N68" i="10"/>
  <c r="F68" i="10"/>
  <c r="J68" i="10"/>
  <c r="K68" i="10"/>
  <c r="H68" i="10"/>
  <c r="G68" i="10"/>
  <c r="D68" i="10"/>
  <c r="L68" i="10"/>
  <c r="H512" i="3"/>
  <c r="F79" i="10"/>
  <c r="F81" i="10" s="1"/>
  <c r="J79" i="10"/>
  <c r="J81" i="10" s="1"/>
  <c r="C79" i="10"/>
  <c r="D79" i="10"/>
  <c r="D81" i="10" s="1"/>
  <c r="H79" i="10"/>
  <c r="H81" i="10" s="1"/>
  <c r="N79" i="10"/>
  <c r="N81" i="10" s="1"/>
  <c r="L79" i="10"/>
  <c r="L81" i="10" s="1"/>
  <c r="K79" i="10"/>
  <c r="K81" i="10" s="1"/>
  <c r="E79" i="10"/>
  <c r="E81" i="10" s="1"/>
  <c r="I79" i="10"/>
  <c r="I81" i="10" s="1"/>
  <c r="M79" i="10"/>
  <c r="M81" i="10" s="1"/>
  <c r="G79" i="10"/>
  <c r="G81" i="10" s="1"/>
  <c r="O80" i="10"/>
  <c r="P80" i="10"/>
  <c r="P36" i="10"/>
  <c r="O69" i="10"/>
  <c r="P69" i="10"/>
  <c r="H296" i="3"/>
  <c r="H46" i="10"/>
  <c r="E46" i="10"/>
  <c r="F46" i="10"/>
  <c r="J46" i="10"/>
  <c r="N46" i="10"/>
  <c r="K46" i="10"/>
  <c r="C46" i="10"/>
  <c r="M46" i="10"/>
  <c r="L46" i="10"/>
  <c r="D46" i="10"/>
  <c r="G46" i="10"/>
  <c r="I46" i="10"/>
  <c r="H57" i="10"/>
  <c r="M57" i="10"/>
  <c r="G57" i="10"/>
  <c r="I57" i="10"/>
  <c r="L57" i="10"/>
  <c r="F57" i="10"/>
  <c r="K57" i="10"/>
  <c r="N57" i="10"/>
  <c r="E57" i="10"/>
  <c r="J57" i="10"/>
  <c r="C57" i="10"/>
  <c r="H368" i="3"/>
  <c r="I13" i="1" s="1"/>
  <c r="J13" i="1" s="1"/>
  <c r="D57" i="10"/>
  <c r="F35" i="10"/>
  <c r="K35" i="10"/>
  <c r="C35" i="10"/>
  <c r="N35" i="10"/>
  <c r="I35" i="10"/>
  <c r="L35" i="10"/>
  <c r="M35" i="10"/>
  <c r="J35" i="10"/>
  <c r="D35" i="10"/>
  <c r="E35" i="10"/>
  <c r="H35" i="10"/>
  <c r="G35" i="10"/>
  <c r="H224" i="3"/>
  <c r="H13" i="3"/>
  <c r="D12" i="3"/>
  <c r="D11" i="3" s="1"/>
  <c r="D80" i="3" s="1"/>
  <c r="N14" i="1" l="1"/>
  <c r="H64" i="10"/>
  <c r="I64" i="10"/>
  <c r="F64" i="10"/>
  <c r="F70" i="10" s="1"/>
  <c r="E64" i="10"/>
  <c r="E70" i="10" s="1"/>
  <c r="N64" i="10"/>
  <c r="N70" i="10" s="1"/>
  <c r="K64" i="10"/>
  <c r="K70" i="10" s="1"/>
  <c r="D64" i="10"/>
  <c r="D70" i="10" s="1"/>
  <c r="M64" i="10"/>
  <c r="M70" i="10" s="1"/>
  <c r="C64" i="10"/>
  <c r="C70" i="10" s="1"/>
  <c r="G64" i="10"/>
  <c r="G70" i="10" s="1"/>
  <c r="L64" i="10"/>
  <c r="L70" i="10" s="1"/>
  <c r="J70" i="10"/>
  <c r="H70" i="10"/>
  <c r="I70" i="10"/>
  <c r="O40" i="11"/>
  <c r="E42" i="10"/>
  <c r="M40" i="11"/>
  <c r="D42" i="10"/>
  <c r="D48" i="10" s="1"/>
  <c r="E40" i="11"/>
  <c r="U40" i="11"/>
  <c r="K40" i="11"/>
  <c r="G42" i="10"/>
  <c r="G48" i="10" s="1"/>
  <c r="S40" i="11"/>
  <c r="N42" i="10"/>
  <c r="N48" i="10" s="1"/>
  <c r="I42" i="10"/>
  <c r="I48" i="10" s="1"/>
  <c r="F42" i="10"/>
  <c r="F48" i="10" s="1"/>
  <c r="W40" i="11"/>
  <c r="G40" i="11"/>
  <c r="C42" i="10"/>
  <c r="C48" i="10" s="1"/>
  <c r="C40" i="11"/>
  <c r="K42" i="10"/>
  <c r="K48" i="10" s="1"/>
  <c r="L42" i="10"/>
  <c r="L48" i="10" s="1"/>
  <c r="Q40" i="11"/>
  <c r="Y40" i="11"/>
  <c r="M42" i="10"/>
  <c r="M48" i="10" s="1"/>
  <c r="J42" i="10"/>
  <c r="I40" i="11"/>
  <c r="L53" i="10"/>
  <c r="L59" i="10" s="1"/>
  <c r="K53" i="10"/>
  <c r="K59" i="10" s="1"/>
  <c r="N13" i="1"/>
  <c r="I53" i="10"/>
  <c r="I59" i="10" s="1"/>
  <c r="E53" i="10"/>
  <c r="E59" i="10" s="1"/>
  <c r="N53" i="10"/>
  <c r="N59" i="10" s="1"/>
  <c r="G53" i="10"/>
  <c r="G59" i="10" s="1"/>
  <c r="D53" i="10"/>
  <c r="D59" i="10" s="1"/>
  <c r="J53" i="10"/>
  <c r="J59" i="10" s="1"/>
  <c r="H53" i="10"/>
  <c r="H59" i="10" s="1"/>
  <c r="F53" i="10"/>
  <c r="F59" i="10" s="1"/>
  <c r="C53" i="10"/>
  <c r="C59" i="10" s="1"/>
  <c r="H48" i="10"/>
  <c r="C16" i="1"/>
  <c r="J89" i="1"/>
  <c r="I89" i="1"/>
  <c r="B11" i="1" s="1"/>
  <c r="D11" i="1" s="1"/>
  <c r="I31" i="10" s="1"/>
  <c r="I37" i="10" s="1"/>
  <c r="I58" i="1"/>
  <c r="B10" i="1" s="1"/>
  <c r="D10" i="1" s="1"/>
  <c r="J57" i="1"/>
  <c r="J58" i="1" s="1"/>
  <c r="E48" i="10"/>
  <c r="I54" i="1"/>
  <c r="B9" i="1" s="1"/>
  <c r="D9" i="1" s="1"/>
  <c r="J26" i="1"/>
  <c r="J54" i="1" s="1"/>
  <c r="I12" i="1"/>
  <c r="J12" i="1" s="1"/>
  <c r="N12" i="1" s="1"/>
  <c r="C45" i="11"/>
  <c r="U45" i="11"/>
  <c r="I45" i="11"/>
  <c r="Y45" i="11"/>
  <c r="E45" i="11"/>
  <c r="M45" i="11"/>
  <c r="K45" i="11"/>
  <c r="W45" i="11"/>
  <c r="G45" i="11"/>
  <c r="Q45" i="11"/>
  <c r="S45" i="11"/>
  <c r="O45" i="11"/>
  <c r="O68" i="10"/>
  <c r="P68" i="10"/>
  <c r="I15" i="1"/>
  <c r="J15" i="1" s="1"/>
  <c r="N15" i="1" s="1"/>
  <c r="C57" i="11"/>
  <c r="K57" i="11"/>
  <c r="K58" i="11" s="1"/>
  <c r="E57" i="11"/>
  <c r="E58" i="11" s="1"/>
  <c r="Y57" i="11"/>
  <c r="Y58" i="11" s="1"/>
  <c r="W57" i="11"/>
  <c r="W58" i="11" s="1"/>
  <c r="O57" i="11"/>
  <c r="O58" i="11" s="1"/>
  <c r="S57" i="11"/>
  <c r="S58" i="11" s="1"/>
  <c r="U57" i="11"/>
  <c r="U58" i="11" s="1"/>
  <c r="Q57" i="11"/>
  <c r="Q58" i="11" s="1"/>
  <c r="G57" i="11"/>
  <c r="G58" i="11" s="1"/>
  <c r="M57" i="11"/>
  <c r="M58" i="11" s="1"/>
  <c r="I57" i="11"/>
  <c r="I58" i="11" s="1"/>
  <c r="M59" i="10"/>
  <c r="P79" i="10"/>
  <c r="O79" i="10"/>
  <c r="C81" i="10"/>
  <c r="O81" i="10" s="1"/>
  <c r="W21" i="11"/>
  <c r="G21" i="11"/>
  <c r="U21" i="11"/>
  <c r="S21" i="11"/>
  <c r="K21" i="11"/>
  <c r="C21" i="11"/>
  <c r="Q21" i="11"/>
  <c r="I21" i="11"/>
  <c r="O21" i="11"/>
  <c r="Y21" i="11"/>
  <c r="E21" i="11"/>
  <c r="M21" i="11"/>
  <c r="P24" i="10"/>
  <c r="O46" i="10"/>
  <c r="P46" i="10"/>
  <c r="O57" i="10"/>
  <c r="P57" i="10"/>
  <c r="P35" i="10"/>
  <c r="O35" i="10"/>
  <c r="O34" i="11"/>
  <c r="G34" i="11"/>
  <c r="E34" i="11"/>
  <c r="M34" i="11"/>
  <c r="C34" i="11"/>
  <c r="W34" i="11"/>
  <c r="U34" i="11"/>
  <c r="K34" i="11"/>
  <c r="I11" i="1"/>
  <c r="J11" i="1" s="1"/>
  <c r="Y34" i="11"/>
  <c r="S34" i="11"/>
  <c r="Q34" i="11"/>
  <c r="I34" i="11"/>
  <c r="E9" i="1"/>
  <c r="H12" i="3"/>
  <c r="H11" i="3" s="1"/>
  <c r="O64" i="10" l="1"/>
  <c r="P64" i="10"/>
  <c r="U46" i="11"/>
  <c r="O46" i="11"/>
  <c r="O70" i="10"/>
  <c r="K46" i="11"/>
  <c r="M46" i="11"/>
  <c r="E46" i="11"/>
  <c r="P53" i="10"/>
  <c r="O53" i="10"/>
  <c r="S46" i="11"/>
  <c r="W46" i="11"/>
  <c r="G46" i="11"/>
  <c r="Y46" i="11"/>
  <c r="Q46" i="11"/>
  <c r="AA40" i="11"/>
  <c r="P42" i="10"/>
  <c r="P48" i="10" s="1"/>
  <c r="J48" i="10"/>
  <c r="O42" i="10"/>
  <c r="O48" i="10" s="1"/>
  <c r="I46" i="11"/>
  <c r="N11" i="1"/>
  <c r="U29" i="11"/>
  <c r="U35" i="11" s="1"/>
  <c r="W29" i="11"/>
  <c r="W35" i="11" s="1"/>
  <c r="I29" i="11"/>
  <c r="I35" i="11" s="1"/>
  <c r="K31" i="10"/>
  <c r="K37" i="10" s="1"/>
  <c r="N31" i="10"/>
  <c r="N37" i="10" s="1"/>
  <c r="L31" i="10"/>
  <c r="L37" i="10" s="1"/>
  <c r="E31" i="10"/>
  <c r="E37" i="10" s="1"/>
  <c r="E29" i="11"/>
  <c r="E35" i="11" s="1"/>
  <c r="G31" i="10"/>
  <c r="G37" i="10" s="1"/>
  <c r="K29" i="11"/>
  <c r="K35" i="11" s="1"/>
  <c r="Q29" i="11"/>
  <c r="Q35" i="11" s="1"/>
  <c r="M29" i="11"/>
  <c r="C31" i="10"/>
  <c r="C37" i="10" s="1"/>
  <c r="D31" i="10"/>
  <c r="D37" i="10" s="1"/>
  <c r="O29" i="11"/>
  <c r="O35" i="11" s="1"/>
  <c r="C29" i="11"/>
  <c r="C35" i="11" s="1"/>
  <c r="M31" i="10"/>
  <c r="M37" i="10" s="1"/>
  <c r="J31" i="10"/>
  <c r="J37" i="10" s="1"/>
  <c r="G29" i="11"/>
  <c r="G35" i="11" s="1"/>
  <c r="S29" i="11"/>
  <c r="S35" i="11" s="1"/>
  <c r="H31" i="10"/>
  <c r="H37" i="10" s="1"/>
  <c r="Y29" i="11"/>
  <c r="Y35" i="11" s="1"/>
  <c r="F31" i="10"/>
  <c r="F37" i="10" s="1"/>
  <c r="M16" i="11"/>
  <c r="M22" i="11" s="1"/>
  <c r="W16" i="11"/>
  <c r="W22" i="11" s="1"/>
  <c r="S16" i="11"/>
  <c r="S22" i="11" s="1"/>
  <c r="C20" i="10"/>
  <c r="U16" i="11"/>
  <c r="U22" i="11" s="1"/>
  <c r="K20" i="10"/>
  <c r="K26" i="10" s="1"/>
  <c r="Q16" i="11"/>
  <c r="Q22" i="11" s="1"/>
  <c r="J20" i="10"/>
  <c r="J26" i="10" s="1"/>
  <c r="O16" i="11"/>
  <c r="O22" i="11" s="1"/>
  <c r="C16" i="11"/>
  <c r="C22" i="11" s="1"/>
  <c r="G16" i="11"/>
  <c r="G22" i="11" s="1"/>
  <c r="I20" i="10"/>
  <c r="I26" i="10" s="1"/>
  <c r="I16" i="11"/>
  <c r="I22" i="11" s="1"/>
  <c r="D20" i="10"/>
  <c r="D26" i="10" s="1"/>
  <c r="E20" i="10"/>
  <c r="E26" i="10" s="1"/>
  <c r="K16" i="11"/>
  <c r="K22" i="11" s="1"/>
  <c r="G20" i="10"/>
  <c r="G26" i="10" s="1"/>
  <c r="H20" i="10"/>
  <c r="H26" i="10" s="1"/>
  <c r="Y16" i="11"/>
  <c r="Y22" i="11" s="1"/>
  <c r="F20" i="10"/>
  <c r="F26" i="10" s="1"/>
  <c r="M20" i="10"/>
  <c r="M26" i="10" s="1"/>
  <c r="L20" i="10"/>
  <c r="L26" i="10" s="1"/>
  <c r="N20" i="10"/>
  <c r="N26" i="10" s="1"/>
  <c r="E16" i="11"/>
  <c r="E22" i="11" s="1"/>
  <c r="N10" i="1"/>
  <c r="B16" i="1"/>
  <c r="O59" i="10"/>
  <c r="AA57" i="11"/>
  <c r="AA58" i="11" s="1"/>
  <c r="C58" i="11"/>
  <c r="AA21" i="11"/>
  <c r="AA45" i="11"/>
  <c r="C46" i="11"/>
  <c r="AA34" i="11"/>
  <c r="G13" i="10"/>
  <c r="H13" i="10"/>
  <c r="M13" i="10"/>
  <c r="K13" i="10"/>
  <c r="L13" i="10"/>
  <c r="C13" i="10"/>
  <c r="N13" i="10"/>
  <c r="I13" i="10"/>
  <c r="F13" i="10"/>
  <c r="J13" i="10"/>
  <c r="E13" i="10"/>
  <c r="D13" i="10"/>
  <c r="H80" i="3"/>
  <c r="E16" i="1"/>
  <c r="AA46" i="11" l="1"/>
  <c r="AA29" i="11"/>
  <c r="AA35" i="11" s="1"/>
  <c r="M35" i="11"/>
  <c r="O37" i="10"/>
  <c r="O31" i="10"/>
  <c r="P31" i="10"/>
  <c r="C26" i="10"/>
  <c r="P20" i="10"/>
  <c r="P26" i="10" s="1"/>
  <c r="O20" i="10"/>
  <c r="O26" i="10" s="1"/>
  <c r="AA16" i="11"/>
  <c r="AA22" i="11" s="1"/>
  <c r="I9" i="10"/>
  <c r="I15" i="10" s="1"/>
  <c r="K4" i="11"/>
  <c r="M9" i="10"/>
  <c r="M15" i="10" s="1"/>
  <c r="I4" i="11"/>
  <c r="K9" i="10"/>
  <c r="K15" i="10" s="1"/>
  <c r="Q4" i="11"/>
  <c r="N9" i="10"/>
  <c r="N15" i="10" s="1"/>
  <c r="S4" i="11"/>
  <c r="G9" i="10"/>
  <c r="G15" i="10" s="1"/>
  <c r="E4" i="11"/>
  <c r="H9" i="10"/>
  <c r="H15" i="10" s="1"/>
  <c r="C4" i="11"/>
  <c r="D9" i="10"/>
  <c r="D15" i="10" s="1"/>
  <c r="G4" i="11"/>
  <c r="L9" i="10"/>
  <c r="L15" i="10" s="1"/>
  <c r="O4" i="11"/>
  <c r="Y4" i="11"/>
  <c r="C9" i="10"/>
  <c r="F9" i="10"/>
  <c r="F15" i="10" s="1"/>
  <c r="E9" i="10"/>
  <c r="E15" i="10" s="1"/>
  <c r="W4" i="11"/>
  <c r="D16" i="1"/>
  <c r="U4" i="11"/>
  <c r="M4" i="11"/>
  <c r="J9" i="10"/>
  <c r="J15" i="10" s="1"/>
  <c r="P13" i="10"/>
  <c r="O13" i="10"/>
  <c r="M9" i="11"/>
  <c r="I9" i="1"/>
  <c r="C9" i="11"/>
  <c r="S9" i="11"/>
  <c r="O9" i="11"/>
  <c r="Q9" i="11"/>
  <c r="U9" i="11"/>
  <c r="G9" i="11"/>
  <c r="I9" i="11"/>
  <c r="Y9" i="11"/>
  <c r="W9" i="11"/>
  <c r="K9" i="11"/>
  <c r="E9" i="11"/>
  <c r="G10" i="11" l="1"/>
  <c r="S10" i="11"/>
  <c r="Q10" i="11"/>
  <c r="U10" i="11"/>
  <c r="Y10" i="11"/>
  <c r="AA4" i="11"/>
  <c r="O10" i="11"/>
  <c r="E10" i="11"/>
  <c r="W10" i="11"/>
  <c r="M10" i="11"/>
  <c r="K10" i="11"/>
  <c r="O9" i="10"/>
  <c r="O15" i="10" s="1"/>
  <c r="P9" i="10"/>
  <c r="I10" i="11"/>
  <c r="C15" i="10"/>
  <c r="AA9" i="11"/>
  <c r="C10" i="11"/>
  <c r="I16" i="1"/>
  <c r="J9" i="1"/>
  <c r="AA10" i="11" l="1"/>
  <c r="N9" i="1"/>
  <c r="N16" i="1" s="1"/>
  <c r="N19" i="1" s="1"/>
  <c r="J16" i="1"/>
  <c r="K9" i="1" l="1"/>
  <c r="K14" i="1"/>
  <c r="K11" i="1"/>
  <c r="K10" i="1"/>
  <c r="K12" i="1"/>
  <c r="K13" i="1"/>
  <c r="K15" i="1"/>
  <c r="L10" i="1" l="1"/>
  <c r="M10" i="1" s="1"/>
  <c r="L15" i="1"/>
  <c r="M15" i="1" s="1"/>
  <c r="L11" i="1"/>
  <c r="M11" i="1" s="1"/>
  <c r="L13" i="1"/>
  <c r="M13" i="1" s="1"/>
  <c r="L14" i="1"/>
  <c r="M14" i="1" s="1"/>
  <c r="L12" i="1"/>
  <c r="M12" i="1" s="1"/>
  <c r="K16" i="1"/>
  <c r="O9" i="1" s="1"/>
  <c r="L9" i="1"/>
  <c r="O12" i="1" l="1"/>
  <c r="O13" i="1"/>
  <c r="O15" i="1"/>
  <c r="M9" i="1"/>
  <c r="M16" i="1" s="1"/>
  <c r="M19" i="1" s="1"/>
  <c r="L16" i="1"/>
  <c r="O14" i="1"/>
  <c r="O11" i="1"/>
  <c r="O10" i="1"/>
  <c r="O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RR.HH ( CARMEN OBANDO )</author>
  </authors>
  <commentList>
    <comment ref="I6" authorId="0" shapeId="0" xr:uid="{8DB513C0-7304-40A1-9482-193260A49C35}">
      <text>
        <r>
          <rPr>
            <sz val="11"/>
            <color indexed="81"/>
            <rFont val="Tahoma"/>
            <family val="2"/>
          </rPr>
          <t>70% FARO EVANGELISTAS
30% FARO DUNGENESS</t>
        </r>
        <r>
          <rPr>
            <sz val="9"/>
            <color indexed="81"/>
            <rFont val="Tahoma"/>
            <family val="2"/>
          </rPr>
          <t xml:space="preserve">
</t>
        </r>
      </text>
    </comment>
    <comment ref="H15" authorId="0" shapeId="0" xr:uid="{62984777-D781-4EC5-A32B-9918CF1F47A1}">
      <text>
        <r>
          <rPr>
            <sz val="11"/>
            <color indexed="81"/>
            <rFont val="Tahoma"/>
            <family val="2"/>
          </rPr>
          <t>70% FARO EVANGELISTAS
30% FARO DUNGENESS</t>
        </r>
        <r>
          <rPr>
            <sz val="9"/>
            <color indexed="81"/>
            <rFont val="Tahoma"/>
            <family val="2"/>
          </rPr>
          <t xml:space="preserve">
</t>
        </r>
      </text>
    </comment>
    <comment ref="H56" authorId="0" shapeId="0" xr:uid="{DCF72A38-5678-4B78-982D-C592D091C5C6}">
      <text>
        <r>
          <rPr>
            <sz val="11"/>
            <color indexed="81"/>
            <rFont val="Tahoma"/>
            <family val="2"/>
          </rPr>
          <t>70% FARO EVANGELISTA
30% FARO DUNGENESS</t>
        </r>
        <r>
          <rPr>
            <b/>
            <sz val="9"/>
            <color indexed="81"/>
            <rFont val="Tahoma"/>
            <family val="2"/>
          </rPr>
          <t xml:space="preserve">
</t>
        </r>
      </text>
    </comment>
  </commentList>
</comments>
</file>

<file path=xl/sharedStrings.xml><?xml version="1.0" encoding="utf-8"?>
<sst xmlns="http://schemas.openxmlformats.org/spreadsheetml/2006/main" count="2010" uniqueCount="551">
  <si>
    <t>RESUMEN DE INGRESOS Y EGRESOS</t>
  </si>
  <si>
    <t>REPARTICION:</t>
  </si>
  <si>
    <t>BIENMAG</t>
  </si>
  <si>
    <t>TABLA 1: RESUMEN DE INGRESOS Y EGRESOS DE CENTROS DE BENEFICIOS</t>
  </si>
  <si>
    <t>Centro de Beneficio</t>
  </si>
  <si>
    <t>Ingreso por Ventas</t>
  </si>
  <si>
    <t>Ingresos por reintegro C.A.R.</t>
  </si>
  <si>
    <t>Ingresos Totales</t>
  </si>
  <si>
    <t>REMUNERACIONES</t>
  </si>
  <si>
    <t>CONS. BÁSICOS + MATERIALES DE ASEO</t>
  </si>
  <si>
    <t>SEGURO</t>
  </si>
  <si>
    <t>MANTENCIÓN</t>
  </si>
  <si>
    <t>COSTO OPERACIÓN</t>
  </si>
  <si>
    <t>COSTO DIRECTO TOTAL</t>
  </si>
  <si>
    <t xml:space="preserve">Costos Indirectos </t>
  </si>
  <si>
    <t>Egresos Totales</t>
  </si>
  <si>
    <t>Excedente</t>
  </si>
  <si>
    <t>R.O</t>
  </si>
  <si>
    <t>% Distribución Costo Indirecto</t>
  </si>
  <si>
    <t>RESTAURANTE "FARO EVANGELISTAS"</t>
  </si>
  <si>
    <t xml:space="preserve">TOTAL </t>
  </si>
  <si>
    <t>TABLA 2: DETALLE DE INGRESOS POR PRESTACIÓN Y SEGMENTO</t>
  </si>
  <si>
    <t>Centro de Costo</t>
  </si>
  <si>
    <t>Prestación</t>
  </si>
  <si>
    <t>Cálculo Ingreso</t>
  </si>
  <si>
    <t xml:space="preserve">Ingreso por reintegro C.A.R. </t>
  </si>
  <si>
    <t xml:space="preserve">Total Anual </t>
  </si>
  <si>
    <t>C.A.R.</t>
  </si>
  <si>
    <t>Segmento 1</t>
  </si>
  <si>
    <t>Segmento 2</t>
  </si>
  <si>
    <t>Segmento 3</t>
  </si>
  <si>
    <t>Meta Ocupación</t>
  </si>
  <si>
    <t>Ingreso anual</t>
  </si>
  <si>
    <t>Ingreso total anual</t>
  </si>
  <si>
    <t>HISTORICO INGRESOS ACUMULADO ANUAL</t>
  </si>
  <si>
    <t>CENTRO DE COSTOS</t>
  </si>
  <si>
    <t>CUENTA</t>
  </si>
  <si>
    <t>43101010200002 SERVICIO DE RESTORACION</t>
  </si>
  <si>
    <t>REAJUSTE DE TARIFAS Y METAS DE OCUPACIÓN POR CENTRO DE BENEFICIO</t>
  </si>
  <si>
    <t>TABLA 3: REAJUSTE DE TARIFAS POR PRESTACIÓN Y SEGMENTO</t>
  </si>
  <si>
    <t>TABLA 4: METAS DE OCUPACIÓN POR PRESTACIÓN Y SEGMENTO</t>
  </si>
  <si>
    <t>Reajuste propuesto</t>
  </si>
  <si>
    <t>Reajuste</t>
  </si>
  <si>
    <t>Total Ocupación</t>
  </si>
  <si>
    <t>CAR</t>
  </si>
  <si>
    <t>C.H. OFICIALES "FARO EVANGELISTAS"</t>
  </si>
  <si>
    <t>SINGLE</t>
  </si>
  <si>
    <t>DOBLE - MATRIMONIAL</t>
  </si>
  <si>
    <t>TRIPLE</t>
  </si>
  <si>
    <t>SUPERIOR MATRIMONIAL</t>
  </si>
  <si>
    <t>CAMA ADICIONAL</t>
  </si>
  <si>
    <t>Early check-in/Late check-out o uso por transito</t>
  </si>
  <si>
    <t>CABAÑAS TORRES DEL PAINE</t>
  </si>
  <si>
    <t>CABAÑA (6 PERS.)</t>
  </si>
  <si>
    <t>C.H. GENTE DE MAR "FARO DUNGENESS"</t>
  </si>
  <si>
    <t>CUADRUPLE</t>
  </si>
  <si>
    <t>CAMA / PERSONA ADICIONAL</t>
  </si>
  <si>
    <t>CABAÑAS RIO SAN JUAN</t>
  </si>
  <si>
    <t>CENTRO RECREATIVO</t>
  </si>
  <si>
    <t>SALA EVENTOS - QUINCHO BERMUDEZ</t>
  </si>
  <si>
    <t xml:space="preserve">ESTIMACION DE COSTOS DIRECTOS </t>
  </si>
  <si>
    <t>Número de Cuenta</t>
  </si>
  <si>
    <t>ítem de Gasto (según Plan de Cuenta Institucional)</t>
  </si>
  <si>
    <t>Costos Fijos</t>
  </si>
  <si>
    <t>Costos Variables</t>
  </si>
  <si>
    <t>DETALLE / OBSERVACIONES</t>
  </si>
  <si>
    <t>Costo Unitario Promedio</t>
  </si>
  <si>
    <t>Cantidad</t>
  </si>
  <si>
    <t>Total</t>
  </si>
  <si>
    <t>COSTOS DE OPERACIÓN</t>
  </si>
  <si>
    <t>REMUNERACIONES DIRECTAS</t>
  </si>
  <si>
    <t>REMUNERACIONES CÓDIGO DEL TRABAJO</t>
  </si>
  <si>
    <t>SUPLENCIAS Y REEMPLAZOS</t>
  </si>
  <si>
    <t>PERSONAL A TRATO Y TEMPORAL</t>
  </si>
  <si>
    <t>OTRAS REMUNERACIONES</t>
  </si>
  <si>
    <t>COSTOS DE MATERIALES DIRECTOS</t>
  </si>
  <si>
    <t>COSTO EXISTENCIAS VENDIDAS</t>
  </si>
  <si>
    <t>GASTO DE OPERACIÓN</t>
  </si>
  <si>
    <t>ALIMENTOS Y BEBIDAS</t>
  </si>
  <si>
    <t>TEXTILES Y ACABADOS TEXTILES</t>
  </si>
  <si>
    <t>COMBUSTIBLE LUBRIC P.VEHICULOS</t>
  </si>
  <si>
    <t>PARA CALEFACCION</t>
  </si>
  <si>
    <t>PRODUCTOS QUIMICOS</t>
  </si>
  <si>
    <t>MAT.P/MATEN.Y REPARACION</t>
  </si>
  <si>
    <t>EQUIPOS MENORES</t>
  </si>
  <si>
    <t>ELECTRICIDAD</t>
  </si>
  <si>
    <t>AGUA</t>
  </si>
  <si>
    <t>GAS</t>
  </si>
  <si>
    <t>TELEFONIA FIJA</t>
  </si>
  <si>
    <t>TELEFONIA CELULAR</t>
  </si>
  <si>
    <t>ACCESO A INTERNET</t>
  </si>
  <si>
    <t>SERVICIOS DE ASEO</t>
  </si>
  <si>
    <t>PASAJES, FLETES Y BODEGAJE</t>
  </si>
  <si>
    <t>SERVICIO DE SUSCRIPCION</t>
  </si>
  <si>
    <t>SERVICIOS INFORMATICOS</t>
  </si>
  <si>
    <t>GASTOS MENORES (FOFI)</t>
  </si>
  <si>
    <t>MAQUINAS Y EQUIPOS DE OFICINA</t>
  </si>
  <si>
    <t>GASTOS DE ADMINISTRACIÓN Y VENTAS</t>
  </si>
  <si>
    <t>GASTO EN PERSONAL</t>
  </si>
  <si>
    <t>VESTUARIO ACC.Y PRENDAS DIVERS</t>
  </si>
  <si>
    <t>CALZADO</t>
  </si>
  <si>
    <t>CURSOS DE CAPACITACION</t>
  </si>
  <si>
    <t>VIATICOS PERSONAL COD.TRABAJO</t>
  </si>
  <si>
    <t>CONSUMOS BÁSICOS</t>
  </si>
  <si>
    <t>ENLACES DE TELECOMUNICACIONES</t>
  </si>
  <si>
    <t>OTROS SERVICIOS BASICOS</t>
  </si>
  <si>
    <t>BIENES DE CONSUMO</t>
  </si>
  <si>
    <t>COMB.LUBR.DIRECTOS-INDIRECTOS</t>
  </si>
  <si>
    <t>MATERIALES DE OFICINA</t>
  </si>
  <si>
    <t>PROD.QUIMIC,FARMACEUTICOS IND.</t>
  </si>
  <si>
    <t>FERT.INSECT.FUNG.Y OTROS</t>
  </si>
  <si>
    <t>MATERIALES Y UTILES DE ASEO</t>
  </si>
  <si>
    <t>MENAJE OFICINA CASINO Y OTROS</t>
  </si>
  <si>
    <t>MOBILIARIO Y OTROS</t>
  </si>
  <si>
    <t>EQUIPOS COMPUTACIONALES</t>
  </si>
  <si>
    <t>COSTO SERVICIO DESAYUNO</t>
  </si>
  <si>
    <t>COSTOS DE TEXT. VEST,O PRENDAS</t>
  </si>
  <si>
    <t>SERVICIOS GENERALES</t>
  </si>
  <si>
    <t>SERVICIO DE PUBLICIDAD</t>
  </si>
  <si>
    <t>SERVICIO DE IMPRESION</t>
  </si>
  <si>
    <t>SERVICIOS DE VIGILANCIA</t>
  </si>
  <si>
    <t>OTROS SERVICIOS GENERALES</t>
  </si>
  <si>
    <t>ARRIENDO DE TERRENOS</t>
  </si>
  <si>
    <t>ARRIENDO DE MOBILIARIO Y OTROS</t>
  </si>
  <si>
    <t>ARRIENDO DE MAQUINAS Y EQUIPOS</t>
  </si>
  <si>
    <t>OTROS ARRIENDOS</t>
  </si>
  <si>
    <t>SEGURO INMUEBLES</t>
  </si>
  <si>
    <t>MANTENCIÓN Y REPARACIÓN</t>
  </si>
  <si>
    <t>MANT.Y REPAR. MOBILIARIO Y OTROS</t>
  </si>
  <si>
    <t>MANT.Y REPAR. DE EQUIPOS OFICINA</t>
  </si>
  <si>
    <t>MANT.Y REPAR. OTRAS MAQ. Y EQUIP.</t>
  </si>
  <si>
    <t>MANT.Y REPAR. EQUIPOS INFORMATICOS</t>
  </si>
  <si>
    <t>OTROS MANTEN. Y REPAR. MENORES</t>
  </si>
  <si>
    <t>SERVICIO DE MANTENCION JARDINES</t>
  </si>
  <si>
    <t>OTROS GASTOS IMPREVISTOS</t>
  </si>
  <si>
    <t>OTROS GASTOS</t>
  </si>
  <si>
    <t>COMISIONES TRANSBANK</t>
  </si>
  <si>
    <t>OTROS MATERIALES DE USO CONSUMO</t>
  </si>
  <si>
    <t>ANEXO D</t>
  </si>
  <si>
    <t>D) COSTOS INDIRECTOS ASISTENCIA EDUCACIONAL</t>
  </si>
  <si>
    <t>Unidades de Apoyo Administrativo</t>
  </si>
  <si>
    <t>Nombre</t>
  </si>
  <si>
    <t>Apellido</t>
  </si>
  <si>
    <t>Ocupación / Cargo</t>
  </si>
  <si>
    <t>ASISTENCIA RECREATIVA</t>
  </si>
  <si>
    <t>ASISTENCIA EDUCACIONAL</t>
  </si>
  <si>
    <t>ASISTENCIA COMERCIAL</t>
  </si>
  <si>
    <t>Tiempo Total</t>
  </si>
  <si>
    <t>Costo Total Empresa</t>
  </si>
  <si>
    <t>Total Bonos anual</t>
  </si>
  <si>
    <t>Total Aguinaldos anual</t>
  </si>
  <si>
    <t>% tiempo</t>
  </si>
  <si>
    <t>$ Costo</t>
  </si>
  <si>
    <t>$ Costo Total</t>
  </si>
  <si>
    <t>$Costo Total</t>
  </si>
  <si>
    <t>ADMINISTRACIÓN CENTRAL</t>
  </si>
  <si>
    <t>Departamento de Finanzas y Abastecimiento</t>
  </si>
  <si>
    <t>Departamento de RR.HH.</t>
  </si>
  <si>
    <t>Departamento de Informática</t>
  </si>
  <si>
    <t>MAT.Y UTILES DE ASEO</t>
  </si>
  <si>
    <t>AREA RECREATIVA</t>
  </si>
  <si>
    <t>Asistencia Recreativa</t>
  </si>
  <si>
    <t>|</t>
  </si>
  <si>
    <t>COSTO  TOTAL</t>
  </si>
  <si>
    <t>RESUMEN DE TARIFADO</t>
  </si>
  <si>
    <t>Reajuste en pesos ($)</t>
  </si>
  <si>
    <t xml:space="preserve">Reajuste en porcentaje (%) </t>
  </si>
  <si>
    <t>Seg. 1</t>
  </si>
  <si>
    <t>Seg. 2</t>
  </si>
  <si>
    <t>Seg. 3</t>
  </si>
  <si>
    <t>Early check in/Late check out/Uso en transito</t>
  </si>
  <si>
    <t>REMUNERACIONES DEL PERSONAL CÓDIGO DEL TRABAJO</t>
  </si>
  <si>
    <t>Tipo Personal</t>
  </si>
  <si>
    <t>Costo Total Remuneraciones por Centro de Beneficio</t>
  </si>
  <si>
    <t>Personal Permanente</t>
  </si>
  <si>
    <t>Personal No Permanente
(Estival)</t>
  </si>
  <si>
    <t>COMPARACIÓN TARIFAS CON PRECIOS DE MERCADO</t>
  </si>
  <si>
    <r>
      <t xml:space="preserve">Con el objeto de medir comparativamente el bienestar otorgado al personal de la Armada por el Area Recreativa, es necesario recabar antecedentes comparativos que permitan cuantificar las alternativas de precios que ofrece el mercado </t>
    </r>
    <r>
      <rPr>
        <b/>
        <u/>
        <sz val="10"/>
        <rFont val="Arial"/>
        <family val="2"/>
      </rPr>
      <t>dentro de la misma comuna en la que se encuentran los Centros Recreativos de su Repartición</t>
    </r>
    <r>
      <rPr>
        <sz val="11"/>
        <color theme="1"/>
        <rFont val="Calibri"/>
        <family val="2"/>
        <scheme val="minor"/>
      </rPr>
      <t xml:space="preserve">. Este cuadro comparativo debe ser completado con, </t>
    </r>
    <r>
      <rPr>
        <b/>
        <u/>
        <sz val="10"/>
        <rFont val="Arial"/>
        <family val="2"/>
      </rPr>
      <t>AL MENOS</t>
    </r>
    <r>
      <rPr>
        <sz val="11"/>
        <color theme="1"/>
        <rFont val="Calibri"/>
        <family val="2"/>
        <scheme val="minor"/>
      </rPr>
      <t xml:space="preserve">, dos instituciones públicas o privadas </t>
    </r>
    <r>
      <rPr>
        <b/>
        <u/>
        <sz val="10"/>
        <rFont val="Arial"/>
        <family val="2"/>
      </rPr>
      <t>que puedan considerarse como principal competencias directas</t>
    </r>
    <r>
      <rPr>
        <sz val="11"/>
        <color theme="1"/>
        <rFont val="Calibri"/>
        <family val="2"/>
        <scheme val="minor"/>
      </rPr>
      <t xml:space="preserve"> y que otorguen </t>
    </r>
    <r>
      <rPr>
        <b/>
        <u/>
        <sz val="10"/>
        <rFont val="Arial"/>
        <family val="2"/>
      </rPr>
      <t>prestaciones de calidad igual o similar</t>
    </r>
    <r>
      <rPr>
        <sz val="11"/>
        <color theme="1"/>
        <rFont val="Calibri"/>
        <family val="2"/>
        <scheme val="minor"/>
      </rPr>
      <t xml:space="preserve"> a las brindadas por las instalaciones de este Departamento/Delegación.</t>
    </r>
  </si>
  <si>
    <t>Si se encuentra fuera de rango</t>
  </si>
  <si>
    <t>% respecto a Precio Promedio Mercado</t>
  </si>
  <si>
    <t>COMPARACIÓN 1</t>
  </si>
  <si>
    <t>COMPARACIÓN 2</t>
  </si>
  <si>
    <t>Precio promedio mercado</t>
  </si>
  <si>
    <t>Institución</t>
  </si>
  <si>
    <t>Precio</t>
  </si>
  <si>
    <t>ENERO</t>
  </si>
  <si>
    <t>FEBRERO</t>
  </si>
  <si>
    <t>MARZO</t>
  </si>
  <si>
    <t>ABRIL</t>
  </si>
  <si>
    <t>MAYO</t>
  </si>
  <si>
    <t>JUNIO</t>
  </si>
  <si>
    <t>JULIO</t>
  </si>
  <si>
    <t>AGOSTO</t>
  </si>
  <si>
    <t>SEPTIEMBRE</t>
  </si>
  <si>
    <t>OCTUBRE</t>
  </si>
  <si>
    <t>NOVIEMBRE</t>
  </si>
  <si>
    <t>DICIEMBRE</t>
  </si>
  <si>
    <t>Costo Desayuno</t>
  </si>
  <si>
    <t xml:space="preserve">Solo para efectos de calculo y de obtener un valor del costo desayuno, considerar queso y jamon como acompañamientos de Sandwich </t>
  </si>
  <si>
    <t>Tabla 15: Costo desayuno</t>
  </si>
  <si>
    <t>Producto</t>
  </si>
  <si>
    <t>Costo neto</t>
  </si>
  <si>
    <t xml:space="preserve">Pan </t>
  </si>
  <si>
    <t>Acompañamiento 1</t>
  </si>
  <si>
    <t>Acompañamiento 2</t>
  </si>
  <si>
    <t>Jugo boca ancha 300 cc</t>
  </si>
  <si>
    <t>Mineral individual sin gas 600 cc</t>
  </si>
  <si>
    <t>Barra de cereal</t>
  </si>
  <si>
    <t>Yogurth Individual 125 grs</t>
  </si>
  <si>
    <t>Sachet de café</t>
  </si>
  <si>
    <t>Sachet de te</t>
  </si>
  <si>
    <t>Sachet de endulzante</t>
  </si>
  <si>
    <t>Sachet de azucar</t>
  </si>
  <si>
    <t>Servilleta</t>
  </si>
  <si>
    <t>Envase sandwich</t>
  </si>
  <si>
    <t>REPARTICIÓN:</t>
  </si>
  <si>
    <t>TABLA N°16:  RESULTADO OPERACIONAL MENSUAL</t>
  </si>
  <si>
    <t>CENTRO DE BENEFICIO "C.H. OFICIALES "FARO EVANGELISTAS"</t>
  </si>
  <si>
    <t>ACUMULADO A DICIEMBRE</t>
  </si>
  <si>
    <t>INGRESOS DE OPERACIÓN</t>
  </si>
  <si>
    <t>REMUNERACIONES COD.DEL TRABAJO (Personal Permanente)</t>
  </si>
  <si>
    <t>REMUNERACIONES COD.DEL TRABAJO (Personal No Permanente)</t>
  </si>
  <si>
    <t>BONOS Y AGUINALDOS CÓDIGO DEL TRABAJO</t>
  </si>
  <si>
    <t>COSTOS  DE OPERACIÓN</t>
  </si>
  <si>
    <t>RESULTADO OPERACIONAL</t>
  </si>
  <si>
    <t>DISTRIBUCIÓN INGRESOS</t>
  </si>
  <si>
    <t xml:space="preserve">        DISTRIBUCIÓN COSTOS DE OPERACIÓN</t>
  </si>
  <si>
    <t>CENTRO DE BENEFICIO  "CABAÑAS TORRES DEL PAINE"</t>
  </si>
  <si>
    <t>CENTRO DE BENEFICIO  "C.H. GENTE DE MAR "FARO DUNGENESS"</t>
  </si>
  <si>
    <t>CENTRO DE BENEFICIO  "CABAÑAS RIO SAN JUAN"</t>
  </si>
  <si>
    <t>CENTRO DE BENEFICIO  "CENTRO RECREATIVO"</t>
  </si>
  <si>
    <t>CENTRO DE BENEFICIO  "SALA EVENTOS - QUINCHO BERMUDEZ"</t>
  </si>
  <si>
    <t>CENTRO DE BENEFICIO  RESTAURANTE "FARO EVANGELISTAS"</t>
  </si>
  <si>
    <t>REAL ENERO</t>
  </si>
  <si>
    <t>REAL FEBRERO</t>
  </si>
  <si>
    <t>REAL MARZO</t>
  </si>
  <si>
    <t>REAL ABRIL</t>
  </si>
  <si>
    <t>REAL MAYO</t>
  </si>
  <si>
    <t>REAL JUNIO</t>
  </si>
  <si>
    <t>REAL JULIO</t>
  </si>
  <si>
    <t>REAL AGOSTO</t>
  </si>
  <si>
    <t>REAL SEPTIEMBRE</t>
  </si>
  <si>
    <t>REAL OCTUBRE</t>
  </si>
  <si>
    <t>REAL NOVIEMBRE</t>
  </si>
  <si>
    <t>REAL DICIEMBRE</t>
  </si>
  <si>
    <t>REAL REMUNERACION</t>
  </si>
  <si>
    <t>Pp Enero</t>
  </si>
  <si>
    <t>Real Enero</t>
  </si>
  <si>
    <t>Pp Febrero</t>
  </si>
  <si>
    <t>Real Febrero</t>
  </si>
  <si>
    <t>Pp Abril</t>
  </si>
  <si>
    <t>Real Abril</t>
  </si>
  <si>
    <t>Pp Marzo</t>
  </si>
  <si>
    <t>Real Marzo</t>
  </si>
  <si>
    <t>Pp Mayo</t>
  </si>
  <si>
    <t>Real Mayo</t>
  </si>
  <si>
    <t>Pp Junio</t>
  </si>
  <si>
    <t>Real Junio</t>
  </si>
  <si>
    <t>Pp Julio</t>
  </si>
  <si>
    <t>Real Julio</t>
  </si>
  <si>
    <t>Pp Agosto</t>
  </si>
  <si>
    <t>Real Agosto</t>
  </si>
  <si>
    <t>Pp Septiembre</t>
  </si>
  <si>
    <t>Real Septiembre</t>
  </si>
  <si>
    <t>Pp Octubre</t>
  </si>
  <si>
    <t>Real Octubre</t>
  </si>
  <si>
    <t>Pp Noviembre</t>
  </si>
  <si>
    <t>Real Noviembre</t>
  </si>
  <si>
    <t>Pp Diciembre</t>
  </si>
  <si>
    <t>Real Diciembre</t>
  </si>
  <si>
    <t>INGRESO</t>
  </si>
  <si>
    <t>RENTABILIDAD</t>
  </si>
  <si>
    <t>MES</t>
  </si>
  <si>
    <t>CONSOLIDADO</t>
  </si>
  <si>
    <t>REAL</t>
  </si>
  <si>
    <t xml:space="preserve">DISTRIBUCION DE ADM. Y VENTAS </t>
  </si>
  <si>
    <t>TABLA 6: REMUNERACIONES DEL PERSONAL LEY 18.712 ADMINISTRACION CENTRAL Y APOYO ADMINISTRATIVO ASISTENCIA RECREATIVA</t>
  </si>
  <si>
    <t>TABLA 7: DISTRIBUCION COSTOS REMUNERACIONES ADMINISTRACION CENTRAL Y APOYO ADMINISTRATIVO A. RECREATIVA</t>
  </si>
  <si>
    <t>TABLA 8: COSTOS DE OPERACION ADMINISTRACIÓN CENTRAL Y  APOYO ADMINISTRATIVO ASISTENCIA RECREATIVA</t>
  </si>
  <si>
    <t>TABLA 9: RESUMEN DISTRIBUCION COSTOS REMUNERACIONES ADMINISTRACION CENTRAL Y APOYO ADMINISTRATIVO A. RECREATIVA</t>
  </si>
  <si>
    <t>TABLA 10: RESUMEN DISTRIBUCION COSTOS OPERACIÓN ADMINISTRACION CENTRAL  Y APOYO ADMINISTRATIVO A. RECREATIVA</t>
  </si>
  <si>
    <t>TABLA 11: FINANCIAMIENTO ADM. CENTRAL  Y APOYO ADMINISTRATIVO 
(REMUNERACIONES + COSTO OPERACIÓN)</t>
  </si>
  <si>
    <t>TABLA 12: RESUMEN DE TARIFADO</t>
  </si>
  <si>
    <t>TABLA 5: COSTOS DIRECTOS DE CENTROS DE BENEFICIOS</t>
  </si>
  <si>
    <t>TABLA13: REMUNERACIONES DEL PERSONAL LEY 18.712 DE CENTROS DE BENEFICIOS</t>
  </si>
  <si>
    <t>TABLA 14: COMPARACIÓN TARIFAS CON PRECIOS DE MERCADO</t>
  </si>
  <si>
    <t>TABLA N°2.2: INGRESOS ESTIMADOS POR UNIDAD DE NEGOCIOS</t>
  </si>
  <si>
    <t>QUINCHO 12 -18 PERS.</t>
  </si>
  <si>
    <t>QUINCHO 24 - 16 PERS.</t>
  </si>
  <si>
    <t>QUINCHO 50 - 70 PERS.</t>
  </si>
  <si>
    <t>SALA - QUINCHO 24 - 30 PERS.</t>
  </si>
  <si>
    <t xml:space="preserve">MERCADERIAS PARA COMERCIALIZACION ITEM 2204999000 </t>
  </si>
  <si>
    <t>MANT.Y REPAR. VEHICULOS</t>
  </si>
  <si>
    <t>Cantidad de celdas no vacias</t>
  </si>
  <si>
    <t>Adicional</t>
  </si>
  <si>
    <t>Otros</t>
  </si>
  <si>
    <t>RO FINAL</t>
  </si>
  <si>
    <t>Tarifas 2024</t>
  </si>
  <si>
    <t>ACUMULADO</t>
  </si>
  <si>
    <t>Tarifas 2025</t>
  </si>
  <si>
    <t>Tarifas  2025</t>
  </si>
  <si>
    <t>Costo Total Empresa
2025</t>
  </si>
  <si>
    <t>HOTEL DIEGO DE ALMAGRO</t>
  </si>
  <si>
    <t>HOTEL SAVOY</t>
  </si>
  <si>
    <t>CABAÑAS LAGO TYNDALL (4 PERS.)</t>
  </si>
  <si>
    <t>APART HOTEL ENDURANCE</t>
  </si>
  <si>
    <t>APART HOTEL PATAGONIA</t>
  </si>
  <si>
    <t>SIN REF.</t>
  </si>
  <si>
    <t>QUINCHO PATAGONIA</t>
  </si>
  <si>
    <t>QUINCHO MAGALLANICO</t>
  </si>
  <si>
    <t>CLUB NAVAL DE CAMPO</t>
  </si>
  <si>
    <t>QUINCHO CLUB HIPICO</t>
  </si>
  <si>
    <t>QUINCHO DEL ESTRECHO</t>
  </si>
  <si>
    <t>QUINCHO CALAFATE</t>
  </si>
  <si>
    <t>BEATRIZ</t>
  </si>
  <si>
    <t>BARRIA GUALA</t>
  </si>
  <si>
    <t>CAMARERA</t>
  </si>
  <si>
    <t>MARIA PAZ</t>
  </si>
  <si>
    <t>BRAVO MILLAN</t>
  </si>
  <si>
    <t>RECEPCIONISTA</t>
  </si>
  <si>
    <t>JOSELINE</t>
  </si>
  <si>
    <t>GODOY GALLARDO</t>
  </si>
  <si>
    <t>CAMILA</t>
  </si>
  <si>
    <t>GODOY VARGAS</t>
  </si>
  <si>
    <t xml:space="preserve">ALEJANDRA </t>
  </si>
  <si>
    <t>HERNANDEZ DIAZ</t>
  </si>
  <si>
    <t>JANET</t>
  </si>
  <si>
    <t>LOPEZ MILLALONCO</t>
  </si>
  <si>
    <t>ZULEMA</t>
  </si>
  <si>
    <t>MANCILLA VIDAL</t>
  </si>
  <si>
    <t>SANDRA</t>
  </si>
  <si>
    <t>MARIO ALVAREZ</t>
  </si>
  <si>
    <t>ADMINISTRADORA</t>
  </si>
  <si>
    <t xml:space="preserve">BRAULIO </t>
  </si>
  <si>
    <t>VILLARROEL RIOS</t>
  </si>
  <si>
    <t>RECEPCIONISTA NOCTURNO</t>
  </si>
  <si>
    <t xml:space="preserve">KAREN </t>
  </si>
  <si>
    <t>ACEVEDO ANGULO</t>
  </si>
  <si>
    <t>CRISTIAN</t>
  </si>
  <si>
    <t>CHACON MARTINEZ</t>
  </si>
  <si>
    <t>ALEX</t>
  </si>
  <si>
    <t>CHAMORRO CASTRO</t>
  </si>
  <si>
    <t>MARIA JOSE</t>
  </si>
  <si>
    <t>MILLAR VARGAS</t>
  </si>
  <si>
    <t>ANA MARIA</t>
  </si>
  <si>
    <t>SALDIVIA SALDIVIA</t>
  </si>
  <si>
    <t xml:space="preserve">MARIA ISABEL </t>
  </si>
  <si>
    <t>VARGAS VIVAR</t>
  </si>
  <si>
    <t>CLAUDIA</t>
  </si>
  <si>
    <t>VERA PALACIOS</t>
  </si>
  <si>
    <t xml:space="preserve">KERTY </t>
  </si>
  <si>
    <t>VALDERAS VELASQUEZ</t>
  </si>
  <si>
    <t>CUIDADORA</t>
  </si>
  <si>
    <t>MARISOL</t>
  </si>
  <si>
    <t>CHIGUAY LLANCALAHUEN</t>
  </si>
  <si>
    <t>DIAZ DIAZ</t>
  </si>
  <si>
    <t>CAJERO</t>
  </si>
  <si>
    <t>ANGELICA</t>
  </si>
  <si>
    <t>TESORERA</t>
  </si>
  <si>
    <t>ZUÑIGA AGUILA</t>
  </si>
  <si>
    <t>ENC. PRESUPUESTO</t>
  </si>
  <si>
    <t>CARMEN LUZ</t>
  </si>
  <si>
    <t>ENC. RR.HH.</t>
  </si>
  <si>
    <t>REINERIO</t>
  </si>
  <si>
    <t>ALVAREZ MIKACIC</t>
  </si>
  <si>
    <t>ENC. AREA RECREATIVA</t>
  </si>
  <si>
    <t>Asistencia Educacional</t>
  </si>
  <si>
    <t>Asistencia Comercial</t>
  </si>
  <si>
    <t xml:space="preserve"> Reajuste ($)</t>
  </si>
  <si>
    <t>Segmento
 1</t>
  </si>
  <si>
    <t>Segmento 
2</t>
  </si>
  <si>
    <t>Segmento 
3</t>
  </si>
  <si>
    <t>TORRES DEL PAINE SEG. 3</t>
  </si>
  <si>
    <t>Tarifas 2026</t>
  </si>
  <si>
    <t>Tarifa 2026</t>
  </si>
  <si>
    <t>Propuesta Tarifas 2026</t>
  </si>
  <si>
    <t>Tarifas  2026</t>
  </si>
  <si>
    <t>INGRESOS 2024</t>
  </si>
  <si>
    <t>INGRESOS 2025 (PROY)</t>
  </si>
  <si>
    <t>FORMULACIÓN INGRESOS 2026</t>
  </si>
  <si>
    <t>COSTO DIRECTO ESTIMADO 2026</t>
  </si>
  <si>
    <t>Costo Total anual por Servidor 2025</t>
  </si>
  <si>
    <t>Costo Total por Servidor Reajustado 2026</t>
  </si>
  <si>
    <t>COSTO INDIRECTO ESTIMADO 2026</t>
  </si>
  <si>
    <t xml:space="preserve"> </t>
  </si>
  <si>
    <t>Meta Ocupación 2026</t>
  </si>
  <si>
    <t>REMUNERACIONES 2025</t>
  </si>
  <si>
    <t>Costo Total Empresa
2026</t>
  </si>
  <si>
    <t>REFUGIO PAMPA (6 PERS.)</t>
  </si>
  <si>
    <t xml:space="preserve">MAT. VARIOS MANT. Y REP. (MANO DE OBRA PROPIA) </t>
  </si>
  <si>
    <t xml:space="preserve">PRESUP. 2025 </t>
  </si>
  <si>
    <t>SOPORTE MENSUAL SISTEMA SUITE ADM. (5 UF + IVA MES)</t>
  </si>
  <si>
    <t xml:space="preserve">GASTOS MENORES VARIOS </t>
  </si>
  <si>
    <t xml:space="preserve">HOJAS + ART. OFICINA + TONNER </t>
  </si>
  <si>
    <t>ART. BOTIQUIN BÁSICO (NO MEDICAMENTOS)</t>
  </si>
  <si>
    <t xml:space="preserve">REP. MENAJE BUFFET DESAYUNO + HABS </t>
  </si>
  <si>
    <t>IMPRESIÓN TALONARIOS Y DOC. ADM. Y OPER. (VALES, COMANDAS, MECANIZADOS, ETC)</t>
  </si>
  <si>
    <t xml:space="preserve">MANTENCION Y SERVICE CAMIONETA </t>
  </si>
  <si>
    <t xml:space="preserve">MAT. ASEO  </t>
  </si>
  <si>
    <t xml:space="preserve">REPOSICION MENAJE COMEDOR Y COCINA </t>
  </si>
  <si>
    <t>MAT. VARIOS MANT. Y REP. (MANO DE OBRA PROPIA)</t>
  </si>
  <si>
    <t xml:space="preserve">(PLAN DUO TELEFONO + INTERNET) EJECUTADO + REAJUSTE </t>
  </si>
  <si>
    <t xml:space="preserve">LAVANDERIA (SERV. EXTERNO LICITADO) RELAC. OCUP. PROYECTADA  </t>
  </si>
  <si>
    <t>GASTOS MENORES VARIOS</t>
  </si>
  <si>
    <t xml:space="preserve">HOJAS + ART. OFICINA, TONER IMPRESORA </t>
  </si>
  <si>
    <t xml:space="preserve">ART. BOTIQUIN BÁSICO (NO MEDICAMENTOS) </t>
  </si>
  <si>
    <t xml:space="preserve">PROD. Y MAT. ASEO </t>
  </si>
  <si>
    <t xml:space="preserve">REPOSICION MENAJE  LOZA Y CUBIERTOS LOCKERS HABS. </t>
  </si>
  <si>
    <t>TERMINALES POS TRANSBANK</t>
  </si>
  <si>
    <t>CORTE PASTO PERIMETRAL (2)</t>
  </si>
  <si>
    <t xml:space="preserve">RENOV. CUBRECAMAS (4 DE 2 PZA + 16 DE 1 PZA) + 24  ALMOHADAS) </t>
  </si>
  <si>
    <t xml:space="preserve">PETROLEO GENERADOR RESPALDO (20 LT X $1.190) </t>
  </si>
  <si>
    <t>GASTOS MENORES VARIOS + COLACION COMISIONES</t>
  </si>
  <si>
    <t xml:space="preserve">MATERIALES ASEO </t>
  </si>
  <si>
    <t xml:space="preserve">IMPRESIÓN TALONARIOS MECANIZADO </t>
  </si>
  <si>
    <t xml:space="preserve">MANTENCION GENERADORES RESPALDO Y SALA BOMBA AGUA </t>
  </si>
  <si>
    <t>LIMPIEZA FOSA SEPTICA (3) QUINCHOS + CASA CUIDADOR</t>
  </si>
  <si>
    <t xml:space="preserve">GASTOS MENORES </t>
  </si>
  <si>
    <t xml:space="preserve">MAT.Y UTILES ASEO + CONSUMOS BAÑOS PÚBLICOS (PAPEL HIGIÉNICO + JABÓN)  </t>
  </si>
  <si>
    <t xml:space="preserve">REPOSICION LOZA GRAL. + VASOS / COPAS + CUBIERTOS </t>
  </si>
  <si>
    <t xml:space="preserve">MANT. Y REP. EDIFICACIONES / EMERGENCIAS SERV. EXTERNO CONTRATISTA SEGÚN INSTRUCCIONES PARA LA EJECUCION DE LA LEY DE PRESUPUESTO DEL SECTOR PÚBLICO  </t>
  </si>
  <si>
    <t xml:space="preserve">MANTENCION 1 EXTINTORES </t>
  </si>
  <si>
    <t xml:space="preserve">MAT.Y UTILES ASEO + CONSUMOS BAÑOS (PAPEL HIGIÉNICO + JABÓN)  </t>
  </si>
  <si>
    <t xml:space="preserve">REPOSICIÓN MENAJE COMEDOR Y COCINA </t>
  </si>
  <si>
    <t xml:space="preserve">IMPRESIÓN TALONARIOS MECANIZADOS </t>
  </si>
  <si>
    <t>CASA DE HUÉSPEDES DE OFICIALES "FARO EVANGELISTAS"</t>
  </si>
  <si>
    <t>OCUPACIÓN PROYECTADA POR TIPO DE HABITACIÓN Y SEGMENTO DE MERCADO</t>
  </si>
  <si>
    <t xml:space="preserve">AMENITIES </t>
  </si>
  <si>
    <t xml:space="preserve">JABON </t>
  </si>
  <si>
    <t>SHAMPOO</t>
  </si>
  <si>
    <t>CAT. 1</t>
  </si>
  <si>
    <t>CAT. 2</t>
  </si>
  <si>
    <t>CAT. 3</t>
  </si>
  <si>
    <t>TIPO HAB.</t>
  </si>
  <si>
    <t>CANT.</t>
  </si>
  <si>
    <t>PERS.</t>
  </si>
  <si>
    <t>DESAYUNOS</t>
  </si>
  <si>
    <t>OCUP.</t>
  </si>
  <si>
    <t>UN. X HAB.</t>
  </si>
  <si>
    <t>TOTAL</t>
  </si>
  <si>
    <t>DOBLE</t>
  </si>
  <si>
    <t>SUPERIOR</t>
  </si>
  <si>
    <t>SUBTOTAL</t>
  </si>
  <si>
    <t>RESGUARDO</t>
  </si>
  <si>
    <t>REF.: OCUPACIÓN 2022 - 2024 PROYECTADA</t>
  </si>
  <si>
    <t>CAP. MÁX.</t>
  </si>
  <si>
    <t>COSTO UNIT. PROM.</t>
  </si>
  <si>
    <t>VALOR UNIT.</t>
  </si>
  <si>
    <t>CASA DE HUÉSPEDES DE GENTE DE MAR "FARO DUNGENESS"</t>
  </si>
  <si>
    <t>OCUPACIÓN PROYECTADA POR SEGMENTO DE MERCADO</t>
  </si>
  <si>
    <t>CABAÑA 6 PERS.</t>
  </si>
  <si>
    <t>CAP. MÁX. (TEMPORADA DE USO)</t>
  </si>
  <si>
    <t>PERIODO ENE - ABR 2023 / SEP 2023 - ABR 2024</t>
  </si>
  <si>
    <t>CABAÑAS RÍO SAN JUAN</t>
  </si>
  <si>
    <t>OCUPACIÓN PROYECTADA POR TIPO DE QUINCHO Y SEGMENTO DE MERCADO</t>
  </si>
  <si>
    <t>NO APLICA</t>
  </si>
  <si>
    <t xml:space="preserve"> QUINCHO CHICO</t>
  </si>
  <si>
    <t xml:space="preserve"> QUINCHO MEDIANO</t>
  </si>
  <si>
    <t xml:space="preserve"> QUINCHO GRANDE</t>
  </si>
  <si>
    <t>OCUPACIÓN</t>
  </si>
  <si>
    <t xml:space="preserve">MANT. 13 EXTINTORES ( 13 X $13.000) </t>
  </si>
  <si>
    <t xml:space="preserve">MATENCION GENERAL - PINTURA - CALDERAS - TERMOS - BOMBAS (MANO DE OBRA PROPIA) </t>
  </si>
  <si>
    <t>SEGMENTO 1</t>
  </si>
  <si>
    <t>MÁS 10% + IVA</t>
  </si>
  <si>
    <t>TARIFA</t>
  </si>
  <si>
    <t>BASE</t>
  </si>
  <si>
    <t>MÁS 25% + IVA</t>
  </si>
  <si>
    <t>MÁS 100% + IVA</t>
  </si>
  <si>
    <t>DESCTO CAR</t>
  </si>
  <si>
    <t>QUINCHO 20 PERS.</t>
  </si>
  <si>
    <t>QUINCHO 40 PERS.</t>
  </si>
  <si>
    <t>QUINCHO 80 PERS.</t>
  </si>
  <si>
    <t>SALA - QUINCHO 40 PERS.</t>
  </si>
  <si>
    <t>ESTRUCTURA TARIFARIA CABAÑAS Y QUINCHOS CRA</t>
  </si>
  <si>
    <t xml:space="preserve">VICTOR </t>
  </si>
  <si>
    <t>FINANZAS</t>
  </si>
  <si>
    <t>ENC. DEUDORES E IVA</t>
  </si>
  <si>
    <t>RIVERA CALISTO</t>
  </si>
  <si>
    <t>AURELIA</t>
  </si>
  <si>
    <t>OBANDO</t>
  </si>
  <si>
    <t>ADM. CENTRAL</t>
  </si>
  <si>
    <t>JESSICA</t>
  </si>
  <si>
    <t>CARCAMO</t>
  </si>
  <si>
    <t xml:space="preserve">CARLA </t>
  </si>
  <si>
    <t>ETEROVIC STIPICIC</t>
  </si>
  <si>
    <t xml:space="preserve">ADMINISTRADOR -JEFE OPERACIONES </t>
  </si>
  <si>
    <t>PRESUPUESTO 2026 + 4.5% REAJUSTE</t>
  </si>
  <si>
    <t xml:space="preserve">COMBUSTIBLE CAMIONETA $2.380.000 + GENERADOR DIESEL RESPALDO SISTEMA FOTOVOLTAICO $260.000 </t>
  </si>
  <si>
    <t>LAVANDERIA (SERV. EXTERNO LICITADO) RELAC. OCUP. 2025  PROYECTADA X TIPO HAB.</t>
  </si>
  <si>
    <t>SALA CUNA (70%)</t>
  </si>
  <si>
    <t>SALA CUNA (70%) RECEPCIONISTA MARIA PAZ BRAVO</t>
  </si>
  <si>
    <t>DIRECT TV (288.000 MENSUAL)</t>
  </si>
  <si>
    <t xml:space="preserve">TERMINALES POS TRANSBANK ($546,000) + IMPRESORA MULTIFUNCIONAL DIMACOFI ($900,000) </t>
  </si>
  <si>
    <t xml:space="preserve">80% VENTAS TRANSBANK COMISION 2,95% + IVA </t>
  </si>
  <si>
    <t>RESGUARDO  MANT. Y REP. EDIFICACIONES / EMERGENCIAS SERV. EXTERNO CONTRATISTA PÚBLICO</t>
  </si>
  <si>
    <t>OTRAS REMUNERACIONES (VIATICO PERSONAL COMISION)</t>
  </si>
  <si>
    <t>VIATICO PERSONAL COMISION (PRESUP. BIENMAG 2026)</t>
  </si>
  <si>
    <t>MANTENCION 4 EXTINTORES X $13.000 + BACTERIAS Y QUIMICOS 2  FOSAS SEPTICAS Y DRENAJES ($322,000)</t>
  </si>
  <si>
    <t>RENOVACION ALMOHADAS + ROPA DE CAMA Y TOALLAS (PARA ARRIENDO)</t>
  </si>
  <si>
    <t>TALONARIO MECANIZADO</t>
  </si>
  <si>
    <t>SEGURO INMUEBLE  (CAMIONETA TOYOTA)</t>
  </si>
  <si>
    <t xml:space="preserve">RENOV. ROPA CAMA (SABANAS 2 PZA 15 + 30 X 1,5 PZA + 20 ALMOHADAS) + TOALLAS 50 (BAÑO, MANOS Y PISO $ 723.000) </t>
  </si>
  <si>
    <t xml:space="preserve">MANTENCION 6 EXTINTORES X $13.000 </t>
  </si>
  <si>
    <t>CALZADO MUCANAS</t>
  </si>
  <si>
    <t xml:space="preserve">UNIFORME RECEPCION (5 X $ 68,000) + UNIFORMES CAMARERA (3 X $ 57,500) </t>
  </si>
  <si>
    <t xml:space="preserve">TV CABLE ($132.000 MENSUAL) </t>
  </si>
  <si>
    <t>TAONARIO MECANIZAZO</t>
  </si>
  <si>
    <t xml:space="preserve">INTEGRO AL FISCO - IVA CREDITO FISCAL PROPORCIONAL NO UTILIZADO (PÉRDIDA) PÚBLICO </t>
  </si>
  <si>
    <t xml:space="preserve">MANT. CALDERAS + BOILERS + EQUIPOS COCINA  </t>
  </si>
  <si>
    <t>RESGUARDO MANT. Y REP. / EMERGENCIAS SERV. EXTERNO CONTRATISTA S</t>
  </si>
  <si>
    <t>SALA CUNA (30%)</t>
  </si>
  <si>
    <t>30% SALA CUNA RECEPCIONISTA MARIA PAZ BRAVO</t>
  </si>
  <si>
    <t>RENOV. PC</t>
  </si>
  <si>
    <t xml:space="preserve">60% VENTAS TRANSBANK COMISION 2,95% + IVA </t>
  </si>
  <si>
    <t>LIMPIEZA FOSA ($980.000) + LAVANDERIA ($195.000) CUBRECAMAS + ALMOHADAS + FRAZADAS</t>
  </si>
  <si>
    <t>MANTENCION 4 EXTINTORES X $13.000 + BACTERIAS Y QUIMICOS 1  FOSAS SEPTICAS Y DRENAJES ($161,000)</t>
  </si>
  <si>
    <t xml:space="preserve">PRESUPUESTO 2026 (CONSUMO TEMP 2024-2025 + 4,5% X TEMPORADA 7.5 MESES </t>
  </si>
  <si>
    <t>RENOV. MENAJE COCINA + IMPLEMENTACION MENAJE COMEDOR (LOZA, VASOS, CUBIERTOS)</t>
  </si>
  <si>
    <t xml:space="preserve">MANTENCION 5 EXTINTORES X $13.000 </t>
  </si>
  <si>
    <t xml:space="preserve">MANT. Y REP. EDIFICACIONES / EMERGENCIAS SERV. EXTERNO CONTRATISTA </t>
  </si>
  <si>
    <t xml:space="preserve">INTEGRO AL FISCO - IVA CREDITO FISCAL PROPORCIONAL NO UTILIZADO (PERDIDA) </t>
  </si>
  <si>
    <t>INTEGRO AL FISCO - IVA CREDITO FISCAL PROPORCIONAL NO UTILIZADO (PÉRDIDA) $348.000 + $802.000 (SEG. CAMIONETA)</t>
  </si>
  <si>
    <t>REF.: OCUPACIÓN 2023 - 2025 PROYECTADA</t>
  </si>
  <si>
    <t>REF.: OCUPACIÓN TEMPORADA 2023 - 2025</t>
  </si>
  <si>
    <t>PERIODO ENE - ABR 2023 / SEP 2023 - ABR 2025</t>
  </si>
  <si>
    <t>SEGMENTO 2</t>
  </si>
  <si>
    <t>SEGMENTO 3</t>
  </si>
  <si>
    <t>MÁS 20% + IVA</t>
  </si>
  <si>
    <t>ESTRUCTURA TARIFARIO C.H. OFICIALES</t>
  </si>
  <si>
    <t>ESTRUCTURA TARIFARIO C.H. GENTE DE MAR</t>
  </si>
  <si>
    <t>MÁS + IVA</t>
  </si>
  <si>
    <t>ESTRUCTURA DEL TARIFARIO C.H. OFICIALES</t>
  </si>
  <si>
    <t xml:space="preserve"> QUINCHO </t>
  </si>
  <si>
    <t>ESTRUCTURA DEL TARIFARIO C.H. GENTE DE MAR</t>
  </si>
  <si>
    <t>ESTRUCTURA DEL TARIFARIO CABAÑAS Y QUINCHOS</t>
  </si>
  <si>
    <t>DESAYUNO BUFFET C.H. OFICIALES</t>
  </si>
  <si>
    <t>QUINCHOS</t>
  </si>
  <si>
    <t>ZONA EXTREMA</t>
  </si>
  <si>
    <t>BENEFICIO CAR</t>
  </si>
  <si>
    <t>MANT. ASCENSOR ($2.288.500) + MANT. CALDERAS - TERMOS ($ 760.000) MANT. Y REP. VARIAS EDIFICIO (2,450,000)</t>
  </si>
  <si>
    <t xml:space="preserve">40% VENTAS TRANSBANK COMISION 2,95% + IVA </t>
  </si>
  <si>
    <t>LIMPIEZA 2 FOSAS  ($2.600.000) + LAVANDERIA ($412,000) CUBRECAMAS + ALMOHADAS + FRAZADA</t>
  </si>
  <si>
    <t>RESGUARDO IMPREVISTOS CONTRATISTA</t>
  </si>
  <si>
    <t xml:space="preserve">PROD. Y MAT. ASEO ($1.520.000) + AMENITIES ($4.681.000) </t>
  </si>
  <si>
    <t>DESAYUNO BUFFET AMERICANO (NO INCLUYE HUEVOS)</t>
  </si>
  <si>
    <t>7.445  DESAYUNOS  (REF. OCUP. POR TIPO DE HABITACION )</t>
  </si>
  <si>
    <t>QUINCHOS POR</t>
  </si>
  <si>
    <t>RECEPCIONISTA  (PARA AMBAS C.H.)</t>
  </si>
  <si>
    <t>PRESCINDIBLE</t>
  </si>
  <si>
    <t>RECEPCIONISTA         (CON LICENCIA)</t>
  </si>
  <si>
    <t>RECEPCIONISTA     (PARA AMBAS 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</si>
</sst>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42" formatCode="_ &quot;$&quot;* #,##0_ ;_ &quot;$&quot;* \-#,##0_ ;_ &quot;$&quot;* &quot;-&quot;_ ;_ @_ "/>
    <numFmt numFmtId="44" formatCode="_ &quot;$&quot;* #,##0.00_ ;_ &quot;$&quot;* \-#,##0.00_ ;_ &quot;$&quot;* &quot;-&quot;??_ ;_ @_ "/>
    <numFmt numFmtId="43" formatCode="_ * #,##0.00_ ;_ * \-#,##0.00_ ;_ * &quot;-&quot;??_ ;_ @_ "/>
    <numFmt numFmtId="164" formatCode="_-&quot;$&quot;\ * #,##0.00_-;\-&quot;$&quot;\ * #,##0.00_-;_-&quot;$&quot;\ * &quot;-&quot;??_-;_-@_-"/>
    <numFmt numFmtId="165" formatCode="_-\$* #,##0.00_-;&quot;-$&quot;* #,##0.00_-;_-\$* \-??_-;_-@_-"/>
    <numFmt numFmtId="166" formatCode="_-&quot;$ &quot;* #,##0_-;&quot;-$ &quot;* #,##0_-;_-&quot;$ &quot;* \-_-;_-@_-"/>
    <numFmt numFmtId="167" formatCode="#,##0_ ;[Red]\-#,##0\ "/>
    <numFmt numFmtId="168" formatCode="#,##0_ ;\-#,##0\ "/>
    <numFmt numFmtId="169" formatCode="_-\ * #,##0_-;&quot;$ &quot;* #,##0_-;_-\ * \-_-;_-@_-"/>
    <numFmt numFmtId="170" formatCode="_-&quot;$&quot;* #,##0_-;\-&quot;$&quot;* #,##0_-;_-&quot;$&quot;* &quot;-&quot;??_-;_-@_-"/>
    <numFmt numFmtId="171" formatCode="0.0%"/>
    <numFmt numFmtId="172" formatCode="_-&quot;$&quot;\ * #,##0_-;\-&quot;$&quot;\ * #,##0_-;_-&quot;$&quot;\ * &quot;-&quot;??_-;_-@_-"/>
    <numFmt numFmtId="173" formatCode="_-\$* #,##0_-;&quot;-$&quot;* #,##0_-;_-\$* \-??_-;_-@_-"/>
    <numFmt numFmtId="174" formatCode="_-* #,##0.0_-;\-* #,##0.0_-;_-* \-??_-;_-@_-"/>
    <numFmt numFmtId="175" formatCode="_(* #,##0_);_(* \(#,##0\);_(* \-_);_(@_)"/>
    <numFmt numFmtId="176" formatCode="_-* #,##0_-;\-* #,##0_-;_-* \-??_-;_-@_-"/>
    <numFmt numFmtId="177" formatCode="\$#,##0_);&quot;($&quot;#,##0\)"/>
    <numFmt numFmtId="178" formatCode="&quot;$&quot;\ #,##0"/>
    <numFmt numFmtId="179" formatCode="_-[$$-340A]\ * #,##0_-;\-[$$-340A]\ * #,##0_-;_-[$$-340A]\ * &quot;-&quot;??_-;_-@_-"/>
    <numFmt numFmtId="180" formatCode="0.0000"/>
    <numFmt numFmtId="181" formatCode="0.0\ %"/>
    <numFmt numFmtId="182" formatCode="0.00\ %"/>
    <numFmt numFmtId="183" formatCode="0.0"/>
    <numFmt numFmtId="184" formatCode="_ &quot;$&quot;* #,##0_ ;_ &quot;$&quot;* \-#,##0_ ;_ &quot;$&quot;* &quot;-&quot;??_ ;_ @_ "/>
    <numFmt numFmtId="185" formatCode="_(* #,##0_);_(* \(#,##0\);_(* &quot;-&quot;_);_(@_)"/>
  </numFmts>
  <fonts count="52"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color indexed="10"/>
      <name val="Arial"/>
      <family val="2"/>
    </font>
    <font>
      <b/>
      <sz val="10"/>
      <name val="Arial"/>
      <family val="2"/>
    </font>
    <font>
      <b/>
      <sz val="10"/>
      <color indexed="40"/>
      <name val="Arial"/>
      <family val="2"/>
    </font>
    <font>
      <sz val="10"/>
      <name val="Arial"/>
      <family val="2"/>
    </font>
    <font>
      <b/>
      <sz val="12"/>
      <name val="Arial"/>
      <family val="2"/>
    </font>
    <font>
      <b/>
      <sz val="10"/>
      <color theme="0"/>
      <name val="Arial"/>
      <family val="2"/>
    </font>
    <font>
      <b/>
      <sz val="12"/>
      <color theme="0"/>
      <name val="Arial"/>
      <family val="2"/>
    </font>
    <font>
      <b/>
      <sz val="11"/>
      <name val="Arial"/>
      <family val="2"/>
    </font>
    <font>
      <b/>
      <u/>
      <sz val="12"/>
      <color rgb="FF0000CC"/>
      <name val="Arial"/>
      <family val="2"/>
    </font>
    <font>
      <b/>
      <sz val="10"/>
      <color rgb="FFFF0000"/>
      <name val="Arial"/>
      <family val="2"/>
    </font>
    <font>
      <sz val="10"/>
      <color theme="1"/>
      <name val="Arial"/>
      <family val="2"/>
    </font>
    <font>
      <b/>
      <sz val="10"/>
      <color indexed="8"/>
      <name val="Arial"/>
      <family val="2"/>
    </font>
    <font>
      <sz val="10"/>
      <color indexed="8"/>
      <name val="Arial"/>
      <family val="2"/>
    </font>
    <font>
      <sz val="10"/>
      <color theme="0"/>
      <name val="Arial"/>
      <family val="2"/>
    </font>
    <font>
      <b/>
      <sz val="10"/>
      <color indexed="9"/>
      <name val="Arial"/>
      <family val="2"/>
    </font>
    <font>
      <b/>
      <sz val="16"/>
      <name val="Arial"/>
      <family val="2"/>
    </font>
    <font>
      <b/>
      <sz val="10"/>
      <color theme="1"/>
      <name val="Arial"/>
      <family val="2"/>
    </font>
    <font>
      <b/>
      <sz val="9"/>
      <name val="Arial"/>
      <family val="2"/>
    </font>
    <font>
      <sz val="10"/>
      <color rgb="FFFF0000"/>
      <name val="Arial"/>
      <family val="2"/>
    </font>
    <font>
      <b/>
      <u/>
      <sz val="10"/>
      <name val="Arial"/>
      <family val="2"/>
    </font>
    <font>
      <b/>
      <u/>
      <sz val="12"/>
      <name val="Arial"/>
      <family val="2"/>
    </font>
    <font>
      <sz val="10"/>
      <name val="Calibri"/>
      <family val="2"/>
      <scheme val="minor"/>
    </font>
    <font>
      <b/>
      <sz val="11"/>
      <name val="Calibri"/>
      <family val="2"/>
      <scheme val="minor"/>
    </font>
    <font>
      <sz val="11"/>
      <name val="Arial"/>
      <family val="2"/>
    </font>
    <font>
      <b/>
      <sz val="16"/>
      <color theme="1"/>
      <name val="Calibri"/>
      <family val="2"/>
      <scheme val="minor"/>
    </font>
    <font>
      <sz val="11"/>
      <color rgb="FFFF0000"/>
      <name val="Calibri"/>
      <family val="2"/>
      <scheme val="minor"/>
    </font>
    <font>
      <sz val="11"/>
      <name val="Calibri"/>
      <family val="2"/>
      <scheme val="minor"/>
    </font>
    <font>
      <sz val="11"/>
      <color theme="1"/>
      <name val="Arial"/>
      <family val="2"/>
    </font>
    <font>
      <b/>
      <sz val="11"/>
      <color rgb="FFFF0000"/>
      <name val="Calibri"/>
      <family val="2"/>
      <scheme val="minor"/>
    </font>
    <font>
      <b/>
      <sz val="10"/>
      <name val="Calibri"/>
      <family val="2"/>
      <scheme val="minor"/>
    </font>
    <font>
      <sz val="10"/>
      <color theme="1"/>
      <name val="Calibri"/>
      <family val="2"/>
      <scheme val="minor"/>
    </font>
    <font>
      <b/>
      <sz val="10"/>
      <color theme="1"/>
      <name val="Calibri"/>
      <family val="2"/>
      <scheme val="minor"/>
    </font>
    <font>
      <sz val="8"/>
      <name val="Calibri"/>
      <family val="2"/>
      <scheme val="minor"/>
    </font>
    <font>
      <b/>
      <sz val="8"/>
      <name val="Calibri"/>
      <family val="2"/>
      <scheme val="minor"/>
    </font>
    <font>
      <sz val="8"/>
      <color rgb="FF000000"/>
      <name val="Calibri"/>
      <family val="2"/>
      <scheme val="minor"/>
    </font>
    <font>
      <b/>
      <sz val="8"/>
      <color rgb="FF000000"/>
      <name val="Calibri"/>
      <family val="2"/>
      <scheme val="minor"/>
    </font>
    <font>
      <b/>
      <sz val="10"/>
      <color rgb="FFFF0000"/>
      <name val="Calibri"/>
      <family val="2"/>
      <scheme val="minor"/>
    </font>
    <font>
      <sz val="10"/>
      <color rgb="FFFF0000"/>
      <name val="Calibri"/>
      <family val="2"/>
      <scheme val="minor"/>
    </font>
    <font>
      <b/>
      <sz val="11"/>
      <color theme="0"/>
      <name val="Calibri"/>
      <family val="2"/>
      <scheme val="minor"/>
    </font>
    <font>
      <b/>
      <sz val="11"/>
      <color indexed="10"/>
      <name val="Calibri"/>
      <family val="2"/>
      <scheme val="minor"/>
    </font>
    <font>
      <b/>
      <sz val="11"/>
      <color indexed="40"/>
      <name val="Calibri"/>
      <family val="2"/>
      <scheme val="minor"/>
    </font>
    <font>
      <b/>
      <sz val="11"/>
      <color rgb="FF0000CC"/>
      <name val="Calibri"/>
      <family val="2"/>
      <scheme val="minor"/>
    </font>
    <font>
      <b/>
      <sz val="9"/>
      <color indexed="81"/>
      <name val="Tahoma"/>
      <family val="2"/>
    </font>
    <font>
      <sz val="9"/>
      <color indexed="81"/>
      <name val="Tahoma"/>
      <family val="2"/>
    </font>
    <font>
      <sz val="11"/>
      <color indexed="81"/>
      <name val="Tahoma"/>
      <family val="2"/>
    </font>
    <font>
      <b/>
      <sz val="12"/>
      <name val="Calibri"/>
      <family val="2"/>
      <scheme val="minor"/>
    </font>
    <font>
      <sz val="12"/>
      <color theme="1"/>
      <name val="Calibri"/>
      <family val="2"/>
      <scheme val="minor"/>
    </font>
    <font>
      <sz val="8"/>
      <color theme="1"/>
      <name val="Agency FB"/>
      <family val="2"/>
    </font>
  </fonts>
  <fills count="70">
    <fill>
      <patternFill patternType="none"/>
    </fill>
    <fill>
      <patternFill patternType="gray125"/>
    </fill>
    <fill>
      <patternFill patternType="solid">
        <fgColor rgb="FFFFFF00"/>
        <bgColor indexed="64"/>
      </patternFill>
    </fill>
    <fill>
      <patternFill patternType="solid">
        <fgColor theme="0" tint="-0.249977111117893"/>
        <bgColor indexed="26"/>
      </patternFill>
    </fill>
    <fill>
      <patternFill patternType="solid">
        <fgColor theme="3"/>
        <bgColor indexed="26"/>
      </patternFill>
    </fill>
    <fill>
      <patternFill patternType="solid">
        <fgColor theme="5" tint="0.39997558519241921"/>
        <bgColor indexed="26"/>
      </patternFill>
    </fill>
    <fill>
      <patternFill patternType="solid">
        <fgColor rgb="FFC00000"/>
        <bgColor indexed="26"/>
      </patternFill>
    </fill>
    <fill>
      <patternFill patternType="solid">
        <fgColor theme="0" tint="-0.249977111117893"/>
        <bgColor indexed="64"/>
      </patternFill>
    </fill>
    <fill>
      <patternFill patternType="solid">
        <fgColor rgb="FFFFFF66"/>
        <bgColor indexed="64"/>
      </patternFill>
    </fill>
    <fill>
      <patternFill patternType="solid">
        <fgColor theme="5" tint="0.79998168889431442"/>
        <bgColor indexed="64"/>
      </patternFill>
    </fill>
    <fill>
      <patternFill patternType="solid">
        <fgColor theme="4" tint="0.79998168889431442"/>
        <bgColor indexed="64"/>
      </patternFill>
    </fill>
    <fill>
      <patternFill patternType="gray125">
        <bgColor theme="4" tint="0.79995117038483843"/>
      </patternFill>
    </fill>
    <fill>
      <patternFill patternType="solid">
        <fgColor indexed="9"/>
        <bgColor indexed="26"/>
      </patternFill>
    </fill>
    <fill>
      <patternFill patternType="solid">
        <fgColor theme="3" tint="-0.249977111117893"/>
        <bgColor indexed="24"/>
      </patternFill>
    </fill>
    <fill>
      <patternFill patternType="solid">
        <fgColor theme="3" tint="0.39997558519241921"/>
        <bgColor indexed="26"/>
      </patternFill>
    </fill>
    <fill>
      <patternFill patternType="gray125">
        <bgColor indexed="9"/>
      </patternFill>
    </fill>
    <fill>
      <patternFill patternType="solid">
        <fgColor theme="3" tint="0.79998168889431442"/>
        <bgColor indexed="24"/>
      </patternFill>
    </fill>
    <fill>
      <patternFill patternType="gray125">
        <fgColor indexed="24"/>
        <bgColor theme="3" tint="0.79998168889431442"/>
      </patternFill>
    </fill>
    <fill>
      <patternFill patternType="solid">
        <fgColor theme="3" tint="0.39997558519241921"/>
        <bgColor indexed="44"/>
      </patternFill>
    </fill>
    <fill>
      <patternFill patternType="solid">
        <fgColor theme="0"/>
        <bgColor indexed="64"/>
      </patternFill>
    </fill>
    <fill>
      <patternFill patternType="solid">
        <fgColor rgb="FFFFFF00"/>
        <bgColor indexed="26"/>
      </patternFill>
    </fill>
    <fill>
      <patternFill patternType="solid">
        <fgColor rgb="FFFFFFFF"/>
        <bgColor indexed="64"/>
      </patternFill>
    </fill>
    <fill>
      <patternFill patternType="solid">
        <fgColor theme="0" tint="-0.249977111117893"/>
        <bgColor indexed="24"/>
      </patternFill>
    </fill>
    <fill>
      <patternFill patternType="solid">
        <fgColor theme="3" tint="0.79998168889431442"/>
        <bgColor indexed="64"/>
      </patternFill>
    </fill>
    <fill>
      <patternFill patternType="solid">
        <fgColor theme="8" tint="0.39997558519241921"/>
        <bgColor indexed="64"/>
      </patternFill>
    </fill>
    <fill>
      <patternFill patternType="gray125">
        <bgColor theme="3" tint="0.79998168889431442"/>
      </patternFill>
    </fill>
    <fill>
      <patternFill patternType="gray125">
        <bgColor rgb="FFFFFF00"/>
      </patternFill>
    </fill>
    <fill>
      <patternFill patternType="gray125">
        <bgColor theme="8" tint="0.39997558519241921"/>
      </patternFill>
    </fill>
    <fill>
      <patternFill patternType="gray125">
        <bgColor theme="3" tint="0.79995117038483843"/>
      </patternFill>
    </fill>
    <fill>
      <patternFill patternType="solid">
        <fgColor theme="0" tint="-0.249977111117893"/>
        <bgColor indexed="44"/>
      </patternFill>
    </fill>
    <fill>
      <patternFill patternType="solid">
        <fgColor theme="5" tint="0.39997558519241921"/>
        <bgColor indexed="24"/>
      </patternFill>
    </fill>
    <fill>
      <patternFill patternType="solid">
        <fgColor theme="5" tint="0.39997558519241921"/>
        <bgColor indexed="40"/>
      </patternFill>
    </fill>
    <fill>
      <patternFill patternType="solid">
        <fgColor theme="5" tint="0.39994506668294322"/>
        <bgColor auto="1"/>
      </patternFill>
    </fill>
    <fill>
      <patternFill patternType="gray125">
        <fgColor auto="1"/>
        <bgColor theme="5" tint="0.39997558519241921"/>
      </patternFill>
    </fill>
    <fill>
      <patternFill patternType="solid">
        <fgColor theme="5" tint="0.79998168889431442"/>
        <bgColor indexed="24"/>
      </patternFill>
    </fill>
    <fill>
      <patternFill patternType="gray125">
        <fgColor auto="1"/>
        <bgColor theme="5" tint="0.79998168889431442"/>
      </patternFill>
    </fill>
    <fill>
      <patternFill patternType="solid">
        <fgColor theme="3" tint="0.59999389629810485"/>
        <bgColor indexed="64"/>
      </patternFill>
    </fill>
    <fill>
      <patternFill patternType="solid">
        <fgColor rgb="FFFFC000"/>
        <bgColor indexed="64"/>
      </patternFill>
    </fill>
    <fill>
      <patternFill patternType="solid">
        <fgColor theme="3" tint="0.39997558519241921"/>
        <bgColor indexed="24"/>
      </patternFill>
    </fill>
    <fill>
      <patternFill patternType="gray125">
        <fgColor auto="1"/>
        <bgColor theme="3" tint="0.39997558519241921"/>
      </patternFill>
    </fill>
    <fill>
      <patternFill patternType="solid">
        <fgColor theme="5" tint="0.39997558519241921"/>
        <bgColor indexed="64"/>
      </patternFill>
    </fill>
    <fill>
      <patternFill patternType="solid">
        <fgColor theme="3" tint="0.39997558519241921"/>
        <bgColor indexed="64"/>
      </patternFill>
    </fill>
    <fill>
      <patternFill patternType="solid">
        <fgColor rgb="FF00B0F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gray125">
        <bgColor theme="0" tint="-0.14999847407452621"/>
      </patternFill>
    </fill>
    <fill>
      <patternFill patternType="gray125">
        <bgColor theme="0" tint="-0.14996795556505021"/>
      </patternFill>
    </fill>
    <fill>
      <patternFill patternType="solid">
        <fgColor theme="2"/>
        <bgColor indexed="64"/>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499984740745262"/>
        <bgColor indexed="64"/>
      </patternFill>
    </fill>
    <fill>
      <patternFill patternType="solid">
        <fgColor theme="0"/>
        <bgColor indexed="26"/>
      </patternFill>
    </fill>
    <fill>
      <patternFill patternType="solid">
        <fgColor theme="0"/>
        <bgColor indexed="24"/>
      </patternFill>
    </fill>
    <fill>
      <patternFill patternType="gray125">
        <bgColor theme="0"/>
      </patternFill>
    </fill>
    <fill>
      <patternFill patternType="solid">
        <fgColor theme="0" tint="-0.14999847407452621"/>
        <bgColor indexed="26"/>
      </patternFill>
    </fill>
    <fill>
      <patternFill patternType="solid">
        <fgColor theme="7" tint="0.59999389629810485"/>
        <bgColor indexed="64"/>
      </patternFill>
    </fill>
    <fill>
      <patternFill patternType="solid">
        <fgColor theme="4" tint="-0.249977111117893"/>
        <bgColor indexed="24"/>
      </patternFill>
    </fill>
    <fill>
      <patternFill patternType="solid">
        <fgColor theme="4" tint="-0.249977111117893"/>
        <bgColor indexed="64"/>
      </patternFill>
    </fill>
    <fill>
      <patternFill patternType="solid">
        <fgColor theme="4" tint="0.59999389629810485"/>
        <bgColor indexed="64"/>
      </patternFill>
    </fill>
    <fill>
      <patternFill patternType="solid">
        <fgColor rgb="FF69D8FF"/>
        <bgColor indexed="64"/>
      </patternFill>
    </fill>
    <fill>
      <patternFill patternType="solid">
        <fgColor rgb="FF92D050"/>
        <bgColor indexed="64"/>
      </patternFill>
    </fill>
    <fill>
      <patternFill patternType="solid">
        <fgColor rgb="FF6DD9FF"/>
        <bgColor indexed="64"/>
      </patternFill>
    </fill>
    <fill>
      <patternFill patternType="solid">
        <fgColor theme="0" tint="-0.34998626667073579"/>
        <bgColor indexed="64"/>
      </patternFill>
    </fill>
    <fill>
      <patternFill patternType="gray125">
        <bgColor auto="1"/>
      </patternFill>
    </fill>
    <fill>
      <patternFill patternType="solid">
        <fgColor rgb="FF66FF66"/>
        <bgColor indexed="64"/>
      </patternFill>
    </fill>
    <fill>
      <patternFill patternType="solid">
        <fgColor theme="7" tint="0.39997558519241921"/>
        <bgColor indexed="64"/>
      </patternFill>
    </fill>
    <fill>
      <patternFill patternType="solid">
        <fgColor rgb="FFFF0000"/>
        <bgColor theme="4" tint="0.79998168889431442"/>
      </patternFill>
    </fill>
  </fills>
  <borders count="365">
    <border>
      <left/>
      <right/>
      <top/>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64"/>
      </right>
      <top/>
      <bottom/>
      <diagonal/>
    </border>
    <border>
      <left style="thin">
        <color auto="1"/>
      </left>
      <right style="thin">
        <color auto="1"/>
      </right>
      <top style="thin">
        <color auto="1"/>
      </top>
      <bottom style="thin">
        <color auto="1"/>
      </bottom>
      <diagonal/>
    </border>
    <border>
      <left style="medium">
        <color indexed="64"/>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8"/>
      </top>
      <bottom style="thin">
        <color indexed="8"/>
      </bottom>
      <diagonal/>
    </border>
    <border>
      <left/>
      <right/>
      <top/>
      <bottom style="thin">
        <color indexed="8"/>
      </bottom>
      <diagonal/>
    </border>
    <border>
      <left style="thin">
        <color auto="1"/>
      </left>
      <right style="thin">
        <color auto="1"/>
      </right>
      <top style="thin">
        <color indexed="8"/>
      </top>
      <bottom/>
      <diagonal/>
    </border>
    <border>
      <left/>
      <right/>
      <top style="thin">
        <color indexed="8"/>
      </top>
      <bottom style="thin">
        <color indexed="8"/>
      </bottom>
      <diagonal/>
    </border>
    <border>
      <left style="medium">
        <color indexed="64"/>
      </left>
      <right/>
      <top style="thin">
        <color indexed="8"/>
      </top>
      <bottom style="medium">
        <color indexed="64"/>
      </bottom>
      <diagonal/>
    </border>
    <border>
      <left style="thin">
        <color auto="1"/>
      </left>
      <right style="thin">
        <color auto="1"/>
      </right>
      <top style="thin">
        <color indexed="8"/>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auto="1"/>
      </right>
      <top style="thin">
        <color indexed="8"/>
      </top>
      <bottom style="medium">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64"/>
      </top>
      <bottom/>
      <diagonal/>
    </border>
    <border>
      <left style="thin">
        <color indexed="8"/>
      </left>
      <right/>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medium">
        <color indexed="64"/>
      </left>
      <right/>
      <top style="thin">
        <color indexed="64"/>
      </top>
      <bottom/>
      <diagonal/>
    </border>
    <border>
      <left style="thin">
        <color indexed="8"/>
      </left>
      <right/>
      <top style="thin">
        <color indexed="8"/>
      </top>
      <bottom/>
      <diagonal/>
    </border>
    <border>
      <left style="medium">
        <color indexed="64"/>
      </left>
      <right style="medium">
        <color indexed="64"/>
      </right>
      <top style="thin">
        <color auto="1"/>
      </top>
      <bottom/>
      <diagonal/>
    </border>
    <border>
      <left/>
      <right/>
      <top style="thin">
        <color auto="1"/>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right style="medium">
        <color auto="1"/>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right/>
      <top style="thin">
        <color auto="1"/>
      </top>
      <bottom style="thin">
        <color auto="1"/>
      </bottom>
      <diagonal/>
    </border>
    <border>
      <left/>
      <right style="medium">
        <color indexed="64"/>
      </right>
      <top/>
      <bottom style="thin">
        <color auto="1"/>
      </bottom>
      <diagonal/>
    </border>
    <border>
      <left style="medium">
        <color indexed="64"/>
      </left>
      <right/>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auto="1"/>
      </left>
      <right/>
      <top/>
      <bottom style="medium">
        <color indexed="64"/>
      </bottom>
      <diagonal/>
    </border>
    <border>
      <left/>
      <right/>
      <top/>
      <bottom style="medium">
        <color auto="1"/>
      </bottom>
      <diagonal/>
    </border>
    <border>
      <left/>
      <right style="medium">
        <color indexed="64"/>
      </right>
      <top/>
      <bottom style="medium">
        <color indexed="64"/>
      </bottom>
      <diagonal/>
    </border>
    <border>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auto="1"/>
      </left>
      <right style="thin">
        <color auto="1"/>
      </right>
      <top/>
      <bottom/>
      <diagonal/>
    </border>
    <border>
      <left style="thin">
        <color indexed="64"/>
      </left>
      <right style="thin">
        <color auto="1"/>
      </right>
      <top/>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auto="1"/>
      </right>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indexed="64"/>
      </top>
      <bottom/>
      <diagonal/>
    </border>
    <border>
      <left/>
      <right/>
      <top/>
      <bottom style="thin">
        <color auto="1"/>
      </bottom>
      <diagonal/>
    </border>
    <border>
      <left style="thin">
        <color auto="1"/>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8"/>
      </left>
      <right/>
      <top style="thin">
        <color indexed="8"/>
      </top>
      <bottom/>
      <diagonal/>
    </border>
    <border>
      <left/>
      <right/>
      <top style="thin">
        <color indexed="64"/>
      </top>
      <bottom style="thin">
        <color indexed="64"/>
      </bottom>
      <diagonal/>
    </border>
    <border>
      <left style="thin">
        <color indexed="64"/>
      </left>
      <right style="thin">
        <color auto="1"/>
      </right>
      <top/>
      <bottom style="thin">
        <color indexed="8"/>
      </bottom>
      <diagonal/>
    </border>
    <border>
      <left style="thin">
        <color auto="1"/>
      </left>
      <right/>
      <top style="thin">
        <color auto="1"/>
      </top>
      <bottom style="thin">
        <color auto="1"/>
      </bottom>
      <diagonal/>
    </border>
    <border>
      <left style="thin">
        <color indexed="8"/>
      </left>
      <right/>
      <top/>
      <bottom style="thin">
        <color indexed="8"/>
      </bottom>
      <diagonal/>
    </border>
    <border>
      <left style="thin">
        <color indexed="64"/>
      </left>
      <right style="thin">
        <color indexed="64"/>
      </right>
      <top style="thin">
        <color auto="1"/>
      </top>
      <bottom/>
      <diagonal/>
    </border>
    <border>
      <left/>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bottom/>
      <diagonal/>
    </border>
    <border>
      <left/>
      <right/>
      <top style="medium">
        <color auto="1"/>
      </top>
      <bottom/>
      <diagonal/>
    </border>
    <border>
      <left/>
      <right style="medium">
        <color auto="1"/>
      </right>
      <top style="medium">
        <color auto="1"/>
      </top>
      <bottom/>
      <diagonal/>
    </border>
    <border>
      <left/>
      <right style="thin">
        <color indexed="64"/>
      </right>
      <top style="medium">
        <color indexed="64"/>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diagonal/>
    </border>
    <border>
      <left style="thin">
        <color indexed="64"/>
      </left>
      <right style="medium">
        <color auto="1"/>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auto="1"/>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indexed="64"/>
      </right>
      <top style="thin">
        <color indexed="64"/>
      </top>
      <bottom/>
      <diagonal/>
    </border>
    <border>
      <left style="thin">
        <color auto="1"/>
      </left>
      <right style="medium">
        <color indexed="64"/>
      </right>
      <top/>
      <bottom style="thin">
        <color auto="1"/>
      </bottom>
      <diagonal/>
    </border>
    <border>
      <left style="medium">
        <color indexed="64"/>
      </left>
      <right style="medium">
        <color indexed="64"/>
      </right>
      <top style="thin">
        <color auto="1"/>
      </top>
      <bottom/>
      <diagonal/>
    </border>
    <border>
      <left style="thin">
        <color rgb="FF0070C0"/>
      </left>
      <right style="thin">
        <color rgb="FF0070C0"/>
      </right>
      <top/>
      <bottom style="thin">
        <color rgb="FF0070C0"/>
      </bottom>
      <diagonal/>
    </border>
    <border>
      <left style="thin">
        <color auto="1"/>
      </left>
      <right/>
      <top/>
      <bottom style="thin">
        <color auto="1"/>
      </bottom>
      <diagonal/>
    </border>
    <border>
      <left style="medium">
        <color indexed="64"/>
      </left>
      <right style="thin">
        <color auto="1"/>
      </right>
      <top/>
      <bottom style="thin">
        <color auto="1"/>
      </bottom>
      <diagonal/>
    </border>
    <border>
      <left style="medium">
        <color auto="1"/>
      </left>
      <right/>
      <top style="thin">
        <color auto="1"/>
      </top>
      <bottom/>
      <diagonal/>
    </border>
    <border>
      <left/>
      <right style="medium">
        <color auto="1"/>
      </right>
      <top style="thin">
        <color indexed="64"/>
      </top>
      <bottom/>
      <diagonal/>
    </border>
    <border>
      <left style="thin">
        <color indexed="64"/>
      </left>
      <right/>
      <top/>
      <bottom/>
      <diagonal/>
    </border>
    <border>
      <left/>
      <right style="thin">
        <color indexed="64"/>
      </right>
      <top style="medium">
        <color indexed="64"/>
      </top>
      <bottom style="medium">
        <color indexed="64"/>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auto="1"/>
      </top>
      <bottom style="medium">
        <color indexed="64"/>
      </bottom>
      <diagonal/>
    </border>
    <border>
      <left/>
      <right style="medium">
        <color auto="1"/>
      </right>
      <top style="thin">
        <color auto="1"/>
      </top>
      <bottom style="medium">
        <color indexed="64"/>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auto="1"/>
      </right>
      <top/>
      <bottom/>
      <diagonal/>
    </border>
    <border>
      <left style="medium">
        <color indexed="64"/>
      </left>
      <right style="thin">
        <color auto="1"/>
      </right>
      <top style="thin">
        <color auto="1"/>
      </top>
      <bottom/>
      <diagonal/>
    </border>
    <border>
      <left style="thin">
        <color auto="1"/>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style="thin">
        <color indexed="8"/>
      </top>
      <bottom style="thin">
        <color indexed="8"/>
      </bottom>
      <diagonal/>
    </border>
    <border>
      <left style="thin">
        <color auto="1"/>
      </left>
      <right/>
      <top style="thin">
        <color indexed="8"/>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diagonal/>
    </border>
    <border>
      <left style="thin">
        <color indexed="64"/>
      </left>
      <right/>
      <top style="thin">
        <color indexed="64"/>
      </top>
      <bottom style="thin">
        <color indexed="64"/>
      </bottom>
      <diagonal/>
    </border>
    <border>
      <left style="thin">
        <color auto="1"/>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auto="1"/>
      </right>
      <top style="medium">
        <color auto="1"/>
      </top>
      <bottom style="thin">
        <color auto="1"/>
      </bottom>
      <diagonal/>
    </border>
    <border>
      <left style="medium">
        <color indexed="64"/>
      </left>
      <right style="thin">
        <color auto="1"/>
      </right>
      <top style="medium">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thin">
        <color indexed="64"/>
      </right>
      <top style="thin">
        <color auto="1"/>
      </top>
      <bottom/>
      <diagonal/>
    </border>
    <border>
      <left style="thin">
        <color indexed="64"/>
      </left>
      <right/>
      <top style="thin">
        <color auto="1"/>
      </top>
      <bottom/>
      <diagonal/>
    </border>
    <border>
      <left/>
      <right style="thin">
        <color indexed="64"/>
      </right>
      <top style="thin">
        <color auto="1"/>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auto="1"/>
      </top>
      <bottom/>
      <diagonal/>
    </border>
    <border>
      <left style="thin">
        <color indexed="64"/>
      </left>
      <right style="medium">
        <color indexed="64"/>
      </right>
      <top style="thin">
        <color auto="1"/>
      </top>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style="thin">
        <color auto="1"/>
      </top>
      <bottom style="thin">
        <color auto="1"/>
      </bottom>
      <diagonal/>
    </border>
    <border>
      <left/>
      <right/>
      <top style="thin">
        <color indexed="8"/>
      </top>
      <bottom style="thin">
        <color indexed="8"/>
      </bottom>
      <diagonal/>
    </border>
    <border>
      <left/>
      <right style="thin">
        <color indexed="8"/>
      </right>
      <top style="thin">
        <color indexed="8"/>
      </top>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auto="1"/>
      </top>
      <bottom style="thin">
        <color auto="1"/>
      </bottom>
      <diagonal/>
    </border>
    <border>
      <left style="medium">
        <color indexed="64"/>
      </left>
      <right/>
      <top style="thin">
        <color auto="1"/>
      </top>
      <bottom/>
      <diagonal/>
    </border>
    <border>
      <left style="thin">
        <color indexed="64"/>
      </left>
      <right/>
      <top style="thin">
        <color indexed="64"/>
      </top>
      <bottom style="thin">
        <color indexed="64"/>
      </bottom>
      <diagonal/>
    </border>
    <border>
      <left style="thin">
        <color auto="1"/>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medium">
        <color indexed="64"/>
      </right>
      <top style="thin">
        <color indexed="64"/>
      </top>
      <bottom/>
      <diagonal/>
    </border>
    <border>
      <left/>
      <right style="thin">
        <color indexed="64"/>
      </right>
      <top style="thin">
        <color indexed="64"/>
      </top>
      <bottom style="thin">
        <color indexed="64"/>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auto="1"/>
      </left>
      <right/>
      <top style="thin">
        <color indexed="64"/>
      </top>
      <bottom style="thin">
        <color indexed="64"/>
      </bottom>
      <diagonal/>
    </border>
    <border>
      <left/>
      <right style="thin">
        <color indexed="64"/>
      </right>
      <top style="medium">
        <color indexed="64"/>
      </top>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medium">
        <color indexed="64"/>
      </left>
      <right/>
      <top/>
      <bottom style="thin">
        <color indexed="8"/>
      </bottom>
      <diagonal/>
    </border>
    <border>
      <left style="thin">
        <color auto="1"/>
      </left>
      <right style="thin">
        <color auto="1"/>
      </right>
      <top/>
      <bottom style="thin">
        <color indexed="8"/>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auto="1"/>
      </left>
      <right/>
      <top style="medium">
        <color indexed="64"/>
      </top>
      <bottom style="thin">
        <color auto="1"/>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auto="1"/>
      </left>
      <right style="medium">
        <color indexed="64"/>
      </right>
      <top/>
      <bottom style="thin">
        <color indexed="64"/>
      </bottom>
      <diagonal/>
    </border>
    <border>
      <left/>
      <right style="medium">
        <color auto="1"/>
      </right>
      <top style="thin">
        <color indexed="64"/>
      </top>
      <bottom/>
      <diagonal/>
    </border>
    <border>
      <left style="thin">
        <color indexed="64"/>
      </left>
      <right style="thin">
        <color indexed="64"/>
      </right>
      <top style="thin">
        <color indexed="8"/>
      </top>
      <bottom style="thin">
        <color auto="1"/>
      </bottom>
      <diagonal/>
    </border>
    <border>
      <left style="thin">
        <color indexed="64"/>
      </left>
      <right style="medium">
        <color indexed="64"/>
      </right>
      <top style="thin">
        <color indexed="8"/>
      </top>
      <bottom style="thin">
        <color auto="1"/>
      </bottom>
      <diagonal/>
    </border>
    <border>
      <left style="medium">
        <color indexed="64"/>
      </left>
      <right/>
      <top style="thin">
        <color indexed="64"/>
      </top>
      <bottom/>
      <diagonal/>
    </border>
    <border>
      <left style="thin">
        <color indexed="64"/>
      </left>
      <right style="thin">
        <color indexed="64"/>
      </right>
      <top style="thin">
        <color indexed="8"/>
      </top>
      <bottom style="medium">
        <color indexed="64"/>
      </bottom>
      <diagonal/>
    </border>
    <border>
      <left style="thin">
        <color indexed="64"/>
      </left>
      <right style="medium">
        <color indexed="64"/>
      </right>
      <top style="thin">
        <color indexed="8"/>
      </top>
      <bottom style="medium">
        <color indexed="64"/>
      </bottom>
      <diagonal/>
    </border>
    <border>
      <left style="medium">
        <color indexed="64"/>
      </left>
      <right style="thin">
        <color auto="1"/>
      </right>
      <top style="thin">
        <color auto="1"/>
      </top>
      <bottom style="medium">
        <color indexed="64"/>
      </bottom>
      <diagonal/>
    </border>
    <border>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8"/>
      </top>
      <bottom style="thin">
        <color auto="1"/>
      </bottom>
      <diagonal/>
    </border>
    <border>
      <left style="thin">
        <color indexed="64"/>
      </left>
      <right style="medium">
        <color indexed="64"/>
      </right>
      <top style="thin">
        <color indexed="8"/>
      </top>
      <bottom style="thin">
        <color auto="1"/>
      </bottom>
      <diagonal/>
    </border>
    <border>
      <left style="medium">
        <color indexed="64"/>
      </left>
      <right style="thin">
        <color auto="1"/>
      </right>
      <top style="thin">
        <color auto="1"/>
      </top>
      <bottom style="thin">
        <color auto="1"/>
      </bottom>
      <diagonal/>
    </border>
    <border>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style="medium">
        <color indexed="64"/>
      </right>
      <top style="thin">
        <color indexed="8"/>
      </top>
      <bottom style="medium">
        <color indexed="64"/>
      </bottom>
      <diagonal/>
    </border>
    <border>
      <left style="medium">
        <color rgb="FFC00000"/>
      </left>
      <right/>
      <top style="medium">
        <color indexed="64"/>
      </top>
      <bottom style="medium">
        <color indexed="64"/>
      </bottom>
      <diagonal/>
    </border>
    <border>
      <left/>
      <right style="medium">
        <color rgb="FFC00000"/>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medium">
        <color indexed="64"/>
      </right>
      <top/>
      <bottom style="thin">
        <color indexed="64"/>
      </bottom>
      <diagonal/>
    </border>
    <border>
      <left style="medium">
        <color auto="1"/>
      </left>
      <right style="thin">
        <color auto="1"/>
      </right>
      <top/>
      <bottom style="thin">
        <color auto="1"/>
      </bottom>
      <diagonal/>
    </border>
    <border>
      <left/>
      <right style="thin">
        <color indexed="64"/>
      </right>
      <top style="thin">
        <color indexed="8"/>
      </top>
      <bottom style="thin">
        <color auto="1"/>
      </bottom>
      <diagonal/>
    </border>
    <border>
      <left/>
      <right style="thin">
        <color indexed="64"/>
      </right>
      <top style="thin">
        <color indexed="8"/>
      </top>
      <bottom style="medium">
        <color indexed="64"/>
      </bottom>
      <diagonal/>
    </border>
    <border>
      <left style="medium">
        <color indexed="64"/>
      </left>
      <right style="thin">
        <color indexed="64"/>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64"/>
      </top>
      <bottom style="thin">
        <color indexed="8"/>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8"/>
      </right>
      <top style="thin">
        <color indexed="64"/>
      </top>
      <bottom style="thin">
        <color indexed="64"/>
      </bottom>
      <diagonal/>
    </border>
    <border>
      <left style="thin">
        <color indexed="8"/>
      </left>
      <right style="thin">
        <color indexed="8"/>
      </right>
      <top style="thin">
        <color indexed="8"/>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medium">
        <color indexed="64"/>
      </right>
      <top style="thin">
        <color indexed="8"/>
      </top>
      <bottom style="thin">
        <color indexed="64"/>
      </bottom>
      <diagonal/>
    </border>
  </borders>
  <cellStyleXfs count="2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165" fontId="7" fillId="0" borderId="0"/>
    <xf numFmtId="164" fontId="1" fillId="0" borderId="0" applyFont="0" applyFill="0" applyBorder="0" applyAlignment="0" applyProtection="0"/>
    <xf numFmtId="0" fontId="7" fillId="0" borderId="0"/>
    <xf numFmtId="9" fontId="7" fillId="0" borderId="0" applyFont="0" applyFill="0" applyBorder="0" applyAlignment="0" applyProtection="0"/>
    <xf numFmtId="42" fontId="1" fillId="0" borderId="0" applyFont="0" applyFill="0" applyBorder="0" applyAlignment="0" applyProtection="0"/>
    <xf numFmtId="0" fontId="7" fillId="0" borderId="0"/>
    <xf numFmtId="9"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570">
    <xf numFmtId="0" fontId="0" fillId="0" borderId="0" xfId="0"/>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9" fontId="4" fillId="0" borderId="0" xfId="3" applyFont="1" applyBorder="1" applyAlignment="1" applyProtection="1">
      <alignment vertical="center"/>
    </xf>
    <xf numFmtId="9" fontId="0" fillId="0" borderId="0" xfId="3" applyFont="1" applyProtection="1"/>
    <xf numFmtId="0" fontId="5" fillId="0" borderId="0" xfId="0" applyFont="1" applyAlignment="1">
      <alignment horizontal="right" vertical="center"/>
    </xf>
    <xf numFmtId="9" fontId="5" fillId="0" borderId="0" xfId="3" applyFont="1" applyFill="1" applyBorder="1" applyAlignment="1" applyProtection="1">
      <alignment horizontal="center" vertical="center"/>
    </xf>
    <xf numFmtId="166" fontId="0" fillId="9" borderId="11" xfId="2" applyNumberFormat="1" applyFont="1" applyFill="1" applyBorder="1" applyAlignment="1" applyProtection="1">
      <alignment vertical="center"/>
    </xf>
    <xf numFmtId="166" fontId="0" fillId="9" borderId="10" xfId="2" applyNumberFormat="1" applyFont="1" applyFill="1" applyBorder="1" applyAlignment="1" applyProtection="1">
      <alignment vertical="center"/>
    </xf>
    <xf numFmtId="166" fontId="0" fillId="9" borderId="12" xfId="2" applyNumberFormat="1" applyFont="1" applyFill="1" applyBorder="1" applyAlignment="1" applyProtection="1">
      <alignment vertical="center"/>
    </xf>
    <xf numFmtId="166" fontId="5" fillId="9" borderId="10" xfId="2" applyNumberFormat="1" applyFont="1" applyFill="1" applyBorder="1" applyAlignment="1" applyProtection="1">
      <alignment vertical="center"/>
    </xf>
    <xf numFmtId="0" fontId="5" fillId="0" borderId="8" xfId="0" applyFont="1" applyBorder="1" applyAlignment="1">
      <alignment horizontal="left" vertical="center"/>
    </xf>
    <xf numFmtId="166" fontId="0" fillId="10" borderId="9" xfId="2" applyNumberFormat="1" applyFont="1" applyFill="1" applyBorder="1" applyAlignment="1" applyProtection="1">
      <alignment vertical="center"/>
    </xf>
    <xf numFmtId="166" fontId="0" fillId="10" borderId="2" xfId="2" applyNumberFormat="1" applyFont="1" applyFill="1" applyBorder="1" applyAlignment="1" applyProtection="1">
      <alignment vertical="center"/>
    </xf>
    <xf numFmtId="166" fontId="5" fillId="10" borderId="10" xfId="2" applyNumberFormat="1" applyFont="1" applyFill="1" applyBorder="1" applyAlignment="1" applyProtection="1">
      <alignment vertical="center"/>
    </xf>
    <xf numFmtId="166" fontId="0" fillId="9" borderId="13" xfId="2" applyNumberFormat="1" applyFont="1" applyFill="1" applyBorder="1" applyAlignment="1" applyProtection="1">
      <alignment vertical="center"/>
    </xf>
    <xf numFmtId="166" fontId="0" fillId="9" borderId="14" xfId="2" applyNumberFormat="1" applyFont="1" applyFill="1" applyBorder="1" applyAlignment="1" applyProtection="1">
      <alignment vertical="center"/>
    </xf>
    <xf numFmtId="166" fontId="0" fillId="11" borderId="2" xfId="2" applyNumberFormat="1" applyFont="1" applyFill="1" applyBorder="1" applyAlignment="1" applyProtection="1">
      <alignment vertical="center"/>
    </xf>
    <xf numFmtId="0" fontId="5" fillId="3" borderId="15" xfId="0" applyFont="1" applyFill="1" applyBorder="1" applyAlignment="1">
      <alignment horizontal="center" vertical="center"/>
    </xf>
    <xf numFmtId="166" fontId="5" fillId="3" borderId="16" xfId="2" applyNumberFormat="1" applyFont="1" applyFill="1" applyBorder="1" applyAlignment="1" applyProtection="1">
      <alignment vertical="center"/>
    </xf>
    <xf numFmtId="166" fontId="5" fillId="3" borderId="17" xfId="2" applyNumberFormat="1" applyFont="1" applyFill="1" applyBorder="1" applyAlignment="1" applyProtection="1">
      <alignment vertical="center"/>
    </xf>
    <xf numFmtId="166" fontId="5" fillId="3" borderId="18" xfId="2" applyNumberFormat="1" applyFont="1" applyFill="1" applyBorder="1" applyAlignment="1" applyProtection="1">
      <alignment vertical="center"/>
    </xf>
    <xf numFmtId="166" fontId="5" fillId="3" borderId="19" xfId="2" applyNumberFormat="1" applyFont="1" applyFill="1" applyBorder="1" applyAlignment="1" applyProtection="1">
      <alignment vertical="center"/>
    </xf>
    <xf numFmtId="0" fontId="0" fillId="0" borderId="0" xfId="0" applyAlignment="1">
      <alignment horizontal="center" vertical="center"/>
    </xf>
    <xf numFmtId="166" fontId="5" fillId="12" borderId="0" xfId="2" applyNumberFormat="1" applyFont="1" applyFill="1" applyAlignment="1">
      <alignment vertical="center"/>
    </xf>
    <xf numFmtId="0" fontId="5" fillId="12" borderId="0" xfId="0" applyFont="1" applyFill="1" applyAlignment="1">
      <alignment horizontal="left" vertical="center"/>
    </xf>
    <xf numFmtId="166" fontId="5" fillId="12" borderId="0" xfId="2" applyNumberFormat="1" applyFont="1" applyFill="1" applyBorder="1" applyAlignment="1" applyProtection="1">
      <alignment vertical="center"/>
    </xf>
    <xf numFmtId="44" fontId="5" fillId="0" borderId="0" xfId="2" applyFont="1" applyFill="1" applyBorder="1" applyAlignment="1" applyProtection="1">
      <alignment vertical="center"/>
    </xf>
    <xf numFmtId="167" fontId="5" fillId="0" borderId="0" xfId="0" applyNumberFormat="1" applyFont="1" applyAlignment="1">
      <alignment vertical="center"/>
    </xf>
    <xf numFmtId="166" fontId="5" fillId="0" borderId="0" xfId="0" applyNumberFormat="1" applyFont="1" applyAlignment="1">
      <alignment vertical="center" wrapText="1"/>
    </xf>
    <xf numFmtId="166" fontId="0" fillId="0" borderId="0" xfId="0" applyNumberFormat="1" applyAlignment="1">
      <alignment horizontal="center" vertical="center" wrapText="1"/>
    </xf>
    <xf numFmtId="166" fontId="5" fillId="14" borderId="21" xfId="0" applyNumberFormat="1" applyFont="1" applyFill="1" applyBorder="1" applyAlignment="1">
      <alignment horizontal="center" vertical="center" wrapText="1"/>
    </xf>
    <xf numFmtId="166" fontId="5" fillId="0" borderId="0" xfId="0" applyNumberFormat="1" applyFont="1" applyAlignment="1">
      <alignment horizontal="center" vertical="center" wrapText="1"/>
    </xf>
    <xf numFmtId="166" fontId="0" fillId="0" borderId="9" xfId="0" applyNumberFormat="1" applyBorder="1" applyAlignment="1">
      <alignment vertical="center"/>
    </xf>
    <xf numFmtId="166" fontId="7" fillId="0" borderId="21" xfId="2" applyNumberFormat="1" applyFont="1" applyFill="1" applyBorder="1" applyAlignment="1" applyProtection="1">
      <alignment vertical="center"/>
    </xf>
    <xf numFmtId="166" fontId="0" fillId="0" borderId="0" xfId="2" applyNumberFormat="1" applyFont="1" applyFill="1" applyBorder="1" applyAlignment="1" applyProtection="1">
      <alignment vertical="center"/>
    </xf>
    <xf numFmtId="166" fontId="0" fillId="0" borderId="2" xfId="0" applyNumberFormat="1" applyBorder="1" applyAlignment="1">
      <alignment vertical="center"/>
    </xf>
    <xf numFmtId="169" fontId="0" fillId="0" borderId="0" xfId="1" applyNumberFormat="1" applyFont="1" applyFill="1" applyBorder="1" applyAlignment="1" applyProtection="1">
      <alignment vertical="center"/>
    </xf>
    <xf numFmtId="166" fontId="5" fillId="16" borderId="2" xfId="0" applyNumberFormat="1" applyFont="1" applyFill="1" applyBorder="1" applyAlignment="1">
      <alignment vertical="center"/>
    </xf>
    <xf numFmtId="166" fontId="5" fillId="16" borderId="10" xfId="2" applyNumberFormat="1" applyFont="1" applyFill="1" applyBorder="1" applyAlignment="1" applyProtection="1">
      <alignment vertical="center"/>
    </xf>
    <xf numFmtId="166" fontId="5" fillId="16" borderId="3" xfId="2" applyNumberFormat="1" applyFont="1" applyFill="1" applyBorder="1" applyAlignment="1" applyProtection="1">
      <alignment horizontal="right" vertical="center"/>
    </xf>
    <xf numFmtId="166" fontId="5" fillId="16" borderId="9" xfId="2" applyNumberFormat="1" applyFont="1" applyFill="1" applyBorder="1" applyAlignment="1" applyProtection="1">
      <alignment horizontal="right" vertical="center"/>
    </xf>
    <xf numFmtId="166" fontId="5" fillId="0" borderId="0" xfId="2" applyNumberFormat="1" applyFont="1" applyFill="1" applyBorder="1" applyAlignment="1" applyProtection="1">
      <alignment vertical="center"/>
    </xf>
    <xf numFmtId="166" fontId="0" fillId="0" borderId="10" xfId="2" applyNumberFormat="1" applyFont="1" applyFill="1" applyBorder="1" applyAlignment="1" applyProtection="1">
      <alignment vertical="center"/>
    </xf>
    <xf numFmtId="166" fontId="5" fillId="17" borderId="9" xfId="0" applyNumberFormat="1" applyFont="1" applyFill="1" applyBorder="1" applyAlignment="1">
      <alignment vertical="center"/>
    </xf>
    <xf numFmtId="166" fontId="5" fillId="17" borderId="9" xfId="2" applyNumberFormat="1" applyFont="1" applyFill="1" applyBorder="1" applyAlignment="1" applyProtection="1">
      <alignment horizontal="right" vertical="center"/>
    </xf>
    <xf numFmtId="166" fontId="5" fillId="16" borderId="9" xfId="0" applyNumberFormat="1" applyFont="1" applyFill="1" applyBorder="1" applyAlignment="1">
      <alignment vertical="center"/>
    </xf>
    <xf numFmtId="166" fontId="5" fillId="16" borderId="9" xfId="2" applyNumberFormat="1" applyFont="1" applyFill="1" applyBorder="1" applyAlignment="1" applyProtection="1">
      <alignment vertical="center"/>
    </xf>
    <xf numFmtId="166" fontId="0" fillId="0" borderId="9" xfId="2" applyNumberFormat="1" applyFont="1" applyFill="1" applyBorder="1" applyAlignment="1" applyProtection="1">
      <alignment vertical="center"/>
    </xf>
    <xf numFmtId="169" fontId="0" fillId="0" borderId="9" xfId="1" applyNumberFormat="1" applyFont="1" applyFill="1" applyBorder="1" applyAlignment="1" applyProtection="1">
      <alignment vertical="center"/>
    </xf>
    <xf numFmtId="166" fontId="11" fillId="18" borderId="23" xfId="2" applyNumberFormat="1" applyFont="1" applyFill="1" applyBorder="1" applyAlignment="1" applyProtection="1">
      <alignment vertical="center" wrapText="1"/>
    </xf>
    <xf numFmtId="166" fontId="5" fillId="0" borderId="0" xfId="2" applyNumberFormat="1" applyFont="1" applyFill="1" applyBorder="1" applyAlignment="1" applyProtection="1">
      <alignment vertical="center" wrapText="1"/>
    </xf>
    <xf numFmtId="166" fontId="0" fillId="0" borderId="23" xfId="2" applyNumberFormat="1" applyFont="1" applyFill="1" applyBorder="1" applyAlignment="1" applyProtection="1">
      <alignment vertical="center"/>
    </xf>
    <xf numFmtId="166" fontId="11" fillId="18" borderId="22" xfId="2" applyNumberFormat="1" applyFont="1" applyFill="1" applyBorder="1" applyAlignment="1" applyProtection="1">
      <alignment vertical="center" wrapText="1"/>
    </xf>
    <xf numFmtId="169" fontId="0" fillId="0" borderId="23" xfId="1" applyNumberFormat="1" applyFont="1" applyFill="1" applyBorder="1" applyAlignment="1" applyProtection="1">
      <alignment vertical="center"/>
    </xf>
    <xf numFmtId="0" fontId="0" fillId="0" borderId="26" xfId="0" applyBorder="1" applyAlignment="1">
      <alignment horizontal="right" vertical="center" wrapText="1"/>
    </xf>
    <xf numFmtId="169" fontId="0" fillId="0" borderId="21" xfId="1" applyNumberFormat="1" applyFont="1" applyFill="1" applyBorder="1" applyAlignment="1" applyProtection="1">
      <alignment vertical="center"/>
    </xf>
    <xf numFmtId="0" fontId="8" fillId="0" borderId="10" xfId="0" applyFont="1" applyBorder="1" applyAlignment="1">
      <alignment vertical="center" wrapText="1"/>
    </xf>
    <xf numFmtId="166" fontId="7" fillId="2" borderId="10" xfId="2" applyNumberFormat="1" applyFont="1" applyFill="1" applyBorder="1" applyAlignment="1" applyProtection="1">
      <alignment vertical="center"/>
      <protection locked="0"/>
    </xf>
    <xf numFmtId="9" fontId="0" fillId="0" borderId="0" xfId="3" applyFont="1" applyFill="1" applyProtection="1"/>
    <xf numFmtId="170" fontId="0" fillId="0" borderId="0" xfId="5" applyNumberFormat="1" applyFont="1" applyAlignment="1">
      <alignment vertical="center"/>
    </xf>
    <xf numFmtId="170" fontId="0" fillId="0" borderId="0" xfId="5" applyNumberFormat="1" applyFont="1"/>
    <xf numFmtId="168" fontId="0" fillId="26" borderId="76" xfId="5" applyNumberFormat="1" applyFont="1" applyFill="1" applyBorder="1" applyAlignment="1">
      <alignment horizontal="center" vertical="center"/>
    </xf>
    <xf numFmtId="168" fontId="0" fillId="2" borderId="74" xfId="5" applyNumberFormat="1" applyFont="1" applyFill="1" applyBorder="1" applyAlignment="1" applyProtection="1">
      <alignment horizontal="center" vertical="center"/>
      <protection locked="0"/>
    </xf>
    <xf numFmtId="168" fontId="0" fillId="2" borderId="78" xfId="5" applyNumberFormat="1" applyFont="1" applyFill="1" applyBorder="1" applyAlignment="1" applyProtection="1">
      <alignment horizontal="center" vertical="center"/>
      <protection locked="0"/>
    </xf>
    <xf numFmtId="168" fontId="0" fillId="26" borderId="80" xfId="5" applyNumberFormat="1" applyFont="1" applyFill="1" applyBorder="1" applyAlignment="1">
      <alignment horizontal="center" vertical="center"/>
    </xf>
    <xf numFmtId="168" fontId="0" fillId="2" borderId="67" xfId="5" applyNumberFormat="1" applyFont="1" applyFill="1" applyBorder="1" applyAlignment="1" applyProtection="1">
      <alignment horizontal="center" vertical="center"/>
      <protection locked="0"/>
    </xf>
    <xf numFmtId="174" fontId="0" fillId="0" borderId="0" xfId="1" applyNumberFormat="1" applyFont="1" applyFill="1" applyBorder="1" applyAlignment="1" applyProtection="1">
      <alignment vertical="center"/>
    </xf>
    <xf numFmtId="0" fontId="5" fillId="22" borderId="91" xfId="0" applyFont="1" applyFill="1" applyBorder="1" applyAlignment="1">
      <alignment horizontal="center" vertical="center" wrapText="1"/>
    </xf>
    <xf numFmtId="174" fontId="5" fillId="22" borderId="91" xfId="1" applyNumberFormat="1" applyFont="1" applyFill="1" applyBorder="1" applyAlignment="1" applyProtection="1">
      <alignment horizontal="center" vertical="center" wrapText="1"/>
    </xf>
    <xf numFmtId="0" fontId="15" fillId="22" borderId="91" xfId="0" applyFont="1" applyFill="1" applyBorder="1" applyAlignment="1">
      <alignment horizontal="center" vertical="center"/>
    </xf>
    <xf numFmtId="0" fontId="5" fillId="30" borderId="14" xfId="0" applyFont="1" applyFill="1" applyBorder="1" applyAlignment="1">
      <alignment horizontal="center" vertical="center"/>
    </xf>
    <xf numFmtId="0" fontId="15" fillId="31" borderId="74" xfId="0" applyFont="1" applyFill="1" applyBorder="1" applyAlignment="1">
      <alignment horizontal="left" vertical="center"/>
    </xf>
    <xf numFmtId="166" fontId="5" fillId="32" borderId="74" xfId="5" applyNumberFormat="1" applyFont="1" applyFill="1" applyBorder="1" applyAlignment="1">
      <alignment vertical="center"/>
    </xf>
    <xf numFmtId="166" fontId="15" fillId="33" borderId="74" xfId="5" applyNumberFormat="1" applyFont="1" applyFill="1" applyBorder="1" applyAlignment="1">
      <alignment vertical="center"/>
    </xf>
    <xf numFmtId="0" fontId="5" fillId="34" borderId="12" xfId="0" applyFont="1" applyFill="1" applyBorder="1" applyAlignment="1">
      <alignment horizontal="center" vertical="center" wrapText="1"/>
    </xf>
    <xf numFmtId="0" fontId="15" fillId="34" borderId="74" xfId="0" applyFont="1" applyFill="1" applyBorder="1" applyAlignment="1">
      <alignment horizontal="left" vertical="center"/>
    </xf>
    <xf numFmtId="166" fontId="15" fillId="34" borderId="74" xfId="5" applyNumberFormat="1" applyFont="1" applyFill="1" applyBorder="1" applyAlignment="1">
      <alignment horizontal="center" vertical="center"/>
    </xf>
    <xf numFmtId="166" fontId="5" fillId="35" borderId="74" xfId="5" applyNumberFormat="1" applyFont="1" applyFill="1" applyBorder="1" applyAlignment="1">
      <alignment vertical="center"/>
    </xf>
    <xf numFmtId="1" fontId="0" fillId="0" borderId="12" xfId="0" applyNumberFormat="1" applyBorder="1" applyAlignment="1">
      <alignment horizontal="center" vertical="center" wrapText="1"/>
    </xf>
    <xf numFmtId="175" fontId="16" fillId="0" borderId="74" xfId="0" applyNumberFormat="1" applyFont="1" applyBorder="1" applyAlignment="1">
      <alignment horizontal="left"/>
    </xf>
    <xf numFmtId="166" fontId="0" fillId="10" borderId="74" xfId="5" applyNumberFormat="1" applyFont="1" applyFill="1" applyBorder="1" applyAlignment="1">
      <alignment vertical="center"/>
    </xf>
    <xf numFmtId="166" fontId="16" fillId="25" borderId="74" xfId="5" applyNumberFormat="1" applyFont="1" applyFill="1" applyBorder="1" applyAlignment="1">
      <alignment vertical="center"/>
    </xf>
    <xf numFmtId="166" fontId="0" fillId="2" borderId="74" xfId="5" applyNumberFormat="1" applyFont="1" applyFill="1" applyBorder="1" applyAlignment="1" applyProtection="1">
      <alignment vertical="center"/>
      <protection locked="0"/>
    </xf>
    <xf numFmtId="166" fontId="16" fillId="2" borderId="74" xfId="5" applyNumberFormat="1" applyFont="1" applyFill="1" applyBorder="1" applyAlignment="1" applyProtection="1">
      <alignment vertical="center"/>
      <protection locked="0"/>
    </xf>
    <xf numFmtId="176" fontId="16" fillId="2" borderId="74" xfId="1" applyNumberFormat="1" applyFont="1" applyFill="1" applyBorder="1" applyAlignment="1" applyProtection="1">
      <alignment vertical="center"/>
      <protection locked="0"/>
    </xf>
    <xf numFmtId="166" fontId="16" fillId="23" borderId="74" xfId="5" applyNumberFormat="1" applyFont="1" applyFill="1" applyBorder="1" applyAlignment="1">
      <alignment vertical="center"/>
    </xf>
    <xf numFmtId="166" fontId="15" fillId="35" borderId="74" xfId="5" applyNumberFormat="1" applyFont="1" applyFill="1" applyBorder="1" applyAlignment="1">
      <alignment vertical="center"/>
    </xf>
    <xf numFmtId="166" fontId="15" fillId="34" borderId="74" xfId="5" applyNumberFormat="1" applyFont="1" applyFill="1" applyBorder="1" applyAlignment="1">
      <alignment vertical="center"/>
    </xf>
    <xf numFmtId="166" fontId="16" fillId="37" borderId="74" xfId="5" applyNumberFormat="1" applyFont="1" applyFill="1" applyBorder="1" applyAlignment="1" applyProtection="1">
      <alignment vertical="center"/>
      <protection locked="0"/>
    </xf>
    <xf numFmtId="176" fontId="16" fillId="37" borderId="74" xfId="1" applyNumberFormat="1" applyFont="1" applyFill="1" applyBorder="1" applyAlignment="1" applyProtection="1">
      <alignment vertical="center"/>
      <protection locked="0"/>
    </xf>
    <xf numFmtId="175" fontId="16" fillId="19" borderId="74" xfId="0" applyNumberFormat="1" applyFont="1" applyFill="1" applyBorder="1" applyAlignment="1">
      <alignment horizontal="left"/>
    </xf>
    <xf numFmtId="166" fontId="15" fillId="31" borderId="74" xfId="5" applyNumberFormat="1" applyFont="1" applyFill="1" applyBorder="1" applyAlignment="1">
      <alignment horizontal="center" vertical="center"/>
    </xf>
    <xf numFmtId="166" fontId="0" fillId="37" borderId="74" xfId="5" applyNumberFormat="1" applyFont="1" applyFill="1" applyBorder="1" applyAlignment="1" applyProtection="1">
      <alignment vertical="center"/>
      <protection locked="0"/>
    </xf>
    <xf numFmtId="1" fontId="0" fillId="0" borderId="0" xfId="0" applyNumberFormat="1" applyAlignment="1">
      <alignment horizontal="center" vertical="center" wrapText="1"/>
    </xf>
    <xf numFmtId="0" fontId="5" fillId="38" borderId="96" xfId="0" applyFont="1" applyFill="1" applyBorder="1" applyAlignment="1">
      <alignment horizontal="center" vertical="center" wrapText="1"/>
    </xf>
    <xf numFmtId="0" fontId="5" fillId="18" borderId="7" xfId="0" applyFont="1" applyFill="1" applyBorder="1" applyAlignment="1">
      <alignment vertical="center"/>
    </xf>
    <xf numFmtId="177" fontId="5" fillId="18" borderId="7" xfId="5" applyNumberFormat="1" applyFont="1" applyFill="1" applyBorder="1" applyAlignment="1">
      <alignment vertical="center"/>
    </xf>
    <xf numFmtId="177" fontId="5" fillId="39" borderId="7" xfId="5" applyNumberFormat="1" applyFont="1" applyFill="1" applyBorder="1" applyAlignment="1">
      <alignment vertical="center"/>
    </xf>
    <xf numFmtId="0" fontId="5" fillId="22" borderId="74" xfId="0" applyFont="1" applyFill="1" applyBorder="1" applyAlignment="1">
      <alignment horizontal="center" vertical="center" wrapText="1"/>
    </xf>
    <xf numFmtId="174" fontId="5" fillId="22" borderId="74" xfId="1" applyNumberFormat="1" applyFont="1" applyFill="1" applyBorder="1" applyAlignment="1" applyProtection="1">
      <alignment horizontal="center" vertical="center" wrapText="1"/>
    </xf>
    <xf numFmtId="0" fontId="15" fillId="22" borderId="74" xfId="0" applyFont="1" applyFill="1" applyBorder="1" applyAlignment="1">
      <alignment horizontal="center" vertical="center"/>
    </xf>
    <xf numFmtId="0" fontId="5" fillId="30" borderId="99" xfId="0" applyFont="1" applyFill="1" applyBorder="1" applyAlignment="1">
      <alignment horizontal="center" vertical="center"/>
    </xf>
    <xf numFmtId="0" fontId="5" fillId="38" borderId="100" xfId="0" applyFont="1" applyFill="1" applyBorder="1" applyAlignment="1">
      <alignment horizontal="center" vertical="center" wrapText="1"/>
    </xf>
    <xf numFmtId="0" fontId="5" fillId="18" borderId="74" xfId="0" applyFont="1" applyFill="1" applyBorder="1" applyAlignment="1">
      <alignment vertical="center"/>
    </xf>
    <xf numFmtId="177" fontId="5" fillId="18" borderId="74" xfId="5" applyNumberFormat="1" applyFont="1" applyFill="1" applyBorder="1" applyAlignment="1">
      <alignment vertical="center"/>
    </xf>
    <xf numFmtId="177" fontId="5" fillId="39" borderId="74" xfId="5" applyNumberFormat="1" applyFont="1" applyFill="1" applyBorder="1" applyAlignment="1">
      <alignment vertical="center"/>
    </xf>
    <xf numFmtId="1" fontId="0" fillId="0" borderId="24" xfId="0" applyNumberFormat="1" applyBorder="1" applyAlignment="1">
      <alignment horizontal="center" vertical="center" wrapText="1"/>
    </xf>
    <xf numFmtId="176" fontId="16" fillId="2" borderId="104" xfId="1" applyNumberFormat="1" applyFont="1" applyFill="1" applyBorder="1" applyAlignment="1" applyProtection="1">
      <alignment vertical="center"/>
      <protection locked="0"/>
    </xf>
    <xf numFmtId="166" fontId="16" fillId="23" borderId="24" xfId="5" applyNumberFormat="1" applyFont="1" applyFill="1" applyBorder="1" applyAlignment="1">
      <alignment vertical="center"/>
    </xf>
    <xf numFmtId="166" fontId="16" fillId="23" borderId="105" xfId="5" applyNumberFormat="1" applyFont="1" applyFill="1" applyBorder="1" applyAlignment="1">
      <alignment vertical="center"/>
    </xf>
    <xf numFmtId="0" fontId="5" fillId="34" borderId="24" xfId="0" applyFont="1" applyFill="1" applyBorder="1" applyAlignment="1">
      <alignment horizontal="center" vertical="center" wrapText="1"/>
    </xf>
    <xf numFmtId="166" fontId="15" fillId="34" borderId="24" xfId="5" applyNumberFormat="1" applyFont="1" applyFill="1" applyBorder="1" applyAlignment="1">
      <alignment horizontal="center" vertical="center"/>
    </xf>
    <xf numFmtId="1" fontId="0" fillId="0" borderId="1" xfId="0" applyNumberFormat="1" applyBorder="1" applyAlignment="1">
      <alignment horizontal="center" vertical="center" wrapText="1"/>
    </xf>
    <xf numFmtId="166" fontId="16" fillId="23" borderId="106" xfId="5" applyNumberFormat="1" applyFont="1" applyFill="1" applyBorder="1" applyAlignment="1">
      <alignment vertical="center"/>
    </xf>
    <xf numFmtId="0" fontId="5" fillId="38" borderId="107" xfId="0" applyFont="1" applyFill="1" applyBorder="1" applyAlignment="1">
      <alignment horizontal="center" vertical="center" wrapText="1"/>
    </xf>
    <xf numFmtId="177" fontId="5" fillId="18" borderId="109" xfId="5" applyNumberFormat="1" applyFont="1" applyFill="1" applyBorder="1" applyAlignment="1">
      <alignment vertical="center"/>
    </xf>
    <xf numFmtId="177" fontId="5" fillId="39" borderId="108" xfId="5" applyNumberFormat="1" applyFont="1" applyFill="1" applyBorder="1" applyAlignment="1">
      <alignment vertical="center"/>
    </xf>
    <xf numFmtId="174" fontId="5" fillId="22" borderId="102" xfId="1" applyNumberFormat="1" applyFont="1" applyFill="1" applyBorder="1" applyAlignment="1" applyProtection="1">
      <alignment horizontal="center" vertical="center" wrapText="1"/>
    </xf>
    <xf numFmtId="0" fontId="15" fillId="22" borderId="110" xfId="0" applyFont="1" applyFill="1" applyBorder="1" applyAlignment="1">
      <alignment horizontal="center" vertical="center"/>
    </xf>
    <xf numFmtId="0" fontId="5" fillId="30" borderId="105" xfId="0" applyFont="1" applyFill="1" applyBorder="1" applyAlignment="1">
      <alignment horizontal="center" vertical="center"/>
    </xf>
    <xf numFmtId="166" fontId="15" fillId="34" borderId="111" xfId="5" applyNumberFormat="1" applyFont="1" applyFill="1" applyBorder="1" applyAlignment="1">
      <alignment horizontal="center" vertical="center"/>
    </xf>
    <xf numFmtId="166" fontId="5" fillId="35" borderId="111" xfId="5" applyNumberFormat="1" applyFont="1" applyFill="1" applyBorder="1" applyAlignment="1">
      <alignment vertical="center"/>
    </xf>
    <xf numFmtId="166" fontId="15" fillId="34" borderId="105" xfId="5" applyNumberFormat="1" applyFont="1" applyFill="1" applyBorder="1" applyAlignment="1">
      <alignment vertical="center"/>
    </xf>
    <xf numFmtId="166" fontId="15" fillId="31" borderId="24" xfId="5" applyNumberFormat="1" applyFont="1" applyFill="1" applyBorder="1" applyAlignment="1">
      <alignment horizontal="center" vertical="center"/>
    </xf>
    <xf numFmtId="176" fontId="0" fillId="0" borderId="0" xfId="1" applyNumberFormat="1" applyFont="1" applyFill="1" applyBorder="1" applyAlignment="1" applyProtection="1">
      <alignment vertical="center"/>
    </xf>
    <xf numFmtId="0" fontId="0" fillId="0" borderId="0" xfId="0" applyAlignment="1">
      <alignment horizontal="left" vertical="center"/>
    </xf>
    <xf numFmtId="166" fontId="0" fillId="0" borderId="0" xfId="5" applyNumberFormat="1" applyFont="1" applyAlignment="1">
      <alignment vertical="center"/>
    </xf>
    <xf numFmtId="166" fontId="16" fillId="0" borderId="0" xfId="5" applyNumberFormat="1" applyFont="1" applyAlignment="1">
      <alignment vertical="center"/>
    </xf>
    <xf numFmtId="176" fontId="16" fillId="0" borderId="0" xfId="1" applyNumberFormat="1" applyFont="1" applyFill="1" applyBorder="1" applyAlignment="1" applyProtection="1">
      <alignment vertical="center"/>
    </xf>
    <xf numFmtId="166" fontId="15" fillId="0" borderId="0" xfId="5" applyNumberFormat="1" applyFont="1" applyAlignment="1">
      <alignment vertical="center"/>
    </xf>
    <xf numFmtId="166" fontId="0" fillId="0" borderId="0" xfId="0" applyNumberFormat="1" applyAlignment="1">
      <alignment vertical="center"/>
    </xf>
    <xf numFmtId="0" fontId="17" fillId="0" borderId="0" xfId="0" applyFont="1" applyAlignment="1">
      <alignment vertical="center"/>
    </xf>
    <xf numFmtId="166" fontId="17" fillId="0" borderId="0" xfId="0" applyNumberFormat="1" applyFont="1" applyAlignment="1">
      <alignment vertical="center"/>
    </xf>
    <xf numFmtId="166" fontId="9" fillId="0" borderId="0" xfId="0" applyNumberFormat="1" applyFont="1" applyAlignment="1">
      <alignment vertical="center"/>
    </xf>
    <xf numFmtId="0" fontId="5" fillId="19" borderId="0" xfId="0" applyFont="1" applyFill="1" applyAlignment="1">
      <alignment vertical="center"/>
    </xf>
    <xf numFmtId="0" fontId="5" fillId="19" borderId="0" xfId="0" applyFont="1" applyFill="1" applyAlignment="1">
      <alignment horizontal="center" vertical="center"/>
    </xf>
    <xf numFmtId="0" fontId="5" fillId="19" borderId="0" xfId="7" applyFont="1" applyFill="1" applyAlignment="1">
      <alignment horizontal="center" vertical="center"/>
    </xf>
    <xf numFmtId="0" fontId="5" fillId="19" borderId="0" xfId="7" applyFont="1" applyFill="1" applyAlignment="1">
      <alignment vertical="center"/>
    </xf>
    <xf numFmtId="0" fontId="5" fillId="19" borderId="0" xfId="0" applyFont="1" applyFill="1" applyAlignment="1">
      <alignment horizontal="right" vertical="center"/>
    </xf>
    <xf numFmtId="0" fontId="0" fillId="19" borderId="0" xfId="0" applyFill="1"/>
    <xf numFmtId="0" fontId="0" fillId="21" borderId="0" xfId="0" applyFill="1"/>
    <xf numFmtId="0" fontId="12" fillId="19" borderId="0" xfId="0" applyFont="1" applyFill="1" applyAlignment="1">
      <alignment vertical="center"/>
    </xf>
    <xf numFmtId="0" fontId="0" fillId="2" borderId="126" xfId="0" applyFill="1" applyBorder="1" applyAlignment="1" applyProtection="1">
      <alignment horizontal="left" vertical="center"/>
      <protection locked="0"/>
    </xf>
    <xf numFmtId="0" fontId="0" fillId="2" borderId="132" xfId="0" applyFill="1" applyBorder="1" applyAlignment="1" applyProtection="1">
      <alignment horizontal="left" vertical="center"/>
      <protection locked="0"/>
    </xf>
    <xf numFmtId="0" fontId="0" fillId="2" borderId="74"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0" fillId="2" borderId="138" xfId="0" applyFill="1" applyBorder="1" applyAlignment="1" applyProtection="1">
      <alignment horizontal="left" vertical="center"/>
      <protection locked="0"/>
    </xf>
    <xf numFmtId="170" fontId="0" fillId="2" borderId="139" xfId="5" applyNumberFormat="1" applyFont="1" applyFill="1" applyBorder="1" applyAlignment="1" applyProtection="1">
      <alignment vertical="center"/>
      <protection locked="0"/>
    </xf>
    <xf numFmtId="170" fontId="0" fillId="2" borderId="83" xfId="5" applyNumberFormat="1" applyFont="1" applyFill="1" applyBorder="1" applyAlignment="1" applyProtection="1">
      <alignment vertical="center"/>
      <protection locked="0"/>
    </xf>
    <xf numFmtId="173" fontId="7" fillId="0" borderId="0" xfId="5" applyNumberFormat="1"/>
    <xf numFmtId="9" fontId="5" fillId="0" borderId="0" xfId="0" applyNumberFormat="1" applyFont="1" applyAlignment="1">
      <alignment vertical="center"/>
    </xf>
    <xf numFmtId="180" fontId="5" fillId="0" borderId="0" xfId="0" applyNumberFormat="1" applyFont="1" applyAlignment="1">
      <alignment vertical="center"/>
    </xf>
    <xf numFmtId="171" fontId="5" fillId="0" borderId="0" xfId="0" applyNumberFormat="1" applyFont="1" applyAlignment="1">
      <alignment horizontal="center" vertical="center"/>
    </xf>
    <xf numFmtId="166" fontId="5" fillId="3" borderId="98" xfId="0" applyNumberFormat="1" applyFont="1" applyFill="1" applyBorder="1" applyAlignment="1">
      <alignment horizontal="center" vertical="center" wrapText="1"/>
    </xf>
    <xf numFmtId="166" fontId="5" fillId="3" borderId="128" xfId="0" applyNumberFormat="1" applyFont="1" applyFill="1" applyBorder="1" applyAlignment="1">
      <alignment horizontal="center" vertical="center" wrapText="1"/>
    </xf>
    <xf numFmtId="166" fontId="5" fillId="3" borderId="140" xfId="0" applyNumberFormat="1" applyFont="1" applyFill="1" applyBorder="1" applyAlignment="1">
      <alignment horizontal="center" vertical="center" wrapText="1"/>
    </xf>
    <xf numFmtId="166" fontId="0" fillId="23" borderId="83" xfId="5" applyNumberFormat="1" applyFont="1" applyFill="1" applyBorder="1" applyAlignment="1">
      <alignment vertical="center"/>
    </xf>
    <xf numFmtId="0" fontId="5" fillId="0" borderId="1" xfId="0" applyFont="1" applyBorder="1" applyAlignment="1">
      <alignment horizontal="right" vertical="center"/>
    </xf>
    <xf numFmtId="0" fontId="8" fillId="2" borderId="150" xfId="0" applyFont="1" applyFill="1" applyBorder="1" applyAlignment="1">
      <alignment horizontal="center" vertical="center"/>
    </xf>
    <xf numFmtId="0" fontId="8" fillId="0" borderId="26" xfId="0" applyFont="1" applyBorder="1" applyAlignment="1">
      <alignment horizontal="center" vertical="center"/>
    </xf>
    <xf numFmtId="0" fontId="8" fillId="0" borderId="0" xfId="0" applyFont="1" applyAlignment="1">
      <alignment horizontal="center" vertical="center"/>
    </xf>
    <xf numFmtId="0" fontId="12" fillId="21" borderId="0" xfId="0" applyFont="1" applyFill="1" applyAlignment="1">
      <alignment horizontal="left" vertical="center" indent="2"/>
    </xf>
    <xf numFmtId="178" fontId="5" fillId="40" borderId="151" xfId="0" applyNumberFormat="1" applyFont="1" applyFill="1" applyBorder="1" applyAlignment="1">
      <alignment horizontal="center" vertical="center"/>
    </xf>
    <xf numFmtId="171" fontId="5" fillId="9" borderId="151" xfId="3" applyNumberFormat="1" applyFont="1" applyFill="1" applyBorder="1" applyAlignment="1" applyProtection="1">
      <alignment horizontal="center" vertical="center"/>
    </xf>
    <xf numFmtId="178" fontId="0" fillId="21" borderId="0" xfId="0" applyNumberFormat="1" applyFill="1" applyAlignment="1">
      <alignment horizontal="right" vertical="center"/>
    </xf>
    <xf numFmtId="0" fontId="5" fillId="0" borderId="0" xfId="0" applyFont="1" applyAlignment="1">
      <alignment horizontal="center"/>
    </xf>
    <xf numFmtId="0" fontId="5" fillId="0" borderId="0" xfId="0" applyFont="1" applyAlignment="1">
      <alignment horizontal="center" vertical="center" wrapText="1"/>
    </xf>
    <xf numFmtId="0" fontId="0" fillId="2" borderId="6" xfId="0" applyFill="1" applyBorder="1" applyAlignment="1" applyProtection="1">
      <alignment horizontal="left" vertical="center"/>
      <protection locked="0"/>
    </xf>
    <xf numFmtId="0" fontId="0" fillId="2" borderId="64" xfId="0" applyFill="1" applyBorder="1" applyAlignment="1" applyProtection="1">
      <alignment horizontal="left" vertical="center"/>
      <protection locked="0"/>
    </xf>
    <xf numFmtId="0" fontId="0" fillId="2" borderId="65" xfId="0" applyFill="1" applyBorder="1" applyAlignment="1" applyProtection="1">
      <alignment horizontal="left" vertical="center"/>
      <protection locked="0"/>
    </xf>
    <xf numFmtId="178" fontId="0" fillId="0" borderId="0" xfId="0" applyNumberFormat="1" applyAlignment="1">
      <alignment horizontal="right" vertical="center"/>
    </xf>
    <xf numFmtId="178" fontId="5" fillId="0" borderId="0" xfId="0" applyNumberFormat="1" applyFont="1" applyAlignment="1">
      <alignment horizontal="center" vertical="center" wrapText="1"/>
    </xf>
    <xf numFmtId="0" fontId="0" fillId="2" borderId="155" xfId="0" applyFill="1" applyBorder="1" applyAlignment="1" applyProtection="1">
      <alignment horizontal="left" vertical="center"/>
      <protection locked="0"/>
    </xf>
    <xf numFmtId="0" fontId="0" fillId="2" borderId="151" xfId="0" applyFill="1" applyBorder="1" applyAlignment="1" applyProtection="1">
      <alignment horizontal="left" vertical="center"/>
      <protection locked="0"/>
    </xf>
    <xf numFmtId="0" fontId="0" fillId="2" borderId="156" xfId="0" applyFill="1" applyBorder="1" applyAlignment="1" applyProtection="1">
      <alignment horizontal="left" vertical="center"/>
      <protection locked="0"/>
    </xf>
    <xf numFmtId="0" fontId="22" fillId="2" borderId="155" xfId="0" applyFont="1" applyFill="1" applyBorder="1" applyAlignment="1" applyProtection="1">
      <alignment horizontal="left" vertical="center"/>
      <protection locked="0"/>
    </xf>
    <xf numFmtId="0" fontId="0" fillId="2" borderId="157" xfId="0" applyFill="1" applyBorder="1" applyAlignment="1" applyProtection="1">
      <alignment horizontal="left" vertical="center"/>
      <protection locked="0"/>
    </xf>
    <xf numFmtId="0" fontId="0" fillId="2" borderId="158" xfId="0" applyFill="1" applyBorder="1" applyAlignment="1" applyProtection="1">
      <alignment horizontal="left" vertical="center"/>
      <protection locked="0"/>
    </xf>
    <xf numFmtId="0" fontId="22" fillId="2" borderId="74" xfId="0" applyFont="1" applyFill="1" applyBorder="1" applyAlignment="1" applyProtection="1">
      <alignment horizontal="left" vertical="center"/>
      <protection locked="0"/>
    </xf>
    <xf numFmtId="0" fontId="0" fillId="2" borderId="125" xfId="0" applyFill="1" applyBorder="1" applyAlignment="1" applyProtection="1">
      <alignment horizontal="left" vertical="center"/>
      <protection locked="0"/>
    </xf>
    <xf numFmtId="0" fontId="0" fillId="2" borderId="77" xfId="0" applyFill="1" applyBorder="1" applyAlignment="1" applyProtection="1">
      <alignment horizontal="left" vertical="center"/>
      <protection locked="0"/>
    </xf>
    <xf numFmtId="0" fontId="13" fillId="2" borderId="138" xfId="0" applyFont="1" applyFill="1" applyBorder="1" applyAlignment="1" applyProtection="1">
      <alignment horizontal="left" vertical="center"/>
      <protection locked="0"/>
    </xf>
    <xf numFmtId="0" fontId="0" fillId="2" borderId="139" xfId="0" applyFill="1" applyBorder="1" applyAlignment="1" applyProtection="1">
      <alignment horizontal="left" vertical="center"/>
      <protection locked="0"/>
    </xf>
    <xf numFmtId="0" fontId="5" fillId="0" borderId="1" xfId="0" applyFont="1" applyBorder="1" applyAlignment="1">
      <alignment horizontal="center" vertical="center"/>
    </xf>
    <xf numFmtId="0" fontId="0" fillId="0" borderId="0" xfId="0" applyAlignment="1">
      <alignment horizontal="left" vertical="center" wrapText="1"/>
    </xf>
    <xf numFmtId="0" fontId="0" fillId="40" borderId="74" xfId="0" applyFill="1" applyBorder="1" applyAlignment="1">
      <alignment horizontal="left" vertical="center" wrapText="1"/>
    </xf>
    <xf numFmtId="182" fontId="1" fillId="45" borderId="61" xfId="3" applyNumberFormat="1" applyFill="1" applyBorder="1" applyAlignment="1" applyProtection="1">
      <alignment horizontal="center" vertical="center"/>
    </xf>
    <xf numFmtId="0" fontId="0" fillId="0" borderId="0" xfId="0" applyProtection="1">
      <protection locked="0"/>
    </xf>
    <xf numFmtId="0" fontId="5" fillId="0" borderId="0" xfId="0" applyFont="1" applyAlignment="1" applyProtection="1">
      <alignment vertical="center"/>
      <protection locked="0"/>
    </xf>
    <xf numFmtId="0" fontId="0" fillId="19" borderId="0" xfId="0" applyFill="1" applyAlignment="1">
      <alignment vertical="center"/>
    </xf>
    <xf numFmtId="0" fontId="5" fillId="19" borderId="1" xfId="0" applyFont="1" applyFill="1" applyBorder="1" applyAlignment="1">
      <alignment horizontal="center" vertical="center"/>
    </xf>
    <xf numFmtId="0" fontId="0" fillId="19" borderId="0" xfId="0" applyFill="1" applyAlignment="1">
      <alignment horizontal="center" vertical="center"/>
    </xf>
    <xf numFmtId="0" fontId="9" fillId="49" borderId="165" xfId="0" applyFont="1" applyFill="1" applyBorder="1" applyAlignment="1">
      <alignment horizontal="center" vertical="center"/>
    </xf>
    <xf numFmtId="0" fontId="0" fillId="19" borderId="165" xfId="0" applyFill="1" applyBorder="1" applyAlignment="1">
      <alignment horizontal="left"/>
    </xf>
    <xf numFmtId="173" fontId="7" fillId="2" borderId="165" xfId="5" applyNumberFormat="1" applyFill="1" applyBorder="1" applyProtection="1">
      <protection locked="0"/>
    </xf>
    <xf numFmtId="0" fontId="0" fillId="19" borderId="165" xfId="0" applyFill="1" applyBorder="1" applyAlignment="1">
      <alignment horizontal="center"/>
    </xf>
    <xf numFmtId="173" fontId="7" fillId="0" borderId="165" xfId="5" applyNumberFormat="1" applyBorder="1"/>
    <xf numFmtId="0" fontId="5" fillId="19" borderId="85" xfId="0" applyFont="1" applyFill="1" applyBorder="1"/>
    <xf numFmtId="173" fontId="7" fillId="0" borderId="85" xfId="5" applyNumberFormat="1" applyBorder="1"/>
    <xf numFmtId="0" fontId="5" fillId="0" borderId="0" xfId="0" applyFont="1" applyAlignment="1" applyProtection="1">
      <alignment horizontal="center" vertical="center"/>
      <protection locked="0"/>
    </xf>
    <xf numFmtId="0" fontId="5" fillId="0" borderId="0" xfId="0" applyFont="1" applyAlignment="1" applyProtection="1">
      <alignment horizontal="right" vertical="center"/>
      <protection locked="0"/>
    </xf>
    <xf numFmtId="9" fontId="17" fillId="19" borderId="0" xfId="0" applyNumberFormat="1" applyFont="1" applyFill="1" applyAlignment="1">
      <alignment horizontal="center"/>
    </xf>
    <xf numFmtId="0" fontId="2" fillId="43" borderId="85" xfId="0" applyFont="1" applyFill="1" applyBorder="1" applyAlignment="1">
      <alignment horizontal="left" vertical="center" indent="1"/>
    </xf>
    <xf numFmtId="0" fontId="2" fillId="50" borderId="85" xfId="0" applyFont="1" applyFill="1" applyBorder="1" applyAlignment="1">
      <alignment horizontal="center" vertical="center" wrapText="1"/>
    </xf>
    <xf numFmtId="0" fontId="0" fillId="19" borderId="130" xfId="0" applyFill="1" applyBorder="1" applyAlignment="1">
      <alignment horizontal="left" indent="2"/>
    </xf>
    <xf numFmtId="172" fontId="0" fillId="19" borderId="79" xfId="0" applyNumberFormat="1" applyFill="1" applyBorder="1"/>
    <xf numFmtId="172" fontId="2" fillId="19" borderId="169" xfId="0" applyNumberFormat="1" applyFont="1" applyFill="1" applyBorder="1"/>
    <xf numFmtId="0" fontId="0" fillId="19" borderId="169" xfId="0" applyFill="1" applyBorder="1" applyAlignment="1">
      <alignment horizontal="left" indent="2"/>
    </xf>
    <xf numFmtId="172" fontId="0" fillId="19" borderId="165" xfId="0" applyNumberFormat="1" applyFill="1" applyBorder="1"/>
    <xf numFmtId="172" fontId="0" fillId="19" borderId="77" xfId="0" applyNumberFormat="1" applyFill="1" applyBorder="1"/>
    <xf numFmtId="0" fontId="0" fillId="19" borderId="54" xfId="0" applyFill="1" applyBorder="1" applyAlignment="1">
      <alignment horizontal="left" indent="2"/>
    </xf>
    <xf numFmtId="172" fontId="0" fillId="19" borderId="170" xfId="0" applyNumberFormat="1" applyFill="1" applyBorder="1"/>
    <xf numFmtId="0" fontId="2" fillId="10" borderId="85" xfId="0" applyFont="1" applyFill="1" applyBorder="1" applyAlignment="1">
      <alignment horizontal="left" indent="2"/>
    </xf>
    <xf numFmtId="172" fontId="2" fillId="19" borderId="149" xfId="0" applyNumberFormat="1" applyFont="1" applyFill="1" applyBorder="1"/>
    <xf numFmtId="172" fontId="2" fillId="19" borderId="67" xfId="0" applyNumberFormat="1" applyFont="1" applyFill="1" applyBorder="1"/>
    <xf numFmtId="172" fontId="2" fillId="19" borderId="88" xfId="0" applyNumberFormat="1" applyFont="1" applyFill="1" applyBorder="1"/>
    <xf numFmtId="172" fontId="2" fillId="19" borderId="85" xfId="0" applyNumberFormat="1" applyFont="1" applyFill="1" applyBorder="1"/>
    <xf numFmtId="0" fontId="2" fillId="0" borderId="0" xfId="0" applyFont="1" applyAlignment="1">
      <alignment horizontal="left" indent="2"/>
    </xf>
    <xf numFmtId="9" fontId="25" fillId="19" borderId="0" xfId="8" applyFont="1" applyFill="1" applyAlignment="1">
      <alignment horizontal="center"/>
    </xf>
    <xf numFmtId="172" fontId="2" fillId="19" borderId="0" xfId="0" applyNumberFormat="1" applyFont="1" applyFill="1"/>
    <xf numFmtId="0" fontId="26" fillId="19" borderId="0" xfId="0" applyFont="1" applyFill="1" applyAlignment="1">
      <alignment horizontal="left"/>
    </xf>
    <xf numFmtId="9" fontId="25" fillId="0" borderId="0" xfId="3" applyFont="1" applyAlignment="1">
      <alignment horizontal="center"/>
    </xf>
    <xf numFmtId="0" fontId="25" fillId="19" borderId="0" xfId="0" applyFont="1" applyFill="1"/>
    <xf numFmtId="9" fontId="1" fillId="0" borderId="0" xfId="3" applyAlignment="1">
      <alignment horizontal="center"/>
    </xf>
    <xf numFmtId="0" fontId="0" fillId="19" borderId="142" xfId="0" applyFill="1" applyBorder="1" applyAlignment="1">
      <alignment horizontal="left" indent="2"/>
    </xf>
    <xf numFmtId="172" fontId="0" fillId="19" borderId="101" xfId="0" applyNumberFormat="1" applyFill="1" applyBorder="1"/>
    <xf numFmtId="172" fontId="0" fillId="19" borderId="94" xfId="0" applyNumberFormat="1" applyFill="1" applyBorder="1"/>
    <xf numFmtId="172" fontId="0" fillId="19" borderId="37" xfId="0" applyNumberFormat="1" applyFill="1" applyBorder="1"/>
    <xf numFmtId="172" fontId="2" fillId="19" borderId="86" xfId="0" applyNumberFormat="1" applyFont="1" applyFill="1" applyBorder="1"/>
    <xf numFmtId="0" fontId="0" fillId="0" borderId="165" xfId="0" applyBorder="1" applyAlignment="1">
      <alignment horizontal="center"/>
    </xf>
    <xf numFmtId="0" fontId="0" fillId="0" borderId="165" xfId="0" applyBorder="1"/>
    <xf numFmtId="9" fontId="0" fillId="0" borderId="165" xfId="3" applyFont="1" applyBorder="1"/>
    <xf numFmtId="0" fontId="0" fillId="51" borderId="111" xfId="0" applyFill="1" applyBorder="1"/>
    <xf numFmtId="0" fontId="0" fillId="10" borderId="111" xfId="0" applyFill="1" applyBorder="1"/>
    <xf numFmtId="0" fontId="0" fillId="52" borderId="111" xfId="0" applyFill="1" applyBorder="1"/>
    <xf numFmtId="42" fontId="0" fillId="0" borderId="165" xfId="9" applyFont="1" applyBorder="1"/>
    <xf numFmtId="0" fontId="2" fillId="10" borderId="87" xfId="0" applyFont="1" applyFill="1" applyBorder="1" applyAlignment="1">
      <alignment horizontal="center" vertical="center"/>
    </xf>
    <xf numFmtId="0" fontId="2" fillId="52" borderId="67" xfId="0" applyFont="1" applyFill="1" applyBorder="1" applyAlignment="1">
      <alignment horizontal="center" vertical="center"/>
    </xf>
    <xf numFmtId="0" fontId="2" fillId="10" borderId="67" xfId="0" applyFont="1" applyFill="1" applyBorder="1" applyAlignment="1">
      <alignment horizontal="center" vertical="center"/>
    </xf>
    <xf numFmtId="0" fontId="2" fillId="52" borderId="137" xfId="0" applyFont="1" applyFill="1" applyBorder="1" applyAlignment="1">
      <alignment horizontal="center" vertical="center"/>
    </xf>
    <xf numFmtId="166" fontId="5" fillId="0" borderId="171" xfId="2" applyNumberFormat="1" applyFont="1" applyFill="1" applyBorder="1" applyAlignment="1" applyProtection="1">
      <alignment vertical="center"/>
    </xf>
    <xf numFmtId="166" fontId="5" fillId="3" borderId="172" xfId="2" applyNumberFormat="1" applyFont="1" applyFill="1" applyBorder="1" applyAlignment="1" applyProtection="1">
      <alignment vertical="center"/>
    </xf>
    <xf numFmtId="0" fontId="5" fillId="2" borderId="119" xfId="0" applyFont="1" applyFill="1" applyBorder="1" applyAlignment="1">
      <alignment horizontal="center" vertical="center"/>
    </xf>
    <xf numFmtId="166" fontId="5" fillId="2" borderId="31" xfId="0" applyNumberFormat="1" applyFont="1" applyFill="1" applyBorder="1" applyAlignment="1">
      <alignment vertical="center"/>
    </xf>
    <xf numFmtId="166" fontId="5" fillId="2" borderId="169" xfId="0" applyNumberFormat="1" applyFont="1" applyFill="1" applyBorder="1" applyAlignment="1">
      <alignment vertical="center"/>
    </xf>
    <xf numFmtId="166" fontId="5" fillId="2" borderId="54" xfId="0" applyNumberFormat="1" applyFont="1" applyFill="1" applyBorder="1" applyAlignment="1">
      <alignment vertical="center"/>
    </xf>
    <xf numFmtId="0" fontId="0" fillId="19" borderId="0" xfId="0" applyFill="1" applyProtection="1">
      <protection locked="0"/>
    </xf>
    <xf numFmtId="0" fontId="8" fillId="0" borderId="49" xfId="0" applyFont="1" applyBorder="1" applyAlignment="1">
      <alignment horizontal="center" vertical="center" wrapText="1"/>
    </xf>
    <xf numFmtId="0" fontId="8" fillId="0" borderId="56" xfId="0" applyFont="1" applyBorder="1" applyAlignment="1">
      <alignment horizontal="center" vertical="center" wrapText="1"/>
    </xf>
    <xf numFmtId="166" fontId="0" fillId="23" borderId="61" xfId="5" applyNumberFormat="1" applyFont="1" applyFill="1" applyBorder="1" applyAlignment="1">
      <alignment vertical="center"/>
    </xf>
    <xf numFmtId="166" fontId="0" fillId="23" borderId="87" xfId="5" applyNumberFormat="1" applyFont="1" applyFill="1" applyBorder="1" applyAlignment="1">
      <alignment vertical="center"/>
    </xf>
    <xf numFmtId="166" fontId="0" fillId="23" borderId="67" xfId="5" applyNumberFormat="1" applyFont="1" applyFill="1" applyBorder="1" applyAlignment="1">
      <alignment vertical="center"/>
    </xf>
    <xf numFmtId="166" fontId="0" fillId="23" borderId="137" xfId="5" applyNumberFormat="1" applyFont="1" applyFill="1" applyBorder="1" applyAlignment="1">
      <alignment vertical="center"/>
    </xf>
    <xf numFmtId="177" fontId="0" fillId="0" borderId="53" xfId="5" applyNumberFormat="1" applyFont="1" applyBorder="1" applyAlignment="1">
      <alignment horizontal="right" vertical="center"/>
    </xf>
    <xf numFmtId="177" fontId="0" fillId="0" borderId="53" xfId="5" applyNumberFormat="1" applyFont="1" applyBorder="1" applyAlignment="1">
      <alignment vertical="center"/>
    </xf>
    <xf numFmtId="177" fontId="0" fillId="0" borderId="66" xfId="5" applyNumberFormat="1" applyFont="1" applyBorder="1" applyAlignment="1">
      <alignment vertical="center"/>
    </xf>
    <xf numFmtId="166" fontId="5" fillId="14" borderId="162" xfId="0" applyNumberFormat="1" applyFont="1" applyFill="1" applyBorder="1" applyAlignment="1">
      <alignment horizontal="center" vertical="center" wrapText="1"/>
    </xf>
    <xf numFmtId="166" fontId="5" fillId="14" borderId="111" xfId="0" applyNumberFormat="1" applyFont="1" applyFill="1" applyBorder="1" applyAlignment="1">
      <alignment horizontal="center" vertical="center" wrapText="1"/>
    </xf>
    <xf numFmtId="166" fontId="5" fillId="14" borderId="163" xfId="0" applyNumberFormat="1" applyFont="1" applyFill="1" applyBorder="1" applyAlignment="1">
      <alignment horizontal="center" vertical="center" wrapText="1"/>
    </xf>
    <xf numFmtId="166" fontId="5" fillId="3" borderId="127" xfId="0" applyNumberFormat="1" applyFont="1" applyFill="1" applyBorder="1" applyAlignment="1">
      <alignment horizontal="center" vertical="center" wrapText="1"/>
    </xf>
    <xf numFmtId="166" fontId="5" fillId="3" borderId="162" xfId="0" applyNumberFormat="1" applyFont="1" applyFill="1" applyBorder="1" applyAlignment="1">
      <alignment horizontal="center" vertical="center" wrapText="1"/>
    </xf>
    <xf numFmtId="166" fontId="5" fillId="3" borderId="111" xfId="0" applyNumberFormat="1" applyFont="1" applyFill="1" applyBorder="1" applyAlignment="1">
      <alignment horizontal="center" vertical="center" wrapText="1"/>
    </xf>
    <xf numFmtId="166" fontId="5" fillId="3" borderId="163" xfId="0" applyNumberFormat="1" applyFont="1" applyFill="1" applyBorder="1" applyAlignment="1">
      <alignment horizontal="center" vertical="center" wrapText="1"/>
    </xf>
    <xf numFmtId="166" fontId="0" fillId="23" borderId="122" xfId="5" applyNumberFormat="1" applyFont="1" applyFill="1" applyBorder="1" applyAlignment="1">
      <alignment vertical="center"/>
    </xf>
    <xf numFmtId="166" fontId="0" fillId="23" borderId="219" xfId="5" applyNumberFormat="1" applyFont="1" applyFill="1" applyBorder="1" applyAlignment="1">
      <alignment vertical="center"/>
    </xf>
    <xf numFmtId="166" fontId="0" fillId="25" borderId="219" xfId="5" applyNumberFormat="1" applyFont="1" applyFill="1" applyBorder="1" applyAlignment="1">
      <alignment vertical="center"/>
    </xf>
    <xf numFmtId="166" fontId="0" fillId="23" borderId="179" xfId="5" applyNumberFormat="1" applyFont="1" applyFill="1" applyBorder="1" applyAlignment="1">
      <alignment vertical="center"/>
    </xf>
    <xf numFmtId="0" fontId="5" fillId="3" borderId="218" xfId="0" applyFont="1" applyFill="1" applyBorder="1" applyAlignment="1">
      <alignment horizontal="center" vertical="center"/>
    </xf>
    <xf numFmtId="0" fontId="5" fillId="3" borderId="221" xfId="0" applyFont="1" applyFill="1" applyBorder="1" applyAlignment="1">
      <alignment horizontal="center" vertical="center"/>
    </xf>
    <xf numFmtId="0" fontId="5" fillId="7" borderId="222" xfId="0" applyFont="1" applyFill="1" applyBorder="1" applyAlignment="1">
      <alignment horizontal="center" vertical="center" wrapText="1"/>
    </xf>
    <xf numFmtId="166" fontId="0" fillId="23" borderId="184" xfId="5" applyNumberFormat="1" applyFont="1" applyFill="1" applyBorder="1" applyAlignment="1">
      <alignment vertical="center"/>
    </xf>
    <xf numFmtId="182" fontId="1" fillId="45" borderId="184" xfId="3" applyNumberFormat="1" applyFill="1" applyBorder="1" applyAlignment="1" applyProtection="1">
      <alignment horizontal="center" vertical="center"/>
    </xf>
    <xf numFmtId="166" fontId="0" fillId="25" borderId="184" xfId="5" applyNumberFormat="1" applyFont="1" applyFill="1" applyBorder="1" applyAlignment="1">
      <alignment vertical="center"/>
    </xf>
    <xf numFmtId="182" fontId="1" fillId="46" borderId="184" xfId="3" applyNumberFormat="1" applyFill="1" applyBorder="1" applyAlignment="1" applyProtection="1">
      <alignment horizontal="center" vertical="center"/>
    </xf>
    <xf numFmtId="166" fontId="0" fillId="23" borderId="215" xfId="5" applyNumberFormat="1" applyFont="1" applyFill="1" applyBorder="1" applyAlignment="1">
      <alignment vertical="center"/>
    </xf>
    <xf numFmtId="182" fontId="1" fillId="45" borderId="215" xfId="3" applyNumberFormat="1" applyFill="1" applyBorder="1" applyAlignment="1" applyProtection="1">
      <alignment horizontal="center" vertical="center"/>
    </xf>
    <xf numFmtId="166" fontId="0" fillId="2" borderId="213" xfId="5" applyNumberFormat="1" applyFont="1" applyFill="1" applyBorder="1" applyAlignment="1" applyProtection="1">
      <alignment vertical="center"/>
      <protection locked="0"/>
    </xf>
    <xf numFmtId="0" fontId="11" fillId="0" borderId="49" xfId="0" applyFont="1" applyBorder="1" applyAlignment="1">
      <alignment horizontal="center" vertical="center" wrapText="1"/>
    </xf>
    <xf numFmtId="182" fontId="1" fillId="45" borderId="67" xfId="3" applyNumberFormat="1" applyFill="1" applyBorder="1" applyAlignment="1" applyProtection="1">
      <alignment horizontal="center" vertical="center"/>
    </xf>
    <xf numFmtId="0" fontId="0" fillId="2" borderId="149" xfId="0" applyFill="1" applyBorder="1" applyAlignment="1" applyProtection="1">
      <alignment horizontal="left" vertical="center"/>
      <protection locked="0"/>
    </xf>
    <xf numFmtId="166" fontId="0" fillId="2" borderId="137" xfId="5" applyNumberFormat="1" applyFont="1" applyFill="1" applyBorder="1" applyAlignment="1" applyProtection="1">
      <alignment vertical="center"/>
      <protection locked="0"/>
    </xf>
    <xf numFmtId="0" fontId="0" fillId="2" borderId="87" xfId="0" applyFill="1" applyBorder="1" applyAlignment="1" applyProtection="1">
      <alignment horizontal="left" vertical="center"/>
      <protection locked="0"/>
    </xf>
    <xf numFmtId="166" fontId="0" fillId="23" borderId="68" xfId="5" applyNumberFormat="1" applyFont="1" applyFill="1" applyBorder="1" applyAlignment="1">
      <alignment vertical="center"/>
    </xf>
    <xf numFmtId="0" fontId="11" fillId="0" borderId="56" xfId="0" applyFont="1" applyBorder="1" applyAlignment="1">
      <alignment horizontal="center" vertical="center" wrapText="1"/>
    </xf>
    <xf numFmtId="0" fontId="5" fillId="7" borderId="221" xfId="0" applyFont="1" applyFill="1" applyBorder="1" applyAlignment="1">
      <alignment horizontal="center" vertical="center" wrapText="1"/>
    </xf>
    <xf numFmtId="0" fontId="5" fillId="7" borderId="216" xfId="0" applyFont="1" applyFill="1" applyBorder="1" applyAlignment="1">
      <alignment horizontal="center" vertical="center" wrapText="1"/>
    </xf>
    <xf numFmtId="182" fontId="1" fillId="45" borderId="42" xfId="3" applyNumberFormat="1" applyFill="1" applyBorder="1" applyAlignment="1" applyProtection="1">
      <alignment horizontal="center" vertical="center"/>
    </xf>
    <xf numFmtId="182" fontId="1" fillId="45" borderId="213" xfId="3" applyNumberFormat="1" applyFill="1" applyBorder="1" applyAlignment="1" applyProtection="1">
      <alignment horizontal="center" vertical="center"/>
    </xf>
    <xf numFmtId="182" fontId="1" fillId="45" borderId="183" xfId="3" applyNumberFormat="1" applyFill="1" applyBorder="1" applyAlignment="1" applyProtection="1">
      <alignment horizontal="center" vertical="center"/>
    </xf>
    <xf numFmtId="182" fontId="1" fillId="45" borderId="190" xfId="3" applyNumberFormat="1" applyFill="1" applyBorder="1" applyAlignment="1" applyProtection="1">
      <alignment horizontal="center" vertical="center"/>
    </xf>
    <xf numFmtId="182" fontId="1" fillId="46" borderId="183" xfId="3" applyNumberFormat="1" applyFill="1" applyBorder="1" applyAlignment="1" applyProtection="1">
      <alignment horizontal="center" vertical="center"/>
    </xf>
    <xf numFmtId="182" fontId="1" fillId="46" borderId="190" xfId="3" applyNumberFormat="1" applyFill="1" applyBorder="1" applyAlignment="1" applyProtection="1">
      <alignment horizontal="center" vertical="center"/>
    </xf>
    <xf numFmtId="182" fontId="1" fillId="45" borderId="60" xfId="3" applyNumberFormat="1" applyFill="1" applyBorder="1" applyAlignment="1" applyProtection="1">
      <alignment horizontal="center" vertical="center"/>
    </xf>
    <xf numFmtId="182" fontId="1" fillId="45" borderId="83" xfId="3" applyNumberFormat="1" applyFill="1" applyBorder="1" applyAlignment="1" applyProtection="1">
      <alignment horizontal="center" vertical="center"/>
    </xf>
    <xf numFmtId="182" fontId="1" fillId="45" borderId="87" xfId="3" applyNumberFormat="1" applyFill="1" applyBorder="1" applyAlignment="1" applyProtection="1">
      <alignment horizontal="center" vertical="center"/>
    </xf>
    <xf numFmtId="182" fontId="1" fillId="45" borderId="137" xfId="3" applyNumberFormat="1" applyFill="1" applyBorder="1" applyAlignment="1" applyProtection="1">
      <alignment horizontal="center" vertical="center"/>
    </xf>
    <xf numFmtId="177" fontId="0" fillId="0" borderId="214" xfId="5" applyNumberFormat="1" applyFont="1" applyBorder="1" applyAlignment="1">
      <alignment vertical="center"/>
    </xf>
    <xf numFmtId="177" fontId="0" fillId="0" borderId="185" xfId="5" applyNumberFormat="1" applyFont="1" applyBorder="1" applyAlignment="1">
      <alignment vertical="center"/>
    </xf>
    <xf numFmtId="177" fontId="0" fillId="0" borderId="185" xfId="5" applyNumberFormat="1" applyFont="1" applyBorder="1" applyAlignment="1">
      <alignment horizontal="right" vertical="center"/>
    </xf>
    <xf numFmtId="166" fontId="5" fillId="14" borderId="221" xfId="0" applyNumberFormat="1" applyFont="1" applyFill="1" applyBorder="1" applyAlignment="1">
      <alignment horizontal="center" vertical="center" wrapText="1"/>
    </xf>
    <xf numFmtId="166" fontId="5" fillId="14" borderId="216" xfId="0" applyNumberFormat="1" applyFont="1" applyFill="1" applyBorder="1" applyAlignment="1">
      <alignment horizontal="center" vertical="center" wrapText="1"/>
    </xf>
    <xf numFmtId="166" fontId="5" fillId="14" borderId="222" xfId="0" applyNumberFormat="1" applyFont="1" applyFill="1" applyBorder="1" applyAlignment="1">
      <alignment horizontal="center" vertical="center" wrapText="1"/>
    </xf>
    <xf numFmtId="166" fontId="0" fillId="23" borderId="42" xfId="5" applyNumberFormat="1" applyFont="1" applyFill="1" applyBorder="1" applyAlignment="1">
      <alignment vertical="center"/>
    </xf>
    <xf numFmtId="166" fontId="0" fillId="23" borderId="213" xfId="5" applyNumberFormat="1" applyFont="1" applyFill="1" applyBorder="1" applyAlignment="1">
      <alignment vertical="center"/>
    </xf>
    <xf numFmtId="166" fontId="0" fillId="23" borderId="183" xfId="5" applyNumberFormat="1" applyFont="1" applyFill="1" applyBorder="1" applyAlignment="1">
      <alignment vertical="center"/>
    </xf>
    <xf numFmtId="166" fontId="0" fillId="23" borderId="190" xfId="5" applyNumberFormat="1" applyFont="1" applyFill="1" applyBorder="1" applyAlignment="1">
      <alignment vertical="center"/>
    </xf>
    <xf numFmtId="166" fontId="0" fillId="25" borderId="183" xfId="5" applyNumberFormat="1" applyFont="1" applyFill="1" applyBorder="1" applyAlignment="1">
      <alignment vertical="center"/>
    </xf>
    <xf numFmtId="166" fontId="0" fillId="25" borderId="190" xfId="5" applyNumberFormat="1" applyFont="1" applyFill="1" applyBorder="1" applyAlignment="1">
      <alignment vertical="center"/>
    </xf>
    <xf numFmtId="166" fontId="0" fillId="23" borderId="60" xfId="5" applyNumberFormat="1" applyFont="1" applyFill="1" applyBorder="1" applyAlignment="1">
      <alignment vertical="center"/>
    </xf>
    <xf numFmtId="10" fontId="0" fillId="0" borderId="0" xfId="0" applyNumberFormat="1" applyAlignment="1">
      <alignment horizontal="center" vertical="center"/>
    </xf>
    <xf numFmtId="168" fontId="0" fillId="2" borderId="215" xfId="5" applyNumberFormat="1" applyFont="1" applyFill="1" applyBorder="1" applyAlignment="1" applyProtection="1">
      <alignment horizontal="center" vertical="center"/>
      <protection locked="0"/>
    </xf>
    <xf numFmtId="168" fontId="0" fillId="2" borderId="42" xfId="5" applyNumberFormat="1" applyFont="1" applyFill="1" applyBorder="1" applyAlignment="1" applyProtection="1">
      <alignment horizontal="center" vertical="center"/>
      <protection locked="0"/>
    </xf>
    <xf numFmtId="168" fontId="0" fillId="2" borderId="213" xfId="5" applyNumberFormat="1" applyFont="1" applyFill="1" applyBorder="1" applyAlignment="1" applyProtection="1">
      <alignment horizontal="center" vertical="center"/>
      <protection locked="0"/>
    </xf>
    <xf numFmtId="0" fontId="0" fillId="0" borderId="229" xfId="0" applyBorder="1" applyAlignment="1" applyProtection="1">
      <alignment horizontal="left" vertical="center"/>
      <protection locked="0"/>
    </xf>
    <xf numFmtId="166" fontId="15" fillId="31" borderId="230" xfId="5" applyNumberFormat="1" applyFont="1" applyFill="1" applyBorder="1" applyAlignment="1">
      <alignment horizontal="center" vertical="center"/>
    </xf>
    <xf numFmtId="166" fontId="15" fillId="34" borderId="230" xfId="5" applyNumberFormat="1" applyFont="1" applyFill="1" applyBorder="1" applyAlignment="1">
      <alignment horizontal="center" vertical="center"/>
    </xf>
    <xf numFmtId="166" fontId="15" fillId="36" borderId="230" xfId="5" applyNumberFormat="1" applyFont="1" applyFill="1" applyBorder="1" applyAlignment="1">
      <alignment vertical="center"/>
    </xf>
    <xf numFmtId="166" fontId="15" fillId="36" borderId="224" xfId="5" applyNumberFormat="1" applyFont="1" applyFill="1" applyBorder="1" applyAlignment="1">
      <alignment vertical="center"/>
    </xf>
    <xf numFmtId="166" fontId="15" fillId="36" borderId="226" xfId="5" applyNumberFormat="1" applyFont="1" applyFill="1" applyBorder="1" applyAlignment="1">
      <alignment vertical="center"/>
    </xf>
    <xf numFmtId="166" fontId="15" fillId="34" borderId="224" xfId="5" applyNumberFormat="1" applyFont="1" applyFill="1" applyBorder="1" applyAlignment="1">
      <alignment horizontal="center" vertical="center"/>
    </xf>
    <xf numFmtId="166" fontId="15" fillId="31" borderId="224" xfId="5" applyNumberFormat="1" applyFont="1" applyFill="1" applyBorder="1" applyAlignment="1">
      <alignment horizontal="center" vertical="center"/>
    </xf>
    <xf numFmtId="166" fontId="15" fillId="34" borderId="226" xfId="5" applyNumberFormat="1" applyFont="1" applyFill="1" applyBorder="1" applyAlignment="1">
      <alignment vertical="center"/>
    </xf>
    <xf numFmtId="166" fontId="15" fillId="36" borderId="228" xfId="5" applyNumberFormat="1" applyFont="1" applyFill="1" applyBorder="1" applyAlignment="1">
      <alignment vertical="center"/>
    </xf>
    <xf numFmtId="177" fontId="5" fillId="18" borderId="230" xfId="5" applyNumberFormat="1" applyFont="1" applyFill="1" applyBorder="1" applyAlignment="1">
      <alignment vertical="center"/>
    </xf>
    <xf numFmtId="177" fontId="5" fillId="18" borderId="231" xfId="5" applyNumberFormat="1" applyFont="1" applyFill="1" applyBorder="1" applyAlignment="1">
      <alignment vertical="center"/>
    </xf>
    <xf numFmtId="166" fontId="15" fillId="31" borderId="231" xfId="5" applyNumberFormat="1" applyFont="1" applyFill="1" applyBorder="1" applyAlignment="1">
      <alignment horizontal="center" vertical="center"/>
    </xf>
    <xf numFmtId="166" fontId="15" fillId="34" borderId="231" xfId="5" applyNumberFormat="1" applyFont="1" applyFill="1" applyBorder="1" applyAlignment="1">
      <alignment horizontal="center" vertical="center"/>
    </xf>
    <xf numFmtId="166" fontId="15" fillId="36" borderId="231" xfId="5" applyNumberFormat="1" applyFont="1" applyFill="1" applyBorder="1" applyAlignment="1">
      <alignment vertical="center"/>
    </xf>
    <xf numFmtId="166" fontId="15" fillId="36" borderId="225" xfId="5" applyNumberFormat="1" applyFont="1" applyFill="1" applyBorder="1" applyAlignment="1">
      <alignment vertical="center"/>
    </xf>
    <xf numFmtId="166" fontId="15" fillId="36" borderId="227" xfId="5" applyNumberFormat="1" applyFont="1" applyFill="1" applyBorder="1" applyAlignment="1">
      <alignment vertical="center"/>
    </xf>
    <xf numFmtId="166" fontId="15" fillId="31" borderId="232" xfId="5" applyNumberFormat="1" applyFont="1" applyFill="1" applyBorder="1" applyAlignment="1">
      <alignment horizontal="center" vertical="center"/>
    </xf>
    <xf numFmtId="166" fontId="15" fillId="34" borderId="232" xfId="5" applyNumberFormat="1" applyFont="1" applyFill="1" applyBorder="1" applyAlignment="1">
      <alignment horizontal="center" vertical="center"/>
    </xf>
    <xf numFmtId="166" fontId="15" fillId="36" borderId="232" xfId="5" applyNumberFormat="1" applyFont="1" applyFill="1" applyBorder="1" applyAlignment="1">
      <alignment vertical="center"/>
    </xf>
    <xf numFmtId="166" fontId="15" fillId="36" borderId="223" xfId="5" applyNumberFormat="1" applyFont="1" applyFill="1" applyBorder="1" applyAlignment="1">
      <alignment vertical="center"/>
    </xf>
    <xf numFmtId="166" fontId="15" fillId="34" borderId="225" xfId="5" applyNumberFormat="1" applyFont="1" applyFill="1" applyBorder="1" applyAlignment="1">
      <alignment vertical="center"/>
    </xf>
    <xf numFmtId="166" fontId="5" fillId="3" borderId="233" xfId="2" applyNumberFormat="1" applyFont="1" applyFill="1" applyBorder="1" applyAlignment="1" applyProtection="1">
      <alignment vertical="center"/>
    </xf>
    <xf numFmtId="0" fontId="29" fillId="0" borderId="229" xfId="0" applyFont="1" applyBorder="1" applyAlignment="1" applyProtection="1">
      <alignment horizontal="left" vertical="center"/>
      <protection locked="0"/>
    </xf>
    <xf numFmtId="0" fontId="31" fillId="2" borderId="161" xfId="0" applyFont="1" applyFill="1" applyBorder="1" applyAlignment="1" applyProtection="1">
      <alignment horizontal="left" vertical="center"/>
      <protection locked="0"/>
    </xf>
    <xf numFmtId="0" fontId="31" fillId="2" borderId="113" xfId="0" applyFont="1" applyFill="1" applyBorder="1" applyAlignment="1" applyProtection="1">
      <alignment horizontal="left" vertical="center"/>
      <protection locked="0"/>
    </xf>
    <xf numFmtId="0" fontId="31" fillId="2" borderId="148" xfId="0" applyFont="1" applyFill="1" applyBorder="1" applyAlignment="1" applyProtection="1">
      <alignment horizontal="left" vertical="center"/>
      <protection locked="0"/>
    </xf>
    <xf numFmtId="0" fontId="31" fillId="2" borderId="187" xfId="0" applyFont="1" applyFill="1" applyBorder="1" applyAlignment="1" applyProtection="1">
      <alignment horizontal="left" vertical="center"/>
      <protection locked="0"/>
    </xf>
    <xf numFmtId="0" fontId="31" fillId="2" borderId="229" xfId="0" applyFont="1" applyFill="1" applyBorder="1" applyAlignment="1" applyProtection="1">
      <alignment horizontal="left" vertical="center"/>
      <protection locked="0"/>
    </xf>
    <xf numFmtId="0" fontId="31" fillId="2" borderId="232" xfId="0" applyFont="1" applyFill="1" applyBorder="1" applyAlignment="1" applyProtection="1">
      <alignment horizontal="left" vertical="center"/>
      <protection locked="0"/>
    </xf>
    <xf numFmtId="170" fontId="31" fillId="2" borderId="148" xfId="5" applyNumberFormat="1" applyFont="1" applyFill="1" applyBorder="1" applyAlignment="1" applyProtection="1">
      <alignment vertical="center"/>
      <protection locked="0"/>
    </xf>
    <xf numFmtId="178" fontId="31" fillId="23" borderId="234" xfId="0" applyNumberFormat="1" applyFont="1" applyFill="1" applyBorder="1" applyAlignment="1">
      <alignment horizontal="right" vertical="center"/>
    </xf>
    <xf numFmtId="0" fontId="27" fillId="2" borderId="113" xfId="0" applyFont="1" applyFill="1" applyBorder="1" applyAlignment="1" applyProtection="1">
      <alignment horizontal="left" vertical="center"/>
      <protection locked="0"/>
    </xf>
    <xf numFmtId="0" fontId="27" fillId="2" borderId="148" xfId="0" applyFont="1" applyFill="1" applyBorder="1" applyAlignment="1" applyProtection="1">
      <alignment horizontal="left" vertical="center"/>
      <protection locked="0"/>
    </xf>
    <xf numFmtId="170" fontId="0" fillId="2" borderId="215" xfId="5" applyNumberFormat="1" applyFont="1" applyFill="1" applyBorder="1" applyAlignment="1" applyProtection="1">
      <alignment vertical="center"/>
      <protection locked="0"/>
    </xf>
    <xf numFmtId="170" fontId="0" fillId="2" borderId="236" xfId="5" applyNumberFormat="1" applyFont="1" applyFill="1" applyBorder="1" applyAlignment="1" applyProtection="1">
      <alignment vertical="center"/>
      <protection locked="0"/>
    </xf>
    <xf numFmtId="170" fontId="1" fillId="2" borderId="215" xfId="5" applyNumberFormat="1" applyFont="1" applyFill="1" applyBorder="1" applyAlignment="1" applyProtection="1">
      <alignment vertical="center"/>
      <protection locked="0"/>
    </xf>
    <xf numFmtId="170" fontId="0" fillId="2" borderId="233" xfId="5" applyNumberFormat="1" applyFont="1" applyFill="1" applyBorder="1" applyAlignment="1" applyProtection="1">
      <alignment vertical="center"/>
      <protection locked="0"/>
    </xf>
    <xf numFmtId="184" fontId="0" fillId="0" borderId="229" xfId="2" applyNumberFormat="1" applyFont="1" applyBorder="1" applyAlignment="1" applyProtection="1">
      <alignment horizontal="left" vertical="center"/>
      <protection locked="0"/>
    </xf>
    <xf numFmtId="44" fontId="0" fillId="0" borderId="229" xfId="2" applyFont="1" applyBorder="1" applyAlignment="1" applyProtection="1">
      <alignment horizontal="left" vertical="center"/>
      <protection locked="0"/>
    </xf>
    <xf numFmtId="175" fontId="16" fillId="0" borderId="239" xfId="0" applyNumberFormat="1" applyFont="1" applyBorder="1" applyAlignment="1">
      <alignment horizontal="left"/>
    </xf>
    <xf numFmtId="166" fontId="15" fillId="34" borderId="104" xfId="5" applyNumberFormat="1" applyFont="1" applyFill="1" applyBorder="1" applyAlignment="1">
      <alignment horizontal="center" vertical="center"/>
    </xf>
    <xf numFmtId="166" fontId="0" fillId="37" borderId="238" xfId="5" applyNumberFormat="1" applyFont="1" applyFill="1" applyBorder="1" applyAlignment="1" applyProtection="1">
      <alignment vertical="center"/>
      <protection locked="0"/>
    </xf>
    <xf numFmtId="175" fontId="16" fillId="19" borderId="239" xfId="0" applyNumberFormat="1" applyFont="1" applyFill="1" applyBorder="1" applyAlignment="1">
      <alignment horizontal="left"/>
    </xf>
    <xf numFmtId="166" fontId="15" fillId="34" borderId="216" xfId="5" applyNumberFormat="1" applyFont="1" applyFill="1" applyBorder="1" applyAlignment="1">
      <alignment horizontal="center" vertical="center"/>
    </xf>
    <xf numFmtId="166" fontId="0" fillId="2" borderId="238" xfId="5" applyNumberFormat="1" applyFont="1" applyFill="1" applyBorder="1" applyAlignment="1" applyProtection="1">
      <alignment vertical="center"/>
      <protection locked="0"/>
    </xf>
    <xf numFmtId="166" fontId="15" fillId="31" borderId="104" xfId="5" applyNumberFormat="1" applyFont="1" applyFill="1" applyBorder="1" applyAlignment="1">
      <alignment horizontal="center" vertical="center"/>
    </xf>
    <xf numFmtId="0" fontId="15" fillId="34" borderId="239" xfId="0" applyFont="1" applyFill="1" applyBorder="1" applyAlignment="1">
      <alignment horizontal="left" vertical="center"/>
    </xf>
    <xf numFmtId="166" fontId="15" fillId="34" borderId="238" xfId="5" applyNumberFormat="1" applyFont="1" applyFill="1" applyBorder="1" applyAlignment="1">
      <alignment horizontal="center" vertical="center"/>
    </xf>
    <xf numFmtId="166" fontId="15" fillId="35" borderId="216" xfId="5" applyNumberFormat="1" applyFont="1" applyFill="1" applyBorder="1" applyAlignment="1">
      <alignment vertical="center"/>
    </xf>
    <xf numFmtId="166" fontId="15" fillId="33" borderId="104" xfId="5" applyNumberFormat="1" applyFont="1" applyFill="1" applyBorder="1" applyAlignment="1">
      <alignment vertical="center"/>
    </xf>
    <xf numFmtId="166" fontId="16" fillId="2" borderId="238" xfId="5" applyNumberFormat="1" applyFont="1" applyFill="1" applyBorder="1" applyAlignment="1" applyProtection="1">
      <alignment vertical="center"/>
      <protection locked="0"/>
    </xf>
    <xf numFmtId="176" fontId="16" fillId="2" borderId="238" xfId="1" applyNumberFormat="1" applyFont="1" applyFill="1" applyBorder="1" applyAlignment="1" applyProtection="1">
      <alignment vertical="center"/>
      <protection locked="0"/>
    </xf>
    <xf numFmtId="166" fontId="16" fillId="37" borderId="238" xfId="5" applyNumberFormat="1" applyFont="1" applyFill="1" applyBorder="1" applyAlignment="1" applyProtection="1">
      <alignment vertical="center"/>
      <protection locked="0"/>
    </xf>
    <xf numFmtId="176" fontId="16" fillId="37" borderId="238" xfId="1" applyNumberFormat="1" applyFont="1" applyFill="1" applyBorder="1" applyAlignment="1" applyProtection="1">
      <alignment vertical="center"/>
      <protection locked="0"/>
    </xf>
    <xf numFmtId="0" fontId="15" fillId="31" borderId="239" xfId="0" applyFont="1" applyFill="1" applyBorder="1" applyAlignment="1">
      <alignment horizontal="left" vertical="center"/>
    </xf>
    <xf numFmtId="175" fontId="16" fillId="19" borderId="240" xfId="0" applyNumberFormat="1" applyFont="1" applyFill="1" applyBorder="1" applyAlignment="1">
      <alignment horizontal="left"/>
    </xf>
    <xf numFmtId="175" fontId="16" fillId="0" borderId="241" xfId="0" applyNumberFormat="1" applyFont="1" applyBorder="1" applyAlignment="1">
      <alignment horizontal="left"/>
    </xf>
    <xf numFmtId="0" fontId="15" fillId="34" borderId="241" xfId="0" applyFont="1" applyFill="1" applyBorder="1" applyAlignment="1">
      <alignment horizontal="left" vertical="center"/>
    </xf>
    <xf numFmtId="175" fontId="16" fillId="0" borderId="242" xfId="0" applyNumberFormat="1" applyFont="1" applyBorder="1" applyAlignment="1">
      <alignment horizontal="left"/>
    </xf>
    <xf numFmtId="0" fontId="5" fillId="18" borderId="243" xfId="0" applyFont="1" applyFill="1" applyBorder="1" applyAlignment="1">
      <alignment vertical="center"/>
    </xf>
    <xf numFmtId="0" fontId="15" fillId="31" borderId="241" xfId="0" applyFont="1" applyFill="1" applyBorder="1" applyAlignment="1">
      <alignment horizontal="left" vertical="center"/>
    </xf>
    <xf numFmtId="0" fontId="15" fillId="34" borderId="242" xfId="0" applyFont="1" applyFill="1" applyBorder="1" applyAlignment="1">
      <alignment horizontal="left" vertical="center"/>
    </xf>
    <xf numFmtId="0" fontId="5" fillId="18" borderId="239" xfId="0" applyFont="1" applyFill="1" applyBorder="1" applyAlignment="1">
      <alignment vertical="center"/>
    </xf>
    <xf numFmtId="175" fontId="16" fillId="0" borderId="240" xfId="0" applyNumberFormat="1" applyFont="1" applyBorder="1" applyAlignment="1">
      <alignment horizontal="left"/>
    </xf>
    <xf numFmtId="175" fontId="16" fillId="19" borderId="241" xfId="0" applyNumberFormat="1" applyFont="1" applyFill="1" applyBorder="1" applyAlignment="1">
      <alignment horizontal="left"/>
    </xf>
    <xf numFmtId="166" fontId="15" fillId="33" borderId="244" xfId="5" applyNumberFormat="1" applyFont="1" applyFill="1" applyBorder="1" applyAlignment="1">
      <alignment vertical="center"/>
    </xf>
    <xf numFmtId="166" fontId="5" fillId="35" borderId="244" xfId="5" applyNumberFormat="1" applyFont="1" applyFill="1" applyBorder="1" applyAlignment="1">
      <alignment vertical="center"/>
    </xf>
    <xf numFmtId="166" fontId="16" fillId="25" borderId="244" xfId="5" applyNumberFormat="1" applyFont="1" applyFill="1" applyBorder="1" applyAlignment="1">
      <alignment vertical="center"/>
    </xf>
    <xf numFmtId="166" fontId="16" fillId="2" borderId="244" xfId="5" applyNumberFormat="1" applyFont="1" applyFill="1" applyBorder="1" applyAlignment="1" applyProtection="1">
      <alignment vertical="center"/>
      <protection locked="0"/>
    </xf>
    <xf numFmtId="166" fontId="15" fillId="35" borderId="244" xfId="5" applyNumberFormat="1" applyFont="1" applyFill="1" applyBorder="1" applyAlignment="1">
      <alignment vertical="center"/>
    </xf>
    <xf numFmtId="166" fontId="16" fillId="37" borderId="244" xfId="5" applyNumberFormat="1" applyFont="1" applyFill="1" applyBorder="1" applyAlignment="1" applyProtection="1">
      <alignment vertical="center"/>
      <protection locked="0"/>
    </xf>
    <xf numFmtId="166" fontId="0" fillId="2" borderId="244" xfId="5" applyNumberFormat="1" applyFont="1" applyFill="1" applyBorder="1" applyAlignment="1" applyProtection="1">
      <alignment vertical="center"/>
      <protection locked="0"/>
    </xf>
    <xf numFmtId="166" fontId="0" fillId="37" borderId="244" xfId="5" applyNumberFormat="1" applyFont="1" applyFill="1" applyBorder="1" applyAlignment="1" applyProtection="1">
      <alignment vertical="center"/>
      <protection locked="0"/>
    </xf>
    <xf numFmtId="166" fontId="0" fillId="2" borderId="245" xfId="5" applyNumberFormat="1" applyFont="1" applyFill="1" applyBorder="1" applyAlignment="1" applyProtection="1">
      <alignment vertical="center"/>
      <protection locked="0"/>
    </xf>
    <xf numFmtId="166" fontId="0" fillId="10" borderId="244" xfId="5" applyNumberFormat="1" applyFont="1" applyFill="1" applyBorder="1" applyAlignment="1">
      <alignment vertical="center"/>
    </xf>
    <xf numFmtId="177" fontId="5" fillId="39" borderId="246" xfId="5" applyNumberFormat="1" applyFont="1" applyFill="1" applyBorder="1" applyAlignment="1">
      <alignment vertical="center"/>
    </xf>
    <xf numFmtId="0" fontId="5" fillId="22" borderId="248" xfId="0" applyFont="1" applyFill="1" applyBorder="1" applyAlignment="1">
      <alignment horizontal="center" vertical="center" wrapText="1"/>
    </xf>
    <xf numFmtId="166" fontId="5" fillId="35" borderId="249" xfId="5" applyNumberFormat="1" applyFont="1" applyFill="1" applyBorder="1" applyAlignment="1">
      <alignment vertical="center"/>
    </xf>
    <xf numFmtId="166" fontId="16" fillId="2" borderId="245" xfId="5" applyNumberFormat="1" applyFont="1" applyFill="1" applyBorder="1" applyAlignment="1" applyProtection="1">
      <alignment vertical="center"/>
      <protection locked="0"/>
    </xf>
    <xf numFmtId="166" fontId="5" fillId="32" borderId="238" xfId="5" applyNumberFormat="1" applyFont="1" applyFill="1" applyBorder="1" applyAlignment="1">
      <alignment vertical="center"/>
    </xf>
    <xf numFmtId="166" fontId="0" fillId="10" borderId="238" xfId="5" applyNumberFormat="1" applyFont="1" applyFill="1" applyBorder="1" applyAlignment="1">
      <alignment vertical="center"/>
    </xf>
    <xf numFmtId="166" fontId="15" fillId="31" borderId="238" xfId="5" applyNumberFormat="1" applyFont="1" applyFill="1" applyBorder="1" applyAlignment="1">
      <alignment horizontal="center" vertical="center"/>
    </xf>
    <xf numFmtId="177" fontId="5" fillId="18" borderId="238" xfId="5" applyNumberFormat="1" applyFont="1" applyFill="1" applyBorder="1" applyAlignment="1">
      <alignment vertical="center"/>
    </xf>
    <xf numFmtId="1" fontId="0" fillId="0" borderId="229" xfId="0" applyNumberFormat="1" applyBorder="1" applyAlignment="1" applyProtection="1">
      <alignment horizontal="left" vertical="center"/>
      <protection locked="0"/>
    </xf>
    <xf numFmtId="0" fontId="0" fillId="0" borderId="238" xfId="0" applyBorder="1" applyAlignment="1" applyProtection="1">
      <alignment horizontal="left" vertical="center"/>
      <protection locked="0"/>
    </xf>
    <xf numFmtId="166" fontId="30" fillId="37" borderId="74" xfId="5" applyNumberFormat="1" applyFont="1" applyFill="1" applyBorder="1" applyAlignment="1" applyProtection="1">
      <alignment vertical="center"/>
      <protection locked="0"/>
    </xf>
    <xf numFmtId="176" fontId="7" fillId="37" borderId="74" xfId="1" applyNumberFormat="1" applyFont="1" applyFill="1" applyBorder="1" applyAlignment="1" applyProtection="1">
      <alignment vertical="center"/>
      <protection locked="0"/>
    </xf>
    <xf numFmtId="166" fontId="7" fillId="23" borderId="74" xfId="5" applyNumberFormat="1" applyFill="1" applyBorder="1" applyAlignment="1">
      <alignment vertical="center"/>
    </xf>
    <xf numFmtId="166" fontId="5" fillId="36" borderId="226" xfId="5" applyNumberFormat="1" applyFont="1" applyFill="1" applyBorder="1" applyAlignment="1">
      <alignment vertical="center"/>
    </xf>
    <xf numFmtId="9" fontId="0" fillId="0" borderId="0" xfId="0" applyNumberFormat="1" applyAlignment="1">
      <alignment horizontal="center" vertical="center"/>
    </xf>
    <xf numFmtId="43" fontId="0" fillId="0" borderId="0" xfId="0" applyNumberFormat="1" applyAlignment="1">
      <alignment vertical="center"/>
    </xf>
    <xf numFmtId="9" fontId="5" fillId="0" borderId="0" xfId="3" applyFont="1" applyAlignment="1">
      <alignment vertical="center"/>
    </xf>
    <xf numFmtId="0" fontId="2" fillId="0" borderId="0" xfId="0" applyFont="1" applyAlignment="1">
      <alignment horizontal="right" indent="2"/>
    </xf>
    <xf numFmtId="0" fontId="26" fillId="19" borderId="0" xfId="0" applyFont="1" applyFill="1" applyAlignment="1">
      <alignment horizontal="right"/>
    </xf>
    <xf numFmtId="178" fontId="0" fillId="0" borderId="0" xfId="0" applyNumberFormat="1"/>
    <xf numFmtId="42" fontId="0" fillId="19" borderId="0" xfId="0" applyNumberFormat="1" applyFill="1"/>
    <xf numFmtId="1" fontId="0" fillId="0" borderId="0" xfId="0" applyNumberFormat="1"/>
    <xf numFmtId="1" fontId="0" fillId="19" borderId="0" xfId="0" applyNumberFormat="1" applyFill="1"/>
    <xf numFmtId="166" fontId="29" fillId="0" borderId="229" xfId="0" applyNumberFormat="1" applyFont="1" applyBorder="1" applyAlignment="1" applyProtection="1">
      <alignment horizontal="left" vertical="center"/>
      <protection locked="0"/>
    </xf>
    <xf numFmtId="178" fontId="31" fillId="23" borderId="250" xfId="0" applyNumberFormat="1" applyFont="1" applyFill="1" applyBorder="1" applyAlignment="1">
      <alignment horizontal="right" vertical="center"/>
    </xf>
    <xf numFmtId="178" fontId="31" fillId="23" borderId="54" xfId="0" applyNumberFormat="1" applyFont="1" applyFill="1" applyBorder="1" applyAlignment="1">
      <alignment horizontal="right" vertical="center"/>
    </xf>
    <xf numFmtId="170" fontId="0" fillId="2" borderId="255" xfId="5" applyNumberFormat="1" applyFont="1" applyFill="1" applyBorder="1" applyAlignment="1" applyProtection="1">
      <alignment vertical="center"/>
      <protection locked="0"/>
    </xf>
    <xf numFmtId="170" fontId="0" fillId="2" borderId="148" xfId="5" applyNumberFormat="1" applyFont="1" applyFill="1" applyBorder="1" applyAlignment="1" applyProtection="1">
      <alignment vertical="center"/>
      <protection locked="0"/>
    </xf>
    <xf numFmtId="170" fontId="0" fillId="2" borderId="256" xfId="5" applyNumberFormat="1" applyFont="1" applyFill="1" applyBorder="1" applyAlignment="1" applyProtection="1">
      <alignment vertical="center"/>
      <protection locked="0"/>
    </xf>
    <xf numFmtId="170" fontId="31" fillId="2" borderId="256" xfId="5" applyNumberFormat="1" applyFont="1" applyFill="1" applyBorder="1" applyAlignment="1" applyProtection="1">
      <alignment vertical="center"/>
      <protection locked="0"/>
    </xf>
    <xf numFmtId="178" fontId="31" fillId="23" borderId="251" xfId="0" applyNumberFormat="1" applyFont="1" applyFill="1" applyBorder="1" applyAlignment="1">
      <alignment horizontal="right" vertical="center"/>
    </xf>
    <xf numFmtId="178" fontId="31" fillId="23" borderId="252" xfId="0" applyNumberFormat="1" applyFont="1" applyFill="1" applyBorder="1" applyAlignment="1">
      <alignment horizontal="right" vertical="center"/>
    </xf>
    <xf numFmtId="166" fontId="1" fillId="9" borderId="13" xfId="2" applyNumberFormat="1" applyFont="1" applyFill="1" applyBorder="1" applyAlignment="1" applyProtection="1">
      <alignment vertical="center"/>
    </xf>
    <xf numFmtId="42" fontId="0" fillId="19" borderId="0" xfId="0" applyNumberFormat="1" applyFill="1" applyAlignment="1">
      <alignment vertical="center"/>
    </xf>
    <xf numFmtId="0" fontId="26" fillId="10" borderId="87" xfId="0" applyFont="1" applyFill="1" applyBorder="1" applyAlignment="1">
      <alignment horizontal="left" indent="2"/>
    </xf>
    <xf numFmtId="172" fontId="26" fillId="19" borderId="67" xfId="0" applyNumberFormat="1" applyFont="1" applyFill="1" applyBorder="1"/>
    <xf numFmtId="0" fontId="2" fillId="50" borderId="215" xfId="0" applyFont="1" applyFill="1" applyBorder="1" applyAlignment="1">
      <alignment horizontal="center" vertical="center" wrapText="1"/>
    </xf>
    <xf numFmtId="0" fontId="26" fillId="50" borderId="215" xfId="0" applyFont="1" applyFill="1" applyBorder="1" applyAlignment="1">
      <alignment horizontal="center" vertical="center" wrapText="1"/>
    </xf>
    <xf numFmtId="0" fontId="2" fillId="50" borderId="213" xfId="0" applyFont="1" applyFill="1" applyBorder="1" applyAlignment="1">
      <alignment horizontal="center" vertical="center" wrapText="1"/>
    </xf>
    <xf numFmtId="0" fontId="0" fillId="19" borderId="257" xfId="0" applyFill="1" applyBorder="1" applyAlignment="1">
      <alignment horizontal="left" indent="2"/>
    </xf>
    <xf numFmtId="172" fontId="2" fillId="19" borderId="259" xfId="0" applyNumberFormat="1" applyFont="1" applyFill="1" applyBorder="1"/>
    <xf numFmtId="172" fontId="2" fillId="19" borderId="137" xfId="0" applyNumberFormat="1" applyFont="1" applyFill="1" applyBorder="1"/>
    <xf numFmtId="0" fontId="0" fillId="19" borderId="260" xfId="0" applyFill="1" applyBorder="1" applyAlignment="1">
      <alignment horizontal="left" indent="2"/>
    </xf>
    <xf numFmtId="172" fontId="2" fillId="19" borderId="261" xfId="0" applyNumberFormat="1" applyFont="1" applyFill="1" applyBorder="1"/>
    <xf numFmtId="172" fontId="26" fillId="19" borderId="149" xfId="0" applyNumberFormat="1" applyFont="1" applyFill="1" applyBorder="1"/>
    <xf numFmtId="172" fontId="26" fillId="19" borderId="137" xfId="0" applyNumberFormat="1" applyFont="1" applyFill="1" applyBorder="1"/>
    <xf numFmtId="170" fontId="0" fillId="2" borderId="239" xfId="5" applyNumberFormat="1" applyFont="1" applyFill="1" applyBorder="1" applyAlignment="1" applyProtection="1">
      <alignment vertical="center"/>
      <protection locked="0"/>
    </xf>
    <xf numFmtId="170" fontId="31" fillId="2" borderId="262" xfId="5" applyNumberFormat="1" applyFont="1" applyFill="1" applyBorder="1" applyAlignment="1" applyProtection="1">
      <alignment vertical="center"/>
      <protection locked="0"/>
    </xf>
    <xf numFmtId="170" fontId="0" fillId="2" borderId="262" xfId="5" applyNumberFormat="1" applyFont="1" applyFill="1" applyBorder="1" applyAlignment="1" applyProtection="1">
      <alignment vertical="center"/>
      <protection locked="0"/>
    </xf>
    <xf numFmtId="170" fontId="0" fillId="2" borderId="189" xfId="5" applyNumberFormat="1" applyFont="1" applyFill="1" applyBorder="1" applyAlignment="1" applyProtection="1">
      <alignment vertical="center"/>
      <protection locked="0"/>
    </xf>
    <xf numFmtId="170" fontId="31" fillId="23" borderId="31" xfId="5" applyNumberFormat="1" applyFont="1" applyFill="1" applyBorder="1" applyAlignment="1">
      <alignment vertical="center"/>
    </xf>
    <xf numFmtId="170" fontId="31" fillId="23" borderId="251" xfId="5" applyNumberFormat="1" applyFont="1" applyFill="1" applyBorder="1" applyAlignment="1">
      <alignment vertical="center"/>
    </xf>
    <xf numFmtId="170" fontId="31" fillId="23" borderId="129" xfId="5" applyNumberFormat="1" applyFont="1" applyFill="1" applyBorder="1" applyAlignment="1">
      <alignment vertical="center"/>
    </xf>
    <xf numFmtId="170" fontId="0" fillId="2" borderId="235" xfId="5" applyNumberFormat="1" applyFont="1" applyFill="1" applyBorder="1" applyAlignment="1" applyProtection="1">
      <alignment vertical="center"/>
      <protection locked="0"/>
    </xf>
    <xf numFmtId="170" fontId="0" fillId="2" borderId="161" xfId="5" applyNumberFormat="1" applyFont="1" applyFill="1" applyBorder="1" applyAlignment="1" applyProtection="1">
      <alignment vertical="center"/>
      <protection locked="0"/>
    </xf>
    <xf numFmtId="177" fontId="0" fillId="0" borderId="120" xfId="5" applyNumberFormat="1" applyFont="1" applyBorder="1" applyAlignment="1">
      <alignment vertical="center"/>
    </xf>
    <xf numFmtId="166" fontId="0" fillId="23" borderId="176" xfId="5" applyNumberFormat="1" applyFont="1" applyFill="1" applyBorder="1" applyAlignment="1">
      <alignment vertical="center"/>
    </xf>
    <xf numFmtId="166" fontId="0" fillId="23" borderId="117" xfId="5" applyNumberFormat="1" applyFont="1" applyFill="1" applyBorder="1" applyAlignment="1">
      <alignment vertical="center"/>
    </xf>
    <xf numFmtId="166" fontId="0" fillId="23" borderId="178" xfId="5" applyNumberFormat="1" applyFont="1" applyFill="1" applyBorder="1" applyAlignment="1">
      <alignment vertical="center"/>
    </xf>
    <xf numFmtId="166" fontId="0" fillId="45" borderId="116" xfId="5" applyNumberFormat="1" applyFont="1" applyFill="1" applyBorder="1" applyAlignment="1">
      <alignment vertical="center"/>
    </xf>
    <xf numFmtId="166" fontId="0" fillId="45" borderId="117" xfId="5" applyNumberFormat="1" applyFont="1" applyFill="1" applyBorder="1" applyAlignment="1">
      <alignment vertical="center"/>
    </xf>
    <xf numFmtId="166" fontId="0" fillId="45" borderId="118" xfId="5" applyNumberFormat="1" applyFont="1" applyFill="1" applyBorder="1" applyAlignment="1">
      <alignment vertical="center"/>
    </xf>
    <xf numFmtId="166" fontId="0" fillId="0" borderId="124" xfId="5" applyNumberFormat="1" applyFont="1" applyBorder="1" applyAlignment="1">
      <alignment vertical="center"/>
    </xf>
    <xf numFmtId="166" fontId="0" fillId="0" borderId="132" xfId="5" applyNumberFormat="1" applyFont="1" applyBorder="1" applyAlignment="1">
      <alignment vertical="center"/>
    </xf>
    <xf numFmtId="166" fontId="0" fillId="0" borderId="123" xfId="5" applyNumberFormat="1" applyFont="1" applyBorder="1" applyAlignment="1">
      <alignment vertical="center"/>
    </xf>
    <xf numFmtId="181" fontId="0" fillId="0" borderId="126" xfId="3" applyNumberFormat="1" applyFont="1" applyBorder="1" applyAlignment="1" applyProtection="1">
      <alignment horizontal="center" vertical="center"/>
    </xf>
    <xf numFmtId="181" fontId="0" fillId="0" borderId="116" xfId="3" applyNumberFormat="1" applyFont="1" applyBorder="1" applyAlignment="1" applyProtection="1">
      <alignment horizontal="center" vertical="center"/>
    </xf>
    <xf numFmtId="181" fontId="0" fillId="0" borderId="115" xfId="3" applyNumberFormat="1" applyFont="1" applyBorder="1" applyAlignment="1" applyProtection="1">
      <alignment horizontal="center" vertical="center"/>
    </xf>
    <xf numFmtId="177" fontId="0" fillId="0" borderId="75" xfId="5" applyNumberFormat="1" applyFont="1" applyBorder="1" applyAlignment="1">
      <alignment vertical="center"/>
    </xf>
    <xf numFmtId="166" fontId="0" fillId="23" borderId="164" xfId="5" applyNumberFormat="1" applyFont="1" applyFill="1" applyBorder="1" applyAlignment="1">
      <alignment vertical="center"/>
    </xf>
    <xf numFmtId="166" fontId="0" fillId="23" borderId="173" xfId="5" applyNumberFormat="1" applyFont="1" applyFill="1" applyBorder="1" applyAlignment="1">
      <alignment vertical="center"/>
    </xf>
    <xf numFmtId="166" fontId="0" fillId="23" borderId="166" xfId="5" applyNumberFormat="1" applyFont="1" applyFill="1" applyBorder="1" applyAlignment="1">
      <alignment vertical="center"/>
    </xf>
    <xf numFmtId="166" fontId="0" fillId="45" borderId="155" xfId="5" applyNumberFormat="1" applyFont="1" applyFill="1" applyBorder="1" applyAlignment="1">
      <alignment vertical="center"/>
    </xf>
    <xf numFmtId="166" fontId="0" fillId="45" borderId="173" xfId="5" applyNumberFormat="1" applyFont="1" applyFill="1" applyBorder="1" applyAlignment="1">
      <alignment vertical="center"/>
    </xf>
    <xf numFmtId="166" fontId="0" fillId="45" borderId="177" xfId="5" applyNumberFormat="1" applyFont="1" applyFill="1" applyBorder="1" applyAlignment="1">
      <alignment vertical="center"/>
    </xf>
    <xf numFmtId="166" fontId="0" fillId="0" borderId="164" xfId="5" applyNumberFormat="1" applyFont="1" applyBorder="1" applyAlignment="1">
      <alignment vertical="center"/>
    </xf>
    <xf numFmtId="166" fontId="0" fillId="0" borderId="173" xfId="5" applyNumberFormat="1" applyFont="1" applyBorder="1" applyAlignment="1">
      <alignment vertical="center"/>
    </xf>
    <xf numFmtId="166" fontId="0" fillId="0" borderId="166" xfId="5" applyNumberFormat="1" applyFont="1" applyBorder="1" applyAlignment="1">
      <alignment vertical="center"/>
    </xf>
    <xf numFmtId="181" fontId="0" fillId="0" borderId="155" xfId="3" applyNumberFormat="1" applyFont="1" applyBorder="1" applyAlignment="1" applyProtection="1">
      <alignment horizontal="center" vertical="center"/>
    </xf>
    <xf numFmtId="181" fontId="0" fillId="0" borderId="173" xfId="3" applyNumberFormat="1" applyFont="1" applyBorder="1" applyAlignment="1" applyProtection="1">
      <alignment horizontal="center" vertical="center"/>
    </xf>
    <xf numFmtId="181" fontId="0" fillId="0" borderId="166" xfId="3" applyNumberFormat="1" applyFont="1" applyBorder="1" applyAlignment="1" applyProtection="1">
      <alignment horizontal="center" vertical="center"/>
    </xf>
    <xf numFmtId="166" fontId="7" fillId="0" borderId="166" xfId="5" applyNumberFormat="1" applyBorder="1" applyAlignment="1">
      <alignment vertical="center"/>
    </xf>
    <xf numFmtId="177" fontId="0" fillId="0" borderId="174" xfId="5" applyNumberFormat="1" applyFont="1" applyBorder="1" applyAlignment="1">
      <alignment vertical="center"/>
    </xf>
    <xf numFmtId="181" fontId="0" fillId="0" borderId="175" xfId="3" applyNumberFormat="1" applyFont="1" applyBorder="1" applyAlignment="1" applyProtection="1">
      <alignment horizontal="center" vertical="center"/>
    </xf>
    <xf numFmtId="181" fontId="0" fillId="0" borderId="154" xfId="3" applyNumberFormat="1" applyFont="1" applyBorder="1" applyAlignment="1" applyProtection="1">
      <alignment horizontal="center" vertical="center"/>
    </xf>
    <xf numFmtId="166" fontId="0" fillId="25" borderId="164" xfId="5" applyNumberFormat="1" applyFont="1" applyFill="1" applyBorder="1" applyAlignment="1">
      <alignment vertical="center"/>
    </xf>
    <xf numFmtId="166" fontId="0" fillId="25" borderId="173" xfId="5" applyNumberFormat="1" applyFont="1" applyFill="1" applyBorder="1" applyAlignment="1">
      <alignment vertical="center"/>
    </xf>
    <xf numFmtId="166" fontId="0" fillId="25" borderId="166" xfId="5" applyNumberFormat="1" applyFont="1" applyFill="1" applyBorder="1" applyAlignment="1">
      <alignment vertical="center"/>
    </xf>
    <xf numFmtId="166" fontId="0" fillId="46" borderId="155" xfId="5" applyNumberFormat="1" applyFont="1" applyFill="1" applyBorder="1" applyAlignment="1">
      <alignment vertical="center"/>
    </xf>
    <xf numFmtId="166" fontId="0" fillId="46" borderId="173" xfId="5" applyNumberFormat="1" applyFont="1" applyFill="1" applyBorder="1" applyAlignment="1">
      <alignment vertical="center"/>
    </xf>
    <xf numFmtId="166" fontId="0" fillId="46" borderId="177" xfId="5" applyNumberFormat="1" applyFont="1" applyFill="1" applyBorder="1" applyAlignment="1">
      <alignment vertical="center"/>
    </xf>
    <xf numFmtId="166" fontId="0" fillId="1" borderId="164" xfId="5" applyNumberFormat="1" applyFont="1" applyFill="1" applyBorder="1" applyAlignment="1">
      <alignment vertical="center"/>
    </xf>
    <xf numFmtId="166" fontId="0" fillId="1" borderId="173" xfId="5" applyNumberFormat="1" applyFont="1" applyFill="1" applyBorder="1" applyAlignment="1">
      <alignment vertical="center"/>
    </xf>
    <xf numFmtId="166" fontId="0" fillId="1" borderId="166" xfId="5" applyNumberFormat="1" applyFont="1" applyFill="1" applyBorder="1" applyAlignment="1">
      <alignment vertical="center"/>
    </xf>
    <xf numFmtId="177" fontId="0" fillId="0" borderId="75" xfId="5" applyNumberFormat="1" applyFont="1" applyBorder="1" applyAlignment="1">
      <alignment horizontal="right" vertical="center"/>
    </xf>
    <xf numFmtId="166" fontId="0" fillId="28" borderId="164" xfId="5" applyNumberFormat="1" applyFont="1" applyFill="1" applyBorder="1" applyAlignment="1">
      <alignment vertical="center"/>
    </xf>
    <xf numFmtId="166" fontId="0" fillId="47" borderId="155" xfId="5" applyNumberFormat="1" applyFont="1" applyFill="1" applyBorder="1" applyAlignment="1">
      <alignment vertical="center"/>
    </xf>
    <xf numFmtId="166" fontId="0" fillId="28" borderId="60" xfId="5" applyNumberFormat="1" applyFont="1" applyFill="1" applyBorder="1" applyAlignment="1">
      <alignment vertical="center"/>
    </xf>
    <xf numFmtId="166" fontId="0" fillId="47" borderId="138" xfId="5" applyNumberFormat="1" applyFont="1" applyFill="1" applyBorder="1" applyAlignment="1">
      <alignment vertical="center"/>
    </xf>
    <xf numFmtId="166" fontId="0" fillId="45" borderId="61" xfId="5" applyNumberFormat="1" applyFont="1" applyFill="1" applyBorder="1" applyAlignment="1">
      <alignment vertical="center"/>
    </xf>
    <xf numFmtId="166" fontId="0" fillId="45" borderId="139" xfId="5" applyNumberFormat="1" applyFont="1" applyFill="1" applyBorder="1" applyAlignment="1">
      <alignment vertical="center"/>
    </xf>
    <xf numFmtId="166" fontId="0" fillId="1" borderId="60" xfId="5" applyNumberFormat="1" applyFont="1" applyFill="1" applyBorder="1" applyAlignment="1">
      <alignment vertical="center"/>
    </xf>
    <xf numFmtId="166" fontId="0" fillId="0" borderId="61" xfId="5" applyNumberFormat="1" applyFont="1" applyBorder="1" applyAlignment="1">
      <alignment vertical="center"/>
    </xf>
    <xf numFmtId="166" fontId="0" fillId="0" borderId="83" xfId="5" applyNumberFormat="1" applyFont="1" applyBorder="1" applyAlignment="1">
      <alignment vertical="center"/>
    </xf>
    <xf numFmtId="177" fontId="0" fillId="0" borderId="49" xfId="5" applyNumberFormat="1" applyFont="1" applyBorder="1" applyAlignment="1">
      <alignment vertical="center"/>
    </xf>
    <xf numFmtId="166" fontId="0" fillId="45" borderId="161" xfId="5" applyNumberFormat="1" applyFont="1" applyFill="1" applyBorder="1" applyAlignment="1">
      <alignment vertical="center"/>
    </xf>
    <xf numFmtId="166" fontId="0" fillId="45" borderId="113" xfId="5" applyNumberFormat="1" applyFont="1" applyFill="1" applyBorder="1" applyAlignment="1">
      <alignment vertical="center"/>
    </xf>
    <xf numFmtId="166" fontId="0" fillId="45" borderId="148" xfId="5" applyNumberFormat="1" applyFont="1" applyFill="1" applyBorder="1" applyAlignment="1">
      <alignment vertical="center"/>
    </xf>
    <xf numFmtId="166" fontId="0" fillId="0" borderId="63" xfId="5" applyNumberFormat="1" applyFont="1" applyBorder="1" applyAlignment="1">
      <alignment vertical="center"/>
    </xf>
    <xf numFmtId="166" fontId="0" fillId="0" borderId="113" xfId="5" applyNumberFormat="1" applyFont="1" applyBorder="1" applyAlignment="1">
      <alignment vertical="center"/>
    </xf>
    <xf numFmtId="166" fontId="0" fillId="0" borderId="69" xfId="5" applyNumberFormat="1" applyFont="1" applyBorder="1" applyAlignment="1">
      <alignment vertical="center"/>
    </xf>
    <xf numFmtId="181" fontId="0" fillId="0" borderId="161" xfId="3" applyNumberFormat="1" applyFont="1" applyBorder="1" applyAlignment="1" applyProtection="1">
      <alignment horizontal="center" vertical="center"/>
    </xf>
    <xf numFmtId="181" fontId="0" fillId="0" borderId="113" xfId="3" applyNumberFormat="1" applyFont="1" applyBorder="1" applyAlignment="1" applyProtection="1">
      <alignment horizontal="center" vertical="center"/>
    </xf>
    <xf numFmtId="166" fontId="0" fillId="45" borderId="132" xfId="5" applyNumberFormat="1" applyFont="1" applyFill="1" applyBorder="1" applyAlignment="1">
      <alignment vertical="center"/>
    </xf>
    <xf numFmtId="166" fontId="0" fillId="45" borderId="125" xfId="5" applyNumberFormat="1" applyFont="1" applyFill="1" applyBorder="1" applyAlignment="1">
      <alignment vertical="center"/>
    </xf>
    <xf numFmtId="181" fontId="0" fillId="0" borderId="132" xfId="3" applyNumberFormat="1" applyFont="1" applyBorder="1" applyAlignment="1" applyProtection="1">
      <alignment horizontal="center" vertical="center"/>
    </xf>
    <xf numFmtId="181" fontId="0" fillId="0" borderId="123" xfId="3" applyNumberFormat="1" applyFont="1" applyBorder="1" applyAlignment="1" applyProtection="1">
      <alignment horizontal="center" vertical="center"/>
    </xf>
    <xf numFmtId="166" fontId="0" fillId="28" borderId="183" xfId="5" applyNumberFormat="1" applyFont="1" applyFill="1" applyBorder="1" applyAlignment="1">
      <alignment vertical="center"/>
    </xf>
    <xf numFmtId="166" fontId="0" fillId="23" borderId="124" xfId="5" applyNumberFormat="1" applyFont="1" applyFill="1" applyBorder="1" applyAlignment="1">
      <alignment vertical="center"/>
    </xf>
    <xf numFmtId="166" fontId="0" fillId="23" borderId="132" xfId="5" applyNumberFormat="1" applyFont="1" applyFill="1" applyBorder="1" applyAlignment="1">
      <alignment vertical="center"/>
    </xf>
    <xf numFmtId="166" fontId="0" fillId="23" borderId="123" xfId="5" applyNumberFormat="1" applyFont="1" applyFill="1" applyBorder="1" applyAlignment="1">
      <alignment vertical="center"/>
    </xf>
    <xf numFmtId="166" fontId="0" fillId="45" borderId="126" xfId="5" applyNumberFormat="1" applyFont="1" applyFill="1" applyBorder="1" applyAlignment="1">
      <alignment vertical="center"/>
    </xf>
    <xf numFmtId="166" fontId="0" fillId="1" borderId="138" xfId="5" applyNumberFormat="1" applyFont="1" applyFill="1" applyBorder="1" applyAlignment="1">
      <alignment vertical="center"/>
    </xf>
    <xf numFmtId="181" fontId="0" fillId="0" borderId="61" xfId="3" applyNumberFormat="1" applyFont="1" applyBorder="1" applyAlignment="1" applyProtection="1">
      <alignment horizontal="center" vertical="center"/>
    </xf>
    <xf numFmtId="181" fontId="0" fillId="0" borderId="83" xfId="3" applyNumberFormat="1" applyFont="1" applyBorder="1" applyAlignment="1" applyProtection="1">
      <alignment horizontal="center" vertical="center"/>
    </xf>
    <xf numFmtId="166" fontId="0" fillId="47" borderId="126" xfId="5" applyNumberFormat="1" applyFont="1" applyFill="1" applyBorder="1" applyAlignment="1">
      <alignment vertical="center"/>
    </xf>
    <xf numFmtId="166" fontId="0" fillId="1" borderId="124" xfId="5" applyNumberFormat="1" applyFont="1" applyFill="1" applyBorder="1" applyAlignment="1">
      <alignment vertical="center"/>
    </xf>
    <xf numFmtId="166" fontId="7" fillId="0" borderId="132" xfId="5" applyNumberFormat="1" applyBorder="1" applyAlignment="1">
      <alignment vertical="center"/>
    </xf>
    <xf numFmtId="166" fontId="7" fillId="0" borderId="123" xfId="5" applyNumberFormat="1" applyBorder="1" applyAlignment="1">
      <alignment vertical="center"/>
    </xf>
    <xf numFmtId="166" fontId="0" fillId="1" borderId="126" xfId="5" applyNumberFormat="1" applyFont="1" applyFill="1" applyBorder="1" applyAlignment="1">
      <alignment vertical="center"/>
    </xf>
    <xf numFmtId="166" fontId="7" fillId="0" borderId="173" xfId="5" applyNumberFormat="1" applyBorder="1" applyAlignment="1">
      <alignment vertical="center"/>
    </xf>
    <xf numFmtId="166" fontId="0" fillId="1" borderId="155" xfId="5" applyNumberFormat="1" applyFont="1" applyFill="1" applyBorder="1" applyAlignment="1">
      <alignment vertical="center"/>
    </xf>
    <xf numFmtId="166" fontId="7" fillId="0" borderId="61" xfId="5" applyNumberFormat="1" applyBorder="1" applyAlignment="1">
      <alignment vertical="center"/>
    </xf>
    <xf numFmtId="166" fontId="7" fillId="0" borderId="83" xfId="5" applyNumberFormat="1" applyBorder="1" applyAlignment="1">
      <alignment vertical="center"/>
    </xf>
    <xf numFmtId="166" fontId="0" fillId="28" borderId="67" xfId="5" applyNumberFormat="1" applyFont="1" applyFill="1" applyBorder="1" applyAlignment="1">
      <alignment vertical="center"/>
    </xf>
    <xf numFmtId="166" fontId="0" fillId="28" borderId="137" xfId="5" applyNumberFormat="1" applyFont="1" applyFill="1" applyBorder="1" applyAlignment="1">
      <alignment vertical="center"/>
    </xf>
    <xf numFmtId="166" fontId="0" fillId="46" borderId="149" xfId="5" applyNumberFormat="1" applyFont="1" applyFill="1" applyBorder="1" applyAlignment="1">
      <alignment vertical="center"/>
    </xf>
    <xf numFmtId="166" fontId="0" fillId="45" borderId="67" xfId="5" applyNumberFormat="1" applyFont="1" applyFill="1" applyBorder="1" applyAlignment="1">
      <alignment vertical="center"/>
    </xf>
    <xf numFmtId="166" fontId="0" fillId="46" borderId="67" xfId="5" applyNumberFormat="1" applyFont="1" applyFill="1" applyBorder="1" applyAlignment="1">
      <alignment vertical="center"/>
    </xf>
    <xf numFmtId="166" fontId="0" fillId="46" borderId="88" xfId="5" applyNumberFormat="1" applyFont="1" applyFill="1" applyBorder="1" applyAlignment="1">
      <alignment vertical="center"/>
    </xf>
    <xf numFmtId="166" fontId="0" fillId="1" borderId="87" xfId="5" applyNumberFormat="1" applyFont="1" applyFill="1" applyBorder="1" applyAlignment="1">
      <alignment vertical="center"/>
    </xf>
    <xf numFmtId="166" fontId="0" fillId="0" borderId="67" xfId="5" applyNumberFormat="1" applyFont="1" applyBorder="1" applyAlignment="1">
      <alignment vertical="center"/>
    </xf>
    <xf numFmtId="166" fontId="0" fillId="1" borderId="67" xfId="5" applyNumberFormat="1" applyFont="1" applyFill="1" applyBorder="1" applyAlignment="1">
      <alignment vertical="center"/>
    </xf>
    <xf numFmtId="166" fontId="0" fillId="1" borderId="137" xfId="5" applyNumberFormat="1" applyFont="1" applyFill="1" applyBorder="1" applyAlignment="1">
      <alignment vertical="center"/>
    </xf>
    <xf numFmtId="166" fontId="0" fillId="1" borderId="149" xfId="5" applyNumberFormat="1" applyFont="1" applyFill="1" applyBorder="1" applyAlignment="1">
      <alignment vertical="center"/>
    </xf>
    <xf numFmtId="181" fontId="0" fillId="0" borderId="67" xfId="3" applyNumberFormat="1" applyFont="1" applyBorder="1" applyAlignment="1" applyProtection="1">
      <alignment horizontal="center" vertical="center"/>
    </xf>
    <xf numFmtId="173" fontId="0" fillId="19" borderId="0" xfId="0" applyNumberFormat="1" applyFill="1"/>
    <xf numFmtId="0" fontId="0" fillId="2" borderId="212" xfId="0" applyFill="1" applyBorder="1" applyAlignment="1" applyProtection="1">
      <alignment horizontal="left" vertical="center"/>
      <protection locked="0"/>
    </xf>
    <xf numFmtId="166" fontId="0" fillId="2" borderId="259" xfId="5" applyNumberFormat="1" applyFont="1" applyFill="1" applyBorder="1" applyAlignment="1" applyProtection="1">
      <alignment vertical="center"/>
      <protection locked="0"/>
    </xf>
    <xf numFmtId="166" fontId="0" fillId="2" borderId="258" xfId="5" applyNumberFormat="1" applyFont="1" applyFill="1" applyBorder="1" applyAlignment="1" applyProtection="1">
      <alignment vertical="center"/>
      <protection locked="0"/>
    </xf>
    <xf numFmtId="166" fontId="0" fillId="37" borderId="258" xfId="5" applyNumberFormat="1" applyFont="1" applyFill="1" applyBorder="1" applyAlignment="1" applyProtection="1">
      <alignment vertical="center"/>
      <protection locked="0"/>
    </xf>
    <xf numFmtId="0" fontId="0" fillId="0" borderId="258" xfId="0" applyBorder="1" applyAlignment="1" applyProtection="1">
      <alignment horizontal="left" vertical="center"/>
      <protection locked="0"/>
    </xf>
    <xf numFmtId="0" fontId="30" fillId="0" borderId="258" xfId="0" applyFont="1" applyBorder="1" applyAlignment="1" applyProtection="1">
      <alignment horizontal="left" vertical="center"/>
      <protection locked="0"/>
    </xf>
    <xf numFmtId="166" fontId="30" fillId="37" borderId="258" xfId="5" applyNumberFormat="1" applyFont="1" applyFill="1" applyBorder="1" applyAlignment="1" applyProtection="1">
      <alignment vertical="center"/>
      <protection locked="0"/>
    </xf>
    <xf numFmtId="0" fontId="29" fillId="0" borderId="258" xfId="0" applyFont="1" applyBorder="1" applyAlignment="1" applyProtection="1">
      <alignment horizontal="left" vertical="center"/>
      <protection locked="0"/>
    </xf>
    <xf numFmtId="0" fontId="31" fillId="19" borderId="0" xfId="0" applyFont="1" applyFill="1" applyProtection="1">
      <protection locked="0"/>
    </xf>
    <xf numFmtId="185" fontId="16" fillId="0" borderId="258" xfId="0" applyNumberFormat="1" applyFont="1" applyBorder="1" applyAlignment="1" applyProtection="1">
      <alignment horizontal="left"/>
      <protection locked="0"/>
    </xf>
    <xf numFmtId="0" fontId="27" fillId="2" borderId="262" xfId="0" applyFont="1" applyFill="1" applyBorder="1" applyAlignment="1" applyProtection="1">
      <alignment horizontal="left" vertical="center"/>
      <protection locked="0"/>
    </xf>
    <xf numFmtId="0" fontId="27" fillId="2" borderId="258" xfId="0" applyFont="1" applyFill="1" applyBorder="1" applyAlignment="1" applyProtection="1">
      <alignment horizontal="left" vertical="center"/>
      <protection locked="0"/>
    </xf>
    <xf numFmtId="0" fontId="27" fillId="2" borderId="256" xfId="0" applyFont="1" applyFill="1" applyBorder="1" applyAlignment="1" applyProtection="1">
      <alignment horizontal="left" vertical="center"/>
      <protection locked="0"/>
    </xf>
    <xf numFmtId="170" fontId="31" fillId="2" borderId="258" xfId="5" applyNumberFormat="1" applyFont="1" applyFill="1" applyBorder="1" applyAlignment="1" applyProtection="1">
      <alignment vertical="center"/>
      <protection locked="0"/>
    </xf>
    <xf numFmtId="170" fontId="31" fillId="2" borderId="259" xfId="5" applyNumberFormat="1" applyFont="1" applyFill="1" applyBorder="1" applyAlignment="1" applyProtection="1">
      <alignment vertical="center"/>
      <protection locked="0"/>
    </xf>
    <xf numFmtId="166" fontId="0" fillId="0" borderId="229" xfId="0" applyNumberFormat="1" applyBorder="1" applyAlignment="1" applyProtection="1">
      <alignment horizontal="left" vertical="center"/>
      <protection locked="0"/>
    </xf>
    <xf numFmtId="170" fontId="31" fillId="2" borderId="113" xfId="5" applyNumberFormat="1" applyFont="1" applyFill="1" applyBorder="1" applyAlignment="1" applyProtection="1">
      <alignment vertical="center"/>
      <protection locked="0"/>
    </xf>
    <xf numFmtId="0" fontId="31" fillId="2" borderId="258" xfId="0" applyFont="1" applyFill="1" applyBorder="1" applyAlignment="1" applyProtection="1">
      <alignment horizontal="left" vertical="center"/>
      <protection locked="0"/>
    </xf>
    <xf numFmtId="0" fontId="31" fillId="2" borderId="262" xfId="0" applyFont="1" applyFill="1" applyBorder="1" applyAlignment="1" applyProtection="1">
      <alignment horizontal="left" vertical="center"/>
      <protection locked="0"/>
    </xf>
    <xf numFmtId="0" fontId="31" fillId="2" borderId="256" xfId="0" applyFont="1" applyFill="1" applyBorder="1" applyAlignment="1" applyProtection="1">
      <alignment horizontal="left" vertical="center"/>
      <protection locked="0"/>
    </xf>
    <xf numFmtId="0" fontId="27" fillId="2" borderId="263" xfId="0" applyFont="1" applyFill="1" applyBorder="1" applyAlignment="1" applyProtection="1">
      <alignment horizontal="left" vertical="center"/>
      <protection locked="0"/>
    </xf>
    <xf numFmtId="170" fontId="27" fillId="2" borderId="148" xfId="5" applyNumberFormat="1" applyFont="1" applyFill="1" applyBorder="1" applyAlignment="1" applyProtection="1">
      <alignment vertical="center"/>
      <protection locked="0"/>
    </xf>
    <xf numFmtId="170" fontId="27" fillId="2" borderId="256" xfId="5" applyNumberFormat="1" applyFont="1" applyFill="1" applyBorder="1" applyAlignment="1" applyProtection="1">
      <alignment vertical="center"/>
      <protection locked="0"/>
    </xf>
    <xf numFmtId="168" fontId="0" fillId="2" borderId="264" xfId="5" applyNumberFormat="1" applyFont="1" applyFill="1" applyBorder="1" applyAlignment="1" applyProtection="1">
      <alignment horizontal="center" vertical="center"/>
      <protection locked="0"/>
    </xf>
    <xf numFmtId="170" fontId="0" fillId="2" borderId="265" xfId="5" applyNumberFormat="1" applyFont="1" applyFill="1" applyBorder="1" applyAlignment="1" applyProtection="1">
      <alignment vertical="center"/>
      <protection locked="0"/>
    </xf>
    <xf numFmtId="170" fontId="0" fillId="2" borderId="266" xfId="5" applyNumberFormat="1" applyFont="1" applyFill="1" applyBorder="1" applyAlignment="1" applyProtection="1">
      <alignment vertical="center"/>
      <protection locked="0"/>
    </xf>
    <xf numFmtId="170" fontId="0" fillId="2" borderId="259" xfId="5" applyNumberFormat="1" applyFont="1" applyFill="1" applyBorder="1" applyAlignment="1" applyProtection="1">
      <alignment vertical="center"/>
      <protection locked="0"/>
    </xf>
    <xf numFmtId="178" fontId="7" fillId="0" borderId="250" xfId="7" applyNumberFormat="1" applyBorder="1" applyAlignment="1">
      <alignment horizontal="right" vertical="center"/>
    </xf>
    <xf numFmtId="178" fontId="7" fillId="0" borderId="54" xfId="7" applyNumberFormat="1" applyBorder="1" applyAlignment="1">
      <alignment horizontal="right" vertical="center"/>
    </xf>
    <xf numFmtId="166" fontId="5" fillId="12" borderId="265" xfId="2" applyNumberFormat="1" applyFont="1" applyFill="1" applyBorder="1" applyAlignment="1" applyProtection="1">
      <alignment horizontal="center" vertical="center"/>
    </xf>
    <xf numFmtId="9" fontId="5" fillId="0" borderId="265" xfId="3" applyFont="1" applyBorder="1" applyAlignment="1">
      <alignment horizontal="center" vertical="center"/>
    </xf>
    <xf numFmtId="178" fontId="2" fillId="21" borderId="0" xfId="0" applyNumberFormat="1" applyFont="1" applyFill="1"/>
    <xf numFmtId="0" fontId="2" fillId="43" borderId="124" xfId="0" applyFont="1" applyFill="1" applyBorder="1" applyAlignment="1">
      <alignment horizontal="left" vertical="center" indent="1"/>
    </xf>
    <xf numFmtId="172" fontId="0" fillId="19" borderId="265" xfId="0" applyNumberFormat="1" applyFill="1" applyBorder="1"/>
    <xf numFmtId="172" fontId="0" fillId="19" borderId="272" xfId="0" applyNumberFormat="1" applyFill="1" applyBorder="1"/>
    <xf numFmtId="0" fontId="2" fillId="43" borderId="214" xfId="0" applyFont="1" applyFill="1" applyBorder="1" applyAlignment="1">
      <alignment horizontal="left" vertical="center" indent="1"/>
    </xf>
    <xf numFmtId="0" fontId="0" fillId="19" borderId="253" xfId="0" applyFill="1" applyBorder="1" applyAlignment="1">
      <alignment horizontal="left" indent="2"/>
    </xf>
    <xf numFmtId="0" fontId="0" fillId="19" borderId="254" xfId="0" applyFill="1" applyBorder="1" applyAlignment="1">
      <alignment horizontal="left" indent="2"/>
    </xf>
    <xf numFmtId="0" fontId="2" fillId="10" borderId="66" xfId="0" applyFont="1" applyFill="1" applyBorder="1" applyAlignment="1">
      <alignment horizontal="left" indent="2"/>
    </xf>
    <xf numFmtId="0" fontId="2" fillId="50" borderId="124" xfId="0" applyFont="1" applyFill="1" applyBorder="1" applyAlignment="1">
      <alignment horizontal="center" vertical="center" wrapText="1"/>
    </xf>
    <xf numFmtId="172" fontId="0" fillId="19" borderId="257" xfId="0" applyNumberFormat="1" applyFill="1" applyBorder="1"/>
    <xf numFmtId="172" fontId="0" fillId="19" borderId="260" xfId="0" applyNumberFormat="1" applyFill="1" applyBorder="1"/>
    <xf numFmtId="172" fontId="26" fillId="19" borderId="87" xfId="0" applyNumberFormat="1" applyFont="1" applyFill="1" applyBorder="1"/>
    <xf numFmtId="0" fontId="26" fillId="10" borderId="66" xfId="0" applyFont="1" applyFill="1" applyBorder="1" applyAlignment="1">
      <alignment horizontal="left" indent="2"/>
    </xf>
    <xf numFmtId="0" fontId="34" fillId="19" borderId="0" xfId="0" applyFont="1" applyFill="1" applyProtection="1">
      <protection locked="0"/>
    </xf>
    <xf numFmtId="0" fontId="8" fillId="0" borderId="174" xfId="0" applyFont="1" applyBorder="1" applyAlignment="1">
      <alignment horizontal="center" vertical="center" wrapText="1"/>
    </xf>
    <xf numFmtId="0" fontId="11" fillId="0" borderId="174" xfId="0" applyFont="1" applyBorder="1" applyAlignment="1">
      <alignment horizontal="center" vertical="center" wrapText="1"/>
    </xf>
    <xf numFmtId="168" fontId="0" fillId="2" borderId="87" xfId="5" applyNumberFormat="1" applyFont="1" applyFill="1" applyBorder="1" applyAlignment="1" applyProtection="1">
      <alignment horizontal="center" vertical="center"/>
      <protection locked="0"/>
    </xf>
    <xf numFmtId="166" fontId="0" fillId="0" borderId="276" xfId="0" applyNumberFormat="1" applyBorder="1" applyAlignment="1">
      <alignment vertical="center"/>
    </xf>
    <xf numFmtId="166" fontId="5" fillId="16" borderId="277" xfId="2" applyNumberFormat="1" applyFont="1" applyFill="1" applyBorder="1" applyAlignment="1" applyProtection="1">
      <alignment vertical="center"/>
    </xf>
    <xf numFmtId="166" fontId="5" fillId="16" borderId="277" xfId="2" applyNumberFormat="1" applyFont="1" applyFill="1" applyBorder="1" applyAlignment="1" applyProtection="1">
      <alignment horizontal="right" vertical="center"/>
    </xf>
    <xf numFmtId="166" fontId="5" fillId="16" borderId="278" xfId="2" applyNumberFormat="1" applyFont="1" applyFill="1" applyBorder="1" applyAlignment="1" applyProtection="1">
      <alignment vertical="center"/>
    </xf>
    <xf numFmtId="166" fontId="5" fillId="16" borderId="278" xfId="2" applyNumberFormat="1" applyFont="1" applyFill="1" applyBorder="1" applyAlignment="1" applyProtection="1">
      <alignment horizontal="right" vertical="center"/>
    </xf>
    <xf numFmtId="166" fontId="11" fillId="18" borderId="265" xfId="2" applyNumberFormat="1" applyFont="1" applyFill="1" applyBorder="1" applyAlignment="1" applyProtection="1">
      <alignment vertical="center" wrapText="1"/>
    </xf>
    <xf numFmtId="166" fontId="0" fillId="0" borderId="265" xfId="2" applyNumberFormat="1" applyFont="1" applyFill="1" applyBorder="1" applyAlignment="1" applyProtection="1">
      <alignment vertical="center"/>
    </xf>
    <xf numFmtId="169" fontId="0" fillId="0" borderId="265" xfId="1" applyNumberFormat="1" applyFont="1" applyFill="1" applyBorder="1" applyAlignment="1" applyProtection="1">
      <alignment vertical="center"/>
    </xf>
    <xf numFmtId="0" fontId="0" fillId="19" borderId="263" xfId="0" applyFill="1" applyBorder="1"/>
    <xf numFmtId="0" fontId="0" fillId="19" borderId="82" xfId="0" applyFill="1" applyBorder="1"/>
    <xf numFmtId="0" fontId="0" fillId="19" borderId="245" xfId="0" applyFill="1" applyBorder="1"/>
    <xf numFmtId="168" fontId="0" fillId="0" borderId="10" xfId="2" applyNumberFormat="1" applyFont="1" applyFill="1" applyBorder="1" applyAlignment="1" applyProtection="1">
      <alignment vertical="center"/>
    </xf>
    <xf numFmtId="0" fontId="34" fillId="0" borderId="0" xfId="0" applyFont="1" applyProtection="1">
      <protection locked="0"/>
    </xf>
    <xf numFmtId="0" fontId="0" fillId="0" borderId="0" xfId="0" applyAlignment="1" applyProtection="1">
      <alignment vertical="center"/>
      <protection locked="0"/>
    </xf>
    <xf numFmtId="0" fontId="37" fillId="0" borderId="0" xfId="0" applyFont="1" applyAlignment="1">
      <alignment horizontal="center" vertical="center" wrapText="1"/>
    </xf>
    <xf numFmtId="6" fontId="38" fillId="0" borderId="0" xfId="0" applyNumberFormat="1" applyFont="1" applyAlignment="1">
      <alignment horizontal="right" vertical="center" wrapText="1"/>
    </xf>
    <xf numFmtId="6" fontId="39" fillId="0" borderId="0" xfId="0" applyNumberFormat="1" applyFont="1" applyAlignment="1">
      <alignment horizontal="right" vertical="center" wrapText="1"/>
    </xf>
    <xf numFmtId="3" fontId="33" fillId="0" borderId="0" xfId="1" applyNumberFormat="1"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19" borderId="0" xfId="0" applyFill="1" applyAlignment="1" applyProtection="1">
      <alignment horizontal="center"/>
      <protection locked="0"/>
    </xf>
    <xf numFmtId="9" fontId="2" fillId="19" borderId="0" xfId="3" applyFont="1" applyFill="1"/>
    <xf numFmtId="172" fontId="0" fillId="0" borderId="0" xfId="0" applyNumberFormat="1"/>
    <xf numFmtId="9" fontId="1" fillId="0" borderId="250" xfId="3" applyBorder="1" applyAlignment="1">
      <alignment horizontal="center" vertical="center"/>
    </xf>
    <xf numFmtId="9" fontId="5" fillId="7" borderId="54" xfId="3" applyFont="1" applyFill="1" applyBorder="1" applyAlignment="1">
      <alignment horizontal="center" vertical="center"/>
    </xf>
    <xf numFmtId="9" fontId="1" fillId="0" borderId="251" xfId="3" applyBorder="1" applyAlignment="1">
      <alignment horizontal="center" vertical="center"/>
    </xf>
    <xf numFmtId="0" fontId="5" fillId="7" borderId="85" xfId="0" applyFont="1" applyFill="1" applyBorder="1" applyAlignment="1">
      <alignment horizontal="center" vertical="center" wrapText="1"/>
    </xf>
    <xf numFmtId="0" fontId="5" fillId="0" borderId="279" xfId="0" applyFont="1" applyBorder="1" applyAlignment="1">
      <alignment horizontal="left" vertical="center"/>
    </xf>
    <xf numFmtId="166" fontId="0" fillId="10" borderId="278" xfId="2" applyNumberFormat="1" applyFont="1" applyFill="1" applyBorder="1" applyAlignment="1" applyProtection="1">
      <alignment vertical="center"/>
    </xf>
    <xf numFmtId="166" fontId="0" fillId="10" borderId="240" xfId="2" applyNumberFormat="1" applyFont="1" applyFill="1" applyBorder="1" applyAlignment="1" applyProtection="1">
      <alignment vertical="center"/>
    </xf>
    <xf numFmtId="166" fontId="5" fillId="10" borderId="273" xfId="2" applyNumberFormat="1" applyFont="1" applyFill="1" applyBorder="1" applyAlignment="1" applyProtection="1">
      <alignment vertical="center"/>
    </xf>
    <xf numFmtId="166" fontId="0" fillId="9" borderId="280" xfId="2" applyNumberFormat="1" applyFont="1" applyFill="1" applyBorder="1" applyAlignment="1" applyProtection="1">
      <alignment vertical="center"/>
    </xf>
    <xf numFmtId="166" fontId="0" fillId="9" borderId="273" xfId="2" applyNumberFormat="1" applyFont="1" applyFill="1" applyBorder="1" applyAlignment="1" applyProtection="1">
      <alignment vertical="center"/>
    </xf>
    <xf numFmtId="166" fontId="0" fillId="9" borderId="224" xfId="2" applyNumberFormat="1" applyFont="1" applyFill="1" applyBorder="1" applyAlignment="1" applyProtection="1">
      <alignment vertical="center"/>
    </xf>
    <xf numFmtId="166" fontId="5" fillId="9" borderId="273" xfId="2" applyNumberFormat="1" applyFont="1" applyFill="1" applyBorder="1" applyAlignment="1" applyProtection="1">
      <alignment vertical="center"/>
    </xf>
    <xf numFmtId="166" fontId="5" fillId="0" borderId="224" xfId="2" applyNumberFormat="1" applyFont="1" applyFill="1" applyBorder="1" applyAlignment="1" applyProtection="1">
      <alignment vertical="center"/>
    </xf>
    <xf numFmtId="0" fontId="9" fillId="6" borderId="86" xfId="0" applyFont="1" applyFill="1" applyBorder="1" applyAlignment="1">
      <alignment horizontal="center" vertical="center" wrapText="1"/>
    </xf>
    <xf numFmtId="0" fontId="5" fillId="3" borderId="85" xfId="0" applyFont="1" applyFill="1" applyBorder="1" applyAlignment="1">
      <alignment horizontal="center" vertical="center" wrapText="1"/>
    </xf>
    <xf numFmtId="0" fontId="9" fillId="4" borderId="85" xfId="0" applyFont="1" applyFill="1" applyBorder="1" applyAlignment="1">
      <alignment horizontal="center" vertical="center" wrapText="1"/>
    </xf>
    <xf numFmtId="0" fontId="9" fillId="5" borderId="85" xfId="0" applyFont="1" applyFill="1" applyBorder="1" applyAlignment="1">
      <alignment horizontal="center" vertical="center" wrapText="1"/>
    </xf>
    <xf numFmtId="0" fontId="7" fillId="0" borderId="0" xfId="7"/>
    <xf numFmtId="0" fontId="5" fillId="19" borderId="0" xfId="10" applyFont="1" applyFill="1" applyAlignment="1">
      <alignment horizontal="center" vertical="center"/>
    </xf>
    <xf numFmtId="0" fontId="5" fillId="19" borderId="0" xfId="10" applyFont="1" applyFill="1" applyAlignment="1">
      <alignment vertical="center"/>
    </xf>
    <xf numFmtId="9" fontId="4" fillId="19" borderId="0" xfId="11" applyFont="1" applyFill="1" applyBorder="1" applyAlignment="1" applyProtection="1">
      <alignment vertical="center"/>
    </xf>
    <xf numFmtId="0" fontId="5" fillId="19" borderId="1" xfId="7" applyFont="1" applyFill="1" applyBorder="1" applyAlignment="1">
      <alignment horizontal="right" vertical="center"/>
    </xf>
    <xf numFmtId="0" fontId="8" fillId="2" borderId="276" xfId="7" applyFont="1" applyFill="1" applyBorder="1" applyAlignment="1" applyProtection="1">
      <alignment horizontal="center" vertical="center"/>
      <protection locked="0"/>
    </xf>
    <xf numFmtId="0" fontId="8" fillId="19" borderId="26" xfId="7" applyFont="1" applyFill="1" applyBorder="1" applyAlignment="1">
      <alignment horizontal="center" vertical="center"/>
    </xf>
    <xf numFmtId="0" fontId="8" fillId="19" borderId="0" xfId="7" applyFont="1" applyFill="1" applyAlignment="1">
      <alignment horizontal="center" vertical="center"/>
    </xf>
    <xf numFmtId="2" fontId="5" fillId="19" borderId="0" xfId="10" applyNumberFormat="1" applyFont="1" applyFill="1" applyAlignment="1">
      <alignment horizontal="center" vertical="center"/>
    </xf>
    <xf numFmtId="2" fontId="5" fillId="19" borderId="0" xfId="10" applyNumberFormat="1" applyFont="1" applyFill="1" applyAlignment="1">
      <alignment vertical="center"/>
    </xf>
    <xf numFmtId="0" fontId="5" fillId="19" borderId="0" xfId="7" applyFont="1" applyFill="1" applyAlignment="1">
      <alignment horizontal="right" vertical="center"/>
    </xf>
    <xf numFmtId="9" fontId="0" fillId="19" borderId="0" xfId="11" applyFont="1" applyFill="1" applyProtection="1"/>
    <xf numFmtId="0" fontId="7" fillId="19" borderId="0" xfId="7" applyFill="1"/>
    <xf numFmtId="0" fontId="7" fillId="19" borderId="0" xfId="7" applyFill="1" applyAlignment="1">
      <alignment horizontal="left" vertical="center"/>
    </xf>
    <xf numFmtId="178" fontId="5" fillId="19" borderId="0" xfId="7" applyNumberFormat="1" applyFont="1" applyFill="1" applyAlignment="1">
      <alignment horizontal="right" vertical="center"/>
    </xf>
    <xf numFmtId="0" fontId="7" fillId="19" borderId="192" xfId="7" applyFill="1" applyBorder="1"/>
    <xf numFmtId="0" fontId="7" fillId="19" borderId="114" xfId="7" applyFill="1" applyBorder="1"/>
    <xf numFmtId="0" fontId="7" fillId="19" borderId="194" xfId="7" applyFill="1" applyBorder="1"/>
    <xf numFmtId="0" fontId="7" fillId="19" borderId="49" xfId="7" applyFill="1" applyBorder="1"/>
    <xf numFmtId="0" fontId="7" fillId="19" borderId="41" xfId="7" applyFill="1" applyBorder="1"/>
    <xf numFmtId="0" fontId="12" fillId="19" borderId="0" xfId="7" applyFont="1" applyFill="1" applyAlignment="1">
      <alignment horizontal="left" vertical="center" indent="2"/>
    </xf>
    <xf numFmtId="0" fontId="7" fillId="21" borderId="0" xfId="7" applyFill="1"/>
    <xf numFmtId="0" fontId="12" fillId="19" borderId="0" xfId="7" applyFont="1" applyFill="1" applyAlignment="1">
      <alignment vertical="center"/>
    </xf>
    <xf numFmtId="0" fontId="12" fillId="19" borderId="49" xfId="7" applyFont="1" applyFill="1" applyBorder="1" applyAlignment="1">
      <alignment vertical="center"/>
    </xf>
    <xf numFmtId="0" fontId="7" fillId="21" borderId="41" xfId="7" applyFill="1" applyBorder="1"/>
    <xf numFmtId="178" fontId="7" fillId="40" borderId="265" xfId="7" applyNumberFormat="1" applyFill="1" applyBorder="1" applyAlignment="1">
      <alignment horizontal="center" vertical="center"/>
    </xf>
    <xf numFmtId="171" fontId="5" fillId="9" borderId="265" xfId="11" applyNumberFormat="1" applyFont="1" applyFill="1" applyBorder="1" applyAlignment="1" applyProtection="1">
      <alignment horizontal="center" vertical="center"/>
    </xf>
    <xf numFmtId="0" fontId="7" fillId="21" borderId="49" xfId="7" applyFill="1" applyBorder="1"/>
    <xf numFmtId="178" fontId="5" fillId="21" borderId="0" xfId="7" applyNumberFormat="1" applyFont="1" applyFill="1" applyAlignment="1">
      <alignment horizontal="right" vertical="center"/>
    </xf>
    <xf numFmtId="0" fontId="5" fillId="7" borderId="217" xfId="7" applyFont="1" applyFill="1" applyBorder="1" applyAlignment="1">
      <alignment horizontal="center" vertical="center" wrapText="1"/>
    </xf>
    <xf numFmtId="0" fontId="5" fillId="7" borderId="216" xfId="7" applyFont="1" applyFill="1" applyBorder="1" applyAlignment="1">
      <alignment horizontal="center" vertical="center" wrapText="1"/>
    </xf>
    <xf numFmtId="0" fontId="5" fillId="7" borderId="222" xfId="7" applyFont="1" applyFill="1" applyBorder="1" applyAlignment="1">
      <alignment horizontal="center" vertical="center" wrapText="1"/>
    </xf>
    <xf numFmtId="0" fontId="18" fillId="41" borderId="87" xfId="7" applyFont="1" applyFill="1" applyBorder="1" applyAlignment="1">
      <alignment horizontal="center" vertical="center"/>
    </xf>
    <xf numFmtId="0" fontId="18" fillId="41" borderId="88" xfId="7" applyFont="1" applyFill="1" applyBorder="1" applyAlignment="1">
      <alignment horizontal="center" vertical="center"/>
    </xf>
    <xf numFmtId="0" fontId="18" fillId="41" borderId="137" xfId="7" applyFont="1" applyFill="1" applyBorder="1" applyAlignment="1">
      <alignment horizontal="center" vertical="center"/>
    </xf>
    <xf numFmtId="0" fontId="18" fillId="43" borderId="282" xfId="7" applyFont="1" applyFill="1" applyBorder="1" applyAlignment="1">
      <alignment horizontal="center" vertical="center"/>
    </xf>
    <xf numFmtId="0" fontId="18" fillId="43" borderId="137" xfId="7" applyFont="1" applyFill="1" applyBorder="1" applyAlignment="1">
      <alignment horizontal="center" vertical="center"/>
    </xf>
    <xf numFmtId="0" fontId="7" fillId="21" borderId="0" xfId="7" applyFill="1" applyAlignment="1">
      <alignment horizontal="center"/>
    </xf>
    <xf numFmtId="0" fontId="18" fillId="41" borderId="60" xfId="7" applyFont="1" applyFill="1" applyBorder="1" applyAlignment="1">
      <alignment horizontal="center" vertical="center"/>
    </xf>
    <xf numFmtId="0" fontId="18" fillId="41" borderId="284" xfId="7" applyFont="1" applyFill="1" applyBorder="1" applyAlignment="1">
      <alignment horizontal="center" vertical="center"/>
    </xf>
    <xf numFmtId="0" fontId="18" fillId="42" borderId="60" xfId="7" applyFont="1" applyFill="1" applyBorder="1" applyAlignment="1">
      <alignment horizontal="center" vertical="center"/>
    </xf>
    <xf numFmtId="0" fontId="18" fillId="42" borderId="83" xfId="7" applyFont="1" applyFill="1" applyBorder="1" applyAlignment="1">
      <alignment horizontal="center" vertical="center"/>
    </xf>
    <xf numFmtId="0" fontId="18" fillId="43" borderId="189" xfId="7" applyFont="1" applyFill="1" applyBorder="1" applyAlignment="1">
      <alignment horizontal="center" vertical="center"/>
    </xf>
    <xf numFmtId="0" fontId="18" fillId="43" borderId="83" xfId="7" applyFont="1" applyFill="1" applyBorder="1" applyAlignment="1">
      <alignment horizontal="center" vertical="center"/>
    </xf>
    <xf numFmtId="0" fontId="18" fillId="41" borderId="260" xfId="7" applyFont="1" applyFill="1" applyBorder="1" applyAlignment="1">
      <alignment horizontal="center" vertical="center"/>
    </xf>
    <xf numFmtId="0" fontId="18" fillId="41" borderId="222" xfId="7" applyFont="1" applyFill="1" applyBorder="1" applyAlignment="1">
      <alignment horizontal="center" vertical="center"/>
    </xf>
    <xf numFmtId="0" fontId="18" fillId="42" borderId="260" xfId="7" applyFont="1" applyFill="1" applyBorder="1" applyAlignment="1">
      <alignment horizontal="center" vertical="center"/>
    </xf>
    <xf numFmtId="0" fontId="18" fillId="42" borderId="222" xfId="7" applyFont="1" applyFill="1" applyBorder="1" applyAlignment="1">
      <alignment horizontal="center" vertical="center"/>
    </xf>
    <xf numFmtId="0" fontId="18" fillId="43" borderId="260" xfId="7" applyFont="1" applyFill="1" applyBorder="1" applyAlignment="1">
      <alignment horizontal="center" vertical="center"/>
    </xf>
    <xf numFmtId="0" fontId="18" fillId="43" borderId="222" xfId="7" applyFont="1" applyFill="1" applyBorder="1" applyAlignment="1">
      <alignment horizontal="center" vertical="center"/>
    </xf>
    <xf numFmtId="0" fontId="7" fillId="2" borderId="235" xfId="7" applyFill="1" applyBorder="1" applyAlignment="1" applyProtection="1">
      <alignment horizontal="left" vertical="center"/>
      <protection locked="0"/>
    </xf>
    <xf numFmtId="0" fontId="7" fillId="2" borderId="215" xfId="7" applyFill="1" applyBorder="1" applyAlignment="1" applyProtection="1">
      <alignment horizontal="left" vertical="center"/>
      <protection locked="0"/>
    </xf>
    <xf numFmtId="0" fontId="7" fillId="2" borderId="215" xfId="7" applyFill="1" applyBorder="1" applyProtection="1">
      <protection locked="0"/>
    </xf>
    <xf numFmtId="0" fontId="7" fillId="2" borderId="269" xfId="7" applyFill="1" applyBorder="1" applyProtection="1">
      <protection locked="0"/>
    </xf>
    <xf numFmtId="178" fontId="7" fillId="23" borderId="214" xfId="7" applyNumberFormat="1" applyFill="1" applyBorder="1" applyAlignment="1">
      <alignment horizontal="right" vertical="center"/>
    </xf>
    <xf numFmtId="178" fontId="7" fillId="0" borderId="234" xfId="7" applyNumberFormat="1" applyBorder="1" applyAlignment="1">
      <alignment horizontal="right" vertical="center"/>
    </xf>
    <xf numFmtId="178" fontId="7" fillId="0" borderId="144" xfId="7" applyNumberFormat="1" applyBorder="1" applyAlignment="1">
      <alignment horizontal="right" vertical="center"/>
    </xf>
    <xf numFmtId="178" fontId="7" fillId="0" borderId="141" xfId="7" applyNumberFormat="1" applyBorder="1" applyAlignment="1">
      <alignment horizontal="right" vertical="center"/>
    </xf>
    <xf numFmtId="9" fontId="7" fillId="40" borderId="234" xfId="7" applyNumberFormat="1" applyFill="1" applyBorder="1" applyAlignment="1">
      <alignment horizontal="center" vertical="center"/>
    </xf>
    <xf numFmtId="0" fontId="5" fillId="30" borderId="250" xfId="7" applyFont="1" applyFill="1" applyBorder="1" applyAlignment="1">
      <alignment horizontal="center" vertical="center"/>
    </xf>
    <xf numFmtId="0" fontId="15" fillId="31" borderId="270" xfId="7" applyFont="1" applyFill="1" applyBorder="1" applyAlignment="1">
      <alignment horizontal="left" vertical="center"/>
    </xf>
    <xf numFmtId="166" fontId="15" fillId="31" borderId="259" xfId="5" applyNumberFormat="1" applyFont="1" applyFill="1" applyBorder="1" applyAlignment="1">
      <alignment horizontal="center" vertical="center"/>
    </xf>
    <xf numFmtId="9" fontId="14" fillId="0" borderId="133" xfId="11" applyFont="1" applyFill="1" applyBorder="1" applyAlignment="1" applyProtection="1">
      <alignment horizontal="center" vertical="center"/>
    </xf>
    <xf numFmtId="178" fontId="7" fillId="44" borderId="134" xfId="7" applyNumberFormat="1" applyFill="1" applyBorder="1" applyAlignment="1">
      <alignment horizontal="right" vertical="center"/>
    </xf>
    <xf numFmtId="178" fontId="7" fillId="44" borderId="135" xfId="7" applyNumberFormat="1" applyFill="1" applyBorder="1" applyAlignment="1">
      <alignment horizontal="right" vertical="center"/>
    </xf>
    <xf numFmtId="9" fontId="14" fillId="0" borderId="136" xfId="11" applyFont="1" applyFill="1" applyBorder="1" applyAlignment="1" applyProtection="1">
      <alignment horizontal="center" vertical="center"/>
    </xf>
    <xf numFmtId="9" fontId="7" fillId="19" borderId="87" xfId="7" applyNumberFormat="1" applyFill="1" applyBorder="1" applyAlignment="1">
      <alignment horizontal="center" vertical="center"/>
    </xf>
    <xf numFmtId="178" fontId="7" fillId="40" borderId="281" xfId="7" applyNumberFormat="1" applyFill="1" applyBorder="1" applyAlignment="1">
      <alignment horizontal="right" vertical="center"/>
    </xf>
    <xf numFmtId="9" fontId="7" fillId="19" borderId="281" xfId="7" applyNumberFormat="1" applyFill="1" applyBorder="1" applyAlignment="1">
      <alignment horizontal="center" vertical="center"/>
    </xf>
    <xf numFmtId="9" fontId="0" fillId="19" borderId="281" xfId="11" applyFont="1" applyFill="1" applyBorder="1" applyAlignment="1" applyProtection="1">
      <alignment horizontal="center" vertical="center"/>
    </xf>
    <xf numFmtId="178" fontId="7" fillId="40" borderId="137" xfId="7" applyNumberFormat="1" applyFill="1" applyBorder="1" applyAlignment="1">
      <alignment horizontal="right" vertical="center"/>
    </xf>
    <xf numFmtId="0" fontId="7" fillId="2" borderId="270" xfId="7" applyFill="1" applyBorder="1" applyAlignment="1" applyProtection="1">
      <alignment horizontal="left" vertical="center"/>
      <protection locked="0"/>
    </xf>
    <xf numFmtId="0" fontId="7" fillId="2" borderId="265" xfId="7" applyFill="1" applyBorder="1" applyAlignment="1" applyProtection="1">
      <alignment horizontal="left" vertical="center"/>
      <protection locked="0"/>
    </xf>
    <xf numFmtId="0" fontId="7" fillId="2" borderId="265" xfId="7" applyFill="1" applyBorder="1" applyProtection="1">
      <protection locked="0"/>
    </xf>
    <xf numFmtId="178" fontId="7" fillId="23" borderId="253" xfId="7" applyNumberFormat="1" applyFill="1" applyBorder="1" applyAlignment="1">
      <alignment horizontal="right" vertical="center"/>
    </xf>
    <xf numFmtId="178" fontId="7" fillId="0" borderId="266" xfId="7" applyNumberFormat="1" applyBorder="1" applyAlignment="1">
      <alignment horizontal="right" vertical="center"/>
    </xf>
    <xf numFmtId="178" fontId="7" fillId="0" borderId="259" xfId="7" applyNumberFormat="1" applyBorder="1" applyAlignment="1">
      <alignment horizontal="right" vertical="center"/>
    </xf>
    <xf numFmtId="9" fontId="7" fillId="40" borderId="250" xfId="7" applyNumberFormat="1" applyFill="1" applyBorder="1" applyAlignment="1">
      <alignment horizontal="center" vertical="center"/>
    </xf>
    <xf numFmtId="0" fontId="5" fillId="34" borderId="250" xfId="7" applyFont="1" applyFill="1" applyBorder="1" applyAlignment="1">
      <alignment horizontal="center" vertical="center" wrapText="1"/>
    </xf>
    <xf numFmtId="0" fontId="15" fillId="34" borderId="270" xfId="7" applyFont="1" applyFill="1" applyBorder="1" applyAlignment="1">
      <alignment horizontal="left" vertical="center"/>
    </xf>
    <xf numFmtId="166" fontId="15" fillId="34" borderId="259" xfId="5" applyNumberFormat="1" applyFont="1" applyFill="1" applyBorder="1" applyAlignment="1">
      <alignment horizontal="center" vertical="center"/>
    </xf>
    <xf numFmtId="1" fontId="7" fillId="0" borderId="250" xfId="7" applyNumberFormat="1" applyBorder="1" applyAlignment="1">
      <alignment horizontal="center" vertical="center" wrapText="1"/>
    </xf>
    <xf numFmtId="175" fontId="16" fillId="0" borderId="270" xfId="7" applyNumberFormat="1" applyFont="1" applyBorder="1" applyAlignment="1">
      <alignment horizontal="left"/>
    </xf>
    <xf numFmtId="166" fontId="0" fillId="2" borderId="265" xfId="5" applyNumberFormat="1" applyFont="1" applyFill="1" applyBorder="1" applyAlignment="1" applyProtection="1">
      <alignment vertical="center"/>
      <protection locked="0"/>
    </xf>
    <xf numFmtId="0" fontId="7" fillId="2" borderId="266" xfId="7" applyFill="1" applyBorder="1" applyProtection="1">
      <protection locked="0"/>
    </xf>
    <xf numFmtId="0" fontId="7" fillId="21" borderId="56" xfId="7" applyFill="1" applyBorder="1"/>
    <xf numFmtId="0" fontId="7" fillId="21" borderId="57" xfId="7" applyFill="1" applyBorder="1"/>
    <xf numFmtId="0" fontId="7" fillId="21" borderId="58" xfId="7" applyFill="1" applyBorder="1"/>
    <xf numFmtId="166" fontId="15" fillId="34" borderId="222" xfId="5" applyNumberFormat="1" applyFont="1" applyFill="1" applyBorder="1" applyAlignment="1" applyProtection="1">
      <alignment horizontal="center" vertical="center"/>
      <protection locked="0"/>
    </xf>
    <xf numFmtId="0" fontId="7" fillId="2" borderId="189" xfId="7" applyFill="1" applyBorder="1" applyAlignment="1" applyProtection="1">
      <alignment horizontal="left" vertical="center"/>
      <protection locked="0"/>
    </xf>
    <xf numFmtId="0" fontId="7" fillId="2" borderId="233" xfId="7" applyFill="1" applyBorder="1" applyAlignment="1" applyProtection="1">
      <alignment horizontal="left" vertical="center"/>
      <protection locked="0"/>
    </xf>
    <xf numFmtId="0" fontId="7" fillId="2" borderId="233" xfId="7" applyFill="1" applyBorder="1" applyProtection="1">
      <protection locked="0"/>
    </xf>
    <xf numFmtId="0" fontId="7" fillId="2" borderId="284" xfId="7" applyFill="1" applyBorder="1" applyProtection="1">
      <protection locked="0"/>
    </xf>
    <xf numFmtId="170" fontId="0" fillId="2" borderId="284" xfId="5" applyNumberFormat="1" applyFont="1" applyFill="1" applyBorder="1" applyAlignment="1" applyProtection="1">
      <alignment vertical="center"/>
      <protection locked="0"/>
    </xf>
    <xf numFmtId="178" fontId="7" fillId="23" borderId="53" xfId="7" applyNumberFormat="1" applyFill="1" applyBorder="1" applyAlignment="1">
      <alignment horizontal="right" vertical="center"/>
    </xf>
    <xf numFmtId="178" fontId="7" fillId="0" borderId="284" xfId="7" applyNumberFormat="1" applyBorder="1" applyAlignment="1">
      <alignment horizontal="right" vertical="center"/>
    </xf>
    <xf numFmtId="178" fontId="7" fillId="0" borderId="83" xfId="7" applyNumberFormat="1" applyBorder="1" applyAlignment="1">
      <alignment horizontal="right" vertical="center"/>
    </xf>
    <xf numFmtId="9" fontId="7" fillId="40" borderId="54" xfId="7" applyNumberFormat="1" applyFill="1" applyBorder="1" applyAlignment="1">
      <alignment horizontal="center" vertical="center"/>
    </xf>
    <xf numFmtId="0" fontId="7" fillId="2" borderId="236" xfId="7" applyFill="1" applyBorder="1" applyProtection="1">
      <protection locked="0"/>
    </xf>
    <xf numFmtId="9" fontId="7" fillId="2" borderId="212" xfId="7" applyNumberFormat="1" applyFill="1" applyBorder="1" applyAlignment="1" applyProtection="1">
      <alignment horizontal="center" vertical="center"/>
      <protection locked="0"/>
    </xf>
    <xf numFmtId="178" fontId="7" fillId="0" borderId="236" xfId="7" applyNumberFormat="1" applyBorder="1" applyAlignment="1">
      <alignment horizontal="right" vertical="center"/>
    </xf>
    <xf numFmtId="178" fontId="7" fillId="0" borderId="213" xfId="7" applyNumberFormat="1" applyBorder="1" applyAlignment="1">
      <alignment horizontal="right" vertical="center"/>
    </xf>
    <xf numFmtId="0" fontId="7" fillId="2" borderId="267" xfId="7" applyFill="1" applyBorder="1" applyAlignment="1" applyProtection="1">
      <alignment horizontal="left" vertical="center"/>
      <protection locked="0"/>
    </xf>
    <xf numFmtId="0" fontId="7" fillId="2" borderId="268" xfId="7" applyFill="1" applyBorder="1" applyAlignment="1" applyProtection="1">
      <alignment horizontal="left" vertical="center"/>
      <protection locked="0"/>
    </xf>
    <xf numFmtId="0" fontId="7" fillId="2" borderId="268" xfId="7" applyFill="1" applyBorder="1" applyProtection="1">
      <protection locked="0"/>
    </xf>
    <xf numFmtId="178" fontId="7" fillId="23" borderId="192" xfId="7" applyNumberFormat="1" applyFill="1" applyBorder="1" applyAlignment="1">
      <alignment horizontal="right" vertical="center"/>
    </xf>
    <xf numFmtId="178" fontId="7" fillId="23" borderId="146" xfId="7" applyNumberFormat="1" applyFill="1" applyBorder="1" applyAlignment="1">
      <alignment horizontal="right" vertical="center"/>
    </xf>
    <xf numFmtId="0" fontId="7" fillId="2" borderId="218" xfId="7" applyFill="1" applyBorder="1" applyAlignment="1" applyProtection="1">
      <alignment horizontal="left" vertical="center"/>
      <protection locked="0"/>
    </xf>
    <xf numFmtId="0" fontId="7" fillId="2" borderId="216" xfId="7" applyFill="1" applyBorder="1" applyAlignment="1" applyProtection="1">
      <alignment horizontal="left" vertical="center"/>
      <protection locked="0"/>
    </xf>
    <xf numFmtId="0" fontId="7" fillId="2" borderId="216" xfId="7" applyFill="1" applyBorder="1" applyProtection="1">
      <protection locked="0"/>
    </xf>
    <xf numFmtId="0" fontId="7" fillId="2" borderId="217" xfId="7" applyFill="1" applyBorder="1" applyProtection="1">
      <protection locked="0"/>
    </xf>
    <xf numFmtId="178" fontId="7" fillId="0" borderId="217" xfId="7" applyNumberFormat="1" applyBorder="1" applyAlignment="1">
      <alignment horizontal="right" vertical="center"/>
    </xf>
    <xf numFmtId="178" fontId="7" fillId="0" borderId="222" xfId="7" applyNumberFormat="1" applyBorder="1" applyAlignment="1">
      <alignment horizontal="right" vertical="center"/>
    </xf>
    <xf numFmtId="9" fontId="0" fillId="2" borderId="218" xfId="11" applyFont="1" applyFill="1" applyBorder="1" applyAlignment="1" applyProtection="1">
      <alignment horizontal="center" vertical="center"/>
      <protection locked="0"/>
    </xf>
    <xf numFmtId="170" fontId="7" fillId="21" borderId="0" xfId="7" applyNumberFormat="1" applyFill="1"/>
    <xf numFmtId="9" fontId="20" fillId="9" borderId="143" xfId="11" applyFont="1" applyFill="1" applyBorder="1" applyAlignment="1">
      <alignment horizontal="center" vertical="center"/>
    </xf>
    <xf numFmtId="0" fontId="30" fillId="2" borderId="212" xfId="7" applyFont="1" applyFill="1" applyBorder="1" applyAlignment="1" applyProtection="1">
      <alignment horizontal="left" vertical="center"/>
      <protection locked="0"/>
    </xf>
    <xf numFmtId="0" fontId="30" fillId="2" borderId="215" xfId="7" applyFont="1" applyFill="1" applyBorder="1" applyAlignment="1" applyProtection="1">
      <alignment horizontal="left" vertical="center"/>
      <protection locked="0"/>
    </xf>
    <xf numFmtId="178" fontId="7" fillId="23" borderId="237" xfId="10" applyNumberFormat="1" applyFill="1" applyBorder="1" applyAlignment="1">
      <alignment horizontal="right" vertical="center"/>
    </xf>
    <xf numFmtId="0" fontId="7" fillId="2" borderId="257" xfId="7" applyFill="1" applyBorder="1" applyAlignment="1" applyProtection="1">
      <alignment horizontal="left" vertical="center"/>
      <protection locked="0"/>
    </xf>
    <xf numFmtId="0" fontId="7" fillId="2" borderId="144" xfId="7" applyFill="1" applyBorder="1" applyProtection="1">
      <protection locked="0"/>
    </xf>
    <xf numFmtId="178" fontId="7" fillId="23" borderId="250" xfId="10" applyNumberFormat="1" applyFill="1" applyBorder="1" applyAlignment="1">
      <alignment horizontal="right" vertical="center"/>
    </xf>
    <xf numFmtId="178" fontId="7" fillId="0" borderId="250" xfId="10" applyNumberFormat="1" applyBorder="1" applyAlignment="1">
      <alignment horizontal="right" vertical="center"/>
    </xf>
    <xf numFmtId="0" fontId="7" fillId="2" borderId="145" xfId="7" applyFill="1" applyBorder="1" applyAlignment="1" applyProtection="1">
      <alignment horizontal="left" vertical="center"/>
      <protection locked="0"/>
    </xf>
    <xf numFmtId="0" fontId="7" fillId="2" borderId="104" xfId="7" applyFill="1" applyBorder="1" applyAlignment="1" applyProtection="1">
      <alignment horizontal="left" vertical="center"/>
      <protection locked="0"/>
    </xf>
    <xf numFmtId="0" fontId="7" fillId="2" borderId="104" xfId="7" applyFill="1" applyBorder="1" applyProtection="1">
      <protection locked="0"/>
    </xf>
    <xf numFmtId="0" fontId="7" fillId="2" borderId="60" xfId="7" applyFill="1" applyBorder="1" applyAlignment="1" applyProtection="1">
      <alignment horizontal="left" vertical="center"/>
      <protection locked="0"/>
    </xf>
    <xf numFmtId="178" fontId="7" fillId="23" borderId="54" xfId="10" applyNumberFormat="1" applyFill="1" applyBorder="1" applyAlignment="1">
      <alignment horizontal="right" vertical="center"/>
    </xf>
    <xf numFmtId="178" fontId="7" fillId="0" borderId="54" xfId="10" applyNumberFormat="1" applyBorder="1" applyAlignment="1">
      <alignment horizontal="right" vertical="center"/>
    </xf>
    <xf numFmtId="0" fontId="7" fillId="21" borderId="0" xfId="7" applyFill="1" applyAlignment="1">
      <alignment horizontal="center" vertical="center"/>
    </xf>
    <xf numFmtId="0" fontId="7" fillId="21" borderId="0" xfId="7" applyFill="1" applyAlignment="1">
      <alignment horizontal="left" vertical="center"/>
    </xf>
    <xf numFmtId="178" fontId="7" fillId="21" borderId="0" xfId="7" applyNumberFormat="1" applyFill="1"/>
    <xf numFmtId="178" fontId="8" fillId="40" borderId="85" xfId="7" applyNumberFormat="1" applyFont="1" applyFill="1" applyBorder="1" applyAlignment="1">
      <alignment horizontal="right" vertical="center"/>
    </xf>
    <xf numFmtId="9" fontId="20" fillId="9" borderId="143" xfId="11" applyFont="1" applyFill="1" applyBorder="1" applyAlignment="1" applyProtection="1">
      <alignment horizontal="center" vertical="center"/>
    </xf>
    <xf numFmtId="0" fontId="5" fillId="18" borderId="189" xfId="7" applyFont="1" applyFill="1" applyBorder="1" applyAlignment="1">
      <alignment horizontal="left" vertical="center"/>
    </xf>
    <xf numFmtId="179" fontId="7" fillId="21" borderId="0" xfId="7" applyNumberFormat="1" applyFill="1"/>
    <xf numFmtId="173" fontId="7" fillId="21" borderId="0" xfId="7" applyNumberFormat="1" applyFill="1"/>
    <xf numFmtId="0" fontId="0" fillId="19" borderId="31" xfId="0" applyFill="1" applyBorder="1" applyAlignment="1">
      <alignment horizontal="left" vertical="center"/>
    </xf>
    <xf numFmtId="0" fontId="0" fillId="19" borderId="181" xfId="0" applyFill="1" applyBorder="1" applyAlignment="1">
      <alignment horizontal="left" vertical="center"/>
    </xf>
    <xf numFmtId="0" fontId="0" fillId="19" borderId="181" xfId="0" applyFill="1" applyBorder="1" applyAlignment="1">
      <alignment horizontal="right" vertical="center"/>
    </xf>
    <xf numFmtId="170" fontId="0" fillId="56" borderId="198" xfId="5" applyNumberFormat="1" applyFont="1" applyFill="1" applyBorder="1" applyAlignment="1">
      <alignment vertical="center"/>
    </xf>
    <xf numFmtId="170" fontId="0" fillId="19" borderId="199" xfId="5" applyNumberFormat="1" applyFont="1" applyFill="1" applyBorder="1" applyAlignment="1">
      <alignment vertical="center"/>
    </xf>
    <xf numFmtId="170" fontId="0" fillId="19" borderId="200" xfId="5" applyNumberFormat="1" applyFont="1" applyFill="1" applyBorder="1" applyAlignment="1">
      <alignment vertical="center"/>
    </xf>
    <xf numFmtId="0" fontId="0" fillId="19" borderId="54" xfId="0" applyFill="1" applyBorder="1" applyAlignment="1">
      <alignment horizontal="right" vertical="center"/>
    </xf>
    <xf numFmtId="170" fontId="0" fillId="56" borderId="203" xfId="5" applyNumberFormat="1" applyFont="1" applyFill="1" applyBorder="1" applyAlignment="1">
      <alignment vertical="center"/>
    </xf>
    <xf numFmtId="170" fontId="0" fillId="19" borderId="204" xfId="5" applyNumberFormat="1" applyFont="1" applyFill="1" applyBorder="1" applyAlignment="1">
      <alignment vertical="center"/>
    </xf>
    <xf numFmtId="170" fontId="0" fillId="19" borderId="205" xfId="5" applyNumberFormat="1" applyFont="1" applyFill="1" applyBorder="1" applyAlignment="1">
      <alignment vertical="center"/>
    </xf>
    <xf numFmtId="0" fontId="0" fillId="19" borderId="121" xfId="0" applyFill="1" applyBorder="1" applyAlignment="1">
      <alignment horizontal="left" vertical="center"/>
    </xf>
    <xf numFmtId="0" fontId="0" fillId="19" borderId="182" xfId="0" applyFill="1" applyBorder="1" applyAlignment="1">
      <alignment horizontal="left" vertical="center"/>
    </xf>
    <xf numFmtId="0" fontId="0" fillId="19" borderId="182" xfId="0" applyFill="1" applyBorder="1" applyAlignment="1">
      <alignment horizontal="right" vertical="center"/>
    </xf>
    <xf numFmtId="0" fontId="0" fillId="19" borderId="188" xfId="0" applyFill="1" applyBorder="1" applyAlignment="1">
      <alignment horizontal="right" vertical="center"/>
    </xf>
    <xf numFmtId="0" fontId="0" fillId="19" borderId="120" xfId="0" applyFill="1" applyBorder="1" applyAlignment="1">
      <alignment horizontal="left" vertical="center"/>
    </xf>
    <xf numFmtId="0" fontId="0" fillId="19" borderId="82" xfId="0" applyFill="1" applyBorder="1" applyAlignment="1">
      <alignment horizontal="left" vertical="center"/>
    </xf>
    <xf numFmtId="170" fontId="0" fillId="56" borderId="145" xfId="5" applyNumberFormat="1" applyFont="1" applyFill="1" applyBorder="1" applyAlignment="1">
      <alignment vertical="center"/>
    </xf>
    <xf numFmtId="0" fontId="0" fillId="19" borderId="47" xfId="0" applyFill="1" applyBorder="1" applyAlignment="1">
      <alignment horizontal="left" vertical="center"/>
    </xf>
    <xf numFmtId="0" fontId="0" fillId="19" borderId="37" xfId="0" applyFill="1" applyBorder="1" applyAlignment="1">
      <alignment horizontal="left" vertical="center"/>
    </xf>
    <xf numFmtId="170" fontId="0" fillId="56" borderId="206" xfId="5" applyNumberFormat="1" applyFont="1" applyFill="1" applyBorder="1" applyAlignment="1">
      <alignment vertical="center"/>
    </xf>
    <xf numFmtId="0" fontId="0" fillId="19" borderId="86" xfId="0" applyFill="1" applyBorder="1" applyAlignment="1">
      <alignment horizontal="left" vertical="center"/>
    </xf>
    <xf numFmtId="170" fontId="0" fillId="56" borderId="87" xfId="5" applyNumberFormat="1" applyFont="1" applyFill="1" applyBorder="1" applyAlignment="1">
      <alignment vertical="center"/>
    </xf>
    <xf numFmtId="0" fontId="0" fillId="19" borderId="0" xfId="0" applyFill="1" applyAlignment="1">
      <alignment horizontal="center"/>
    </xf>
    <xf numFmtId="170" fontId="0" fillId="19" borderId="265" xfId="0" applyNumberFormat="1" applyFill="1" applyBorder="1"/>
    <xf numFmtId="0" fontId="26" fillId="19" borderId="31" xfId="0" applyFont="1" applyFill="1" applyBorder="1" applyAlignment="1">
      <alignment horizontal="center" vertical="center" wrapText="1"/>
    </xf>
    <xf numFmtId="0" fontId="26" fillId="19" borderId="85" xfId="0" applyFont="1" applyFill="1" applyBorder="1" applyAlignment="1">
      <alignment horizontal="center" vertical="center" wrapText="1"/>
    </xf>
    <xf numFmtId="166" fontId="26" fillId="57" borderId="195" xfId="0" applyNumberFormat="1" applyFont="1" applyFill="1" applyBorder="1" applyAlignment="1">
      <alignment horizontal="center" vertical="center" wrapText="1"/>
    </xf>
    <xf numFmtId="166" fontId="26" fillId="57" borderId="196" xfId="0" applyNumberFormat="1" applyFont="1" applyFill="1" applyBorder="1" applyAlignment="1">
      <alignment horizontal="center" vertical="center" wrapText="1"/>
    </xf>
    <xf numFmtId="166" fontId="26" fillId="57" borderId="197" xfId="0" applyNumberFormat="1" applyFont="1" applyFill="1" applyBorder="1" applyAlignment="1">
      <alignment horizontal="center" vertical="center" wrapText="1"/>
    </xf>
    <xf numFmtId="166" fontId="26" fillId="57" borderId="265" xfId="0" applyNumberFormat="1" applyFont="1" applyFill="1" applyBorder="1" applyAlignment="1">
      <alignment horizontal="center" vertical="center" wrapText="1"/>
    </xf>
    <xf numFmtId="170" fontId="30" fillId="19" borderId="124" xfId="5" applyNumberFormat="1" applyFont="1" applyFill="1" applyBorder="1" applyAlignment="1">
      <alignment vertical="center"/>
    </xf>
    <xf numFmtId="170" fontId="30" fillId="19" borderId="132" xfId="5" applyNumberFormat="1" applyFont="1" applyFill="1" applyBorder="1" applyAlignment="1">
      <alignment vertical="center"/>
    </xf>
    <xf numFmtId="170" fontId="30" fillId="19" borderId="123" xfId="5" applyNumberFormat="1" applyFont="1" applyFill="1" applyBorder="1" applyAlignment="1">
      <alignment vertical="center"/>
    </xf>
    <xf numFmtId="170" fontId="30" fillId="19" borderId="198" xfId="5" applyNumberFormat="1" applyFont="1" applyFill="1" applyBorder="1" applyAlignment="1">
      <alignment vertical="center"/>
    </xf>
    <xf numFmtId="170" fontId="30" fillId="19" borderId="199" xfId="5" applyNumberFormat="1" applyFont="1" applyFill="1" applyBorder="1" applyAlignment="1">
      <alignment vertical="center"/>
    </xf>
    <xf numFmtId="170" fontId="30" fillId="19" borderId="200" xfId="5" applyNumberFormat="1" applyFont="1" applyFill="1" applyBorder="1" applyAlignment="1">
      <alignment vertical="center"/>
    </xf>
    <xf numFmtId="173" fontId="30" fillId="19" borderId="132" xfId="5" applyNumberFormat="1" applyFont="1" applyFill="1" applyBorder="1"/>
    <xf numFmtId="173" fontId="30" fillId="19" borderId="123" xfId="5" applyNumberFormat="1" applyFont="1" applyFill="1" applyBorder="1"/>
    <xf numFmtId="173" fontId="30" fillId="19" borderId="199" xfId="5" applyNumberFormat="1" applyFont="1" applyFill="1" applyBorder="1"/>
    <xf numFmtId="173" fontId="30" fillId="19" borderId="200" xfId="5" applyNumberFormat="1" applyFont="1" applyFill="1" applyBorder="1"/>
    <xf numFmtId="172" fontId="0" fillId="19" borderId="124" xfId="6" applyNumberFormat="1" applyFont="1" applyFill="1" applyBorder="1" applyAlignment="1" applyProtection="1">
      <alignment horizontal="center" vertical="center"/>
    </xf>
    <xf numFmtId="172" fontId="0" fillId="19" borderId="132" xfId="6" applyNumberFormat="1" applyFont="1" applyFill="1" applyBorder="1" applyAlignment="1" applyProtection="1">
      <alignment horizontal="center" vertical="center"/>
    </xf>
    <xf numFmtId="172" fontId="0" fillId="19" borderId="123" xfId="6" applyNumberFormat="1" applyFont="1" applyFill="1" applyBorder="1" applyAlignment="1" applyProtection="1">
      <alignment horizontal="center" vertical="center"/>
    </xf>
    <xf numFmtId="170" fontId="30" fillId="19" borderId="104" xfId="5" applyNumberFormat="1" applyFont="1" applyFill="1" applyBorder="1" applyAlignment="1">
      <alignment vertical="center"/>
    </xf>
    <xf numFmtId="170" fontId="30" fillId="19" borderId="141" xfId="5" applyNumberFormat="1" applyFont="1" applyFill="1" applyBorder="1" applyAlignment="1">
      <alignment vertical="center"/>
    </xf>
    <xf numFmtId="170" fontId="30" fillId="19" borderId="180" xfId="5" applyNumberFormat="1" applyFont="1" applyFill="1" applyBorder="1" applyAlignment="1">
      <alignment vertical="center"/>
    </xf>
    <xf numFmtId="170" fontId="30" fillId="19" borderId="207" xfId="5" applyNumberFormat="1" applyFont="1" applyFill="1" applyBorder="1" applyAlignment="1">
      <alignment vertical="center"/>
    </xf>
    <xf numFmtId="172" fontId="30" fillId="19" borderId="67" xfId="6" applyNumberFormat="1" applyFont="1" applyFill="1" applyBorder="1" applyAlignment="1" applyProtection="1">
      <alignment vertical="center"/>
    </xf>
    <xf numFmtId="0" fontId="0" fillId="58" borderId="0" xfId="0" applyFill="1" applyAlignment="1">
      <alignment horizontal="center"/>
    </xf>
    <xf numFmtId="42" fontId="0" fillId="0" borderId="0" xfId="9" applyFont="1"/>
    <xf numFmtId="170" fontId="0" fillId="19" borderId="132" xfId="5" applyNumberFormat="1" applyFont="1" applyFill="1" applyBorder="1" applyAlignment="1">
      <alignment vertical="center"/>
    </xf>
    <xf numFmtId="170" fontId="0" fillId="56" borderId="60" xfId="5" applyNumberFormat="1" applyFont="1" applyFill="1" applyBorder="1" applyAlignment="1">
      <alignment vertical="center"/>
    </xf>
    <xf numFmtId="170" fontId="0" fillId="56" borderId="37" xfId="5" applyNumberFormat="1" applyFont="1" applyFill="1" applyBorder="1" applyAlignment="1">
      <alignment vertical="center"/>
    </xf>
    <xf numFmtId="170" fontId="0" fillId="19" borderId="266" xfId="5" applyNumberFormat="1" applyFont="1" applyFill="1" applyBorder="1" applyAlignment="1">
      <alignment vertical="center"/>
    </xf>
    <xf numFmtId="170" fontId="0" fillId="19" borderId="284" xfId="5" applyNumberFormat="1" applyFont="1" applyFill="1" applyBorder="1" applyAlignment="1">
      <alignment vertical="center"/>
    </xf>
    <xf numFmtId="170" fontId="0" fillId="56" borderId="270" xfId="5" applyNumberFormat="1" applyFont="1" applyFill="1" applyBorder="1" applyAlignment="1">
      <alignment vertical="center"/>
    </xf>
    <xf numFmtId="170" fontId="0" fillId="56" borderId="189" xfId="5" applyNumberFormat="1" applyFont="1" applyFill="1" applyBorder="1" applyAlignment="1">
      <alignment vertical="center"/>
    </xf>
    <xf numFmtId="170" fontId="0" fillId="56" borderId="265" xfId="5" applyNumberFormat="1" applyFont="1" applyFill="1" applyBorder="1" applyAlignment="1">
      <alignment vertical="center"/>
    </xf>
    <xf numFmtId="170" fontId="0" fillId="19" borderId="285" xfId="5" applyNumberFormat="1" applyFont="1" applyFill="1" applyBorder="1" applyAlignment="1">
      <alignment vertical="center"/>
    </xf>
    <xf numFmtId="170" fontId="0" fillId="19" borderId="270" xfId="5" applyNumberFormat="1" applyFont="1" applyFill="1" applyBorder="1" applyAlignment="1">
      <alignment vertical="center"/>
    </xf>
    <xf numFmtId="170" fontId="0" fillId="56" borderId="257" xfId="5" applyNumberFormat="1" applyFont="1" applyFill="1" applyBorder="1" applyAlignment="1">
      <alignment vertical="center"/>
    </xf>
    <xf numFmtId="170" fontId="0" fillId="56" borderId="259" xfId="5" applyNumberFormat="1" applyFont="1" applyFill="1" applyBorder="1" applyAlignment="1">
      <alignment vertical="center"/>
    </xf>
    <xf numFmtId="170" fontId="0" fillId="56" borderId="233" xfId="5" applyNumberFormat="1" applyFont="1" applyFill="1" applyBorder="1" applyAlignment="1">
      <alignment vertical="center"/>
    </xf>
    <xf numFmtId="170" fontId="0" fillId="56" borderId="83" xfId="5" applyNumberFormat="1" applyFont="1" applyFill="1" applyBorder="1" applyAlignment="1">
      <alignment vertical="center"/>
    </xf>
    <xf numFmtId="170" fontId="0" fillId="56" borderId="288" xfId="5" applyNumberFormat="1" applyFont="1" applyFill="1" applyBorder="1" applyAlignment="1">
      <alignment vertical="center"/>
    </xf>
    <xf numFmtId="170" fontId="0" fillId="56" borderId="273" xfId="5" applyNumberFormat="1" applyFont="1" applyFill="1" applyBorder="1" applyAlignment="1">
      <alignment vertical="center"/>
    </xf>
    <xf numFmtId="170" fontId="0" fillId="56" borderId="289" xfId="5" applyNumberFormat="1" applyFont="1" applyFill="1" applyBorder="1" applyAlignment="1">
      <alignment vertical="center"/>
    </xf>
    <xf numFmtId="170" fontId="0" fillId="56" borderId="287" xfId="5" applyNumberFormat="1" applyFont="1" applyFill="1" applyBorder="1" applyAlignment="1">
      <alignment vertical="center"/>
    </xf>
    <xf numFmtId="170" fontId="0" fillId="56" borderId="253" xfId="5" applyNumberFormat="1" applyFont="1" applyFill="1" applyBorder="1" applyAlignment="1">
      <alignment vertical="center"/>
    </xf>
    <xf numFmtId="170" fontId="0" fillId="56" borderId="219" xfId="5" applyNumberFormat="1" applyFont="1" applyFill="1" applyBorder="1" applyAlignment="1">
      <alignment vertical="center"/>
    </xf>
    <xf numFmtId="170" fontId="0" fillId="19" borderId="43" xfId="5" applyNumberFormat="1" applyFont="1" applyFill="1" applyBorder="1" applyAlignment="1">
      <alignment vertical="center"/>
    </xf>
    <xf numFmtId="170" fontId="0" fillId="19" borderId="42" xfId="5" applyNumberFormat="1" applyFont="1" applyFill="1" applyBorder="1" applyAlignment="1">
      <alignment vertical="center"/>
    </xf>
    <xf numFmtId="170" fontId="0" fillId="19" borderId="265" xfId="5" applyNumberFormat="1" applyFont="1" applyFill="1" applyBorder="1" applyAlignment="1">
      <alignment vertical="center"/>
    </xf>
    <xf numFmtId="170" fontId="0" fillId="19" borderId="259" xfId="5" applyNumberFormat="1" applyFont="1" applyFill="1" applyBorder="1" applyAlignment="1">
      <alignment vertical="center"/>
    </xf>
    <xf numFmtId="170" fontId="0" fillId="19" borderId="257" xfId="5" applyNumberFormat="1" applyFont="1" applyFill="1" applyBorder="1" applyAlignment="1">
      <alignment vertical="center"/>
    </xf>
    <xf numFmtId="0" fontId="2" fillId="19" borderId="250" xfId="0" applyFont="1" applyFill="1" applyBorder="1" applyAlignment="1">
      <alignment horizontal="left" vertical="center"/>
    </xf>
    <xf numFmtId="170" fontId="0" fillId="56" borderId="290" xfId="5" applyNumberFormat="1" applyFont="1" applyFill="1" applyBorder="1" applyAlignment="1">
      <alignment vertical="center"/>
    </xf>
    <xf numFmtId="170" fontId="0" fillId="19" borderId="291" xfId="5" applyNumberFormat="1" applyFont="1" applyFill="1" applyBorder="1" applyAlignment="1">
      <alignment vertical="center"/>
    </xf>
    <xf numFmtId="170" fontId="0" fillId="19" borderId="292" xfId="5" applyNumberFormat="1" applyFont="1" applyFill="1" applyBorder="1" applyAlignment="1">
      <alignment vertical="center"/>
    </xf>
    <xf numFmtId="170" fontId="0" fillId="19" borderId="233" xfId="5" applyNumberFormat="1" applyFont="1" applyFill="1" applyBorder="1" applyAlignment="1">
      <alignment vertical="center"/>
    </xf>
    <xf numFmtId="170" fontId="0" fillId="19" borderId="294" xfId="5" applyNumberFormat="1" applyFont="1" applyFill="1" applyBorder="1" applyAlignment="1">
      <alignment vertical="center"/>
    </xf>
    <xf numFmtId="170" fontId="0" fillId="19" borderId="295" xfId="5" applyNumberFormat="1" applyFont="1" applyFill="1" applyBorder="1" applyAlignment="1">
      <alignment vertical="center"/>
    </xf>
    <xf numFmtId="170" fontId="0" fillId="56" borderId="296" xfId="5" applyNumberFormat="1" applyFont="1" applyFill="1" applyBorder="1" applyAlignment="1">
      <alignment vertical="center"/>
    </xf>
    <xf numFmtId="170" fontId="0" fillId="19" borderId="298" xfId="5" applyNumberFormat="1" applyFont="1" applyFill="1" applyBorder="1" applyAlignment="1">
      <alignment vertical="center"/>
    </xf>
    <xf numFmtId="0" fontId="2" fillId="19" borderId="297" xfId="0" applyFont="1" applyFill="1" applyBorder="1" applyAlignment="1">
      <alignment horizontal="left" vertical="center"/>
    </xf>
    <xf numFmtId="170" fontId="0" fillId="19" borderId="301" xfId="5" applyNumberFormat="1" applyFont="1" applyFill="1" applyBorder="1" applyAlignment="1">
      <alignment vertical="center"/>
    </xf>
    <xf numFmtId="170" fontId="0" fillId="19" borderId="302" xfId="5" applyNumberFormat="1" applyFont="1" applyFill="1" applyBorder="1" applyAlignment="1">
      <alignment vertical="center"/>
    </xf>
    <xf numFmtId="170" fontId="0" fillId="56" borderId="303" xfId="5" applyNumberFormat="1" applyFont="1" applyFill="1" applyBorder="1" applyAlignment="1">
      <alignment vertical="center"/>
    </xf>
    <xf numFmtId="170" fontId="0" fillId="19" borderId="238" xfId="5" applyNumberFormat="1" applyFont="1" applyFill="1" applyBorder="1" applyAlignment="1">
      <alignment vertical="center"/>
    </xf>
    <xf numFmtId="170" fontId="0" fillId="19" borderId="190" xfId="5" applyNumberFormat="1" applyFont="1" applyFill="1" applyBorder="1" applyAlignment="1">
      <alignment vertical="center"/>
    </xf>
    <xf numFmtId="170" fontId="0" fillId="56" borderId="305" xfId="5" applyNumberFormat="1" applyFont="1" applyFill="1" applyBorder="1" applyAlignment="1">
      <alignment vertical="center"/>
    </xf>
    <xf numFmtId="170" fontId="0" fillId="19" borderId="306" xfId="5" applyNumberFormat="1" applyFont="1" applyFill="1" applyBorder="1" applyAlignment="1">
      <alignment vertical="center"/>
    </xf>
    <xf numFmtId="170" fontId="0" fillId="19" borderId="307" xfId="5" applyNumberFormat="1" applyFont="1" applyFill="1" applyBorder="1" applyAlignment="1">
      <alignment vertical="center"/>
    </xf>
    <xf numFmtId="170" fontId="0" fillId="19" borderId="308" xfId="5" applyNumberFormat="1" applyFont="1" applyFill="1" applyBorder="1" applyAlignment="1">
      <alignment vertical="center"/>
    </xf>
    <xf numFmtId="170" fontId="0" fillId="19" borderId="309" xfId="5" applyNumberFormat="1" applyFont="1" applyFill="1" applyBorder="1" applyAlignment="1">
      <alignment vertical="center"/>
    </xf>
    <xf numFmtId="0" fontId="0" fillId="19" borderId="297" xfId="0" applyFill="1" applyBorder="1" applyAlignment="1">
      <alignment horizontal="left" vertical="center"/>
    </xf>
    <xf numFmtId="0" fontId="0" fillId="19" borderId="304" xfId="0" applyFill="1" applyBorder="1" applyAlignment="1">
      <alignment horizontal="left" vertical="center"/>
    </xf>
    <xf numFmtId="0" fontId="26" fillId="0" borderId="31" xfId="0" applyFont="1" applyBorder="1" applyAlignment="1">
      <alignment horizontal="center" vertical="center" wrapText="1"/>
    </xf>
    <xf numFmtId="0" fontId="0" fillId="0" borderId="45" xfId="0" applyBorder="1" applyAlignment="1">
      <alignment horizontal="left" vertical="center"/>
    </xf>
    <xf numFmtId="0" fontId="0" fillId="19" borderId="250" xfId="0" applyFill="1" applyBorder="1" applyAlignment="1">
      <alignment horizontal="left" vertical="center"/>
    </xf>
    <xf numFmtId="0" fontId="0" fillId="0" borderId="47" xfId="0" applyBorder="1" applyAlignment="1">
      <alignment horizontal="left" vertical="center"/>
    </xf>
    <xf numFmtId="0" fontId="0" fillId="19" borderId="250" xfId="0" applyFill="1" applyBorder="1" applyAlignment="1">
      <alignment horizontal="right" vertical="center"/>
    </xf>
    <xf numFmtId="0" fontId="0" fillId="0" borderId="47" xfId="0" applyBorder="1" applyAlignment="1">
      <alignment horizontal="right" vertical="center"/>
    </xf>
    <xf numFmtId="0" fontId="0" fillId="0" borderId="59" xfId="0" applyBorder="1" applyAlignment="1">
      <alignment horizontal="right" vertical="center"/>
    </xf>
    <xf numFmtId="168" fontId="0" fillId="0" borderId="0" xfId="0" applyNumberFormat="1"/>
    <xf numFmtId="0" fontId="0" fillId="19" borderId="297" xfId="0" applyFill="1" applyBorder="1" applyAlignment="1">
      <alignment horizontal="right" vertical="center"/>
    </xf>
    <xf numFmtId="0" fontId="0" fillId="19" borderId="304" xfId="0" applyFill="1" applyBorder="1" applyAlignment="1">
      <alignment horizontal="right" vertical="center"/>
    </xf>
    <xf numFmtId="0" fontId="0" fillId="0" borderId="37" xfId="0" applyBorder="1" applyAlignment="1">
      <alignment horizontal="right" vertical="center"/>
    </xf>
    <xf numFmtId="170" fontId="0" fillId="19" borderId="314" xfId="5" applyNumberFormat="1" applyFont="1" applyFill="1" applyBorder="1" applyAlignment="1">
      <alignment vertical="center"/>
    </xf>
    <xf numFmtId="170" fontId="0" fillId="19" borderId="315" xfId="5" applyNumberFormat="1" applyFont="1" applyFill="1" applyBorder="1" applyAlignment="1">
      <alignment vertical="center"/>
    </xf>
    <xf numFmtId="0" fontId="0" fillId="0" borderId="37" xfId="0" applyBorder="1" applyAlignment="1">
      <alignment horizontal="left" vertical="center"/>
    </xf>
    <xf numFmtId="0" fontId="26" fillId="0" borderId="85" xfId="0" applyFont="1" applyBorder="1" applyAlignment="1">
      <alignment horizontal="center" vertical="center" wrapText="1"/>
    </xf>
    <xf numFmtId="0" fontId="0" fillId="0" borderId="66" xfId="0" applyBorder="1" applyAlignment="1">
      <alignment horizontal="left" vertical="center"/>
    </xf>
    <xf numFmtId="9" fontId="0" fillId="0" borderId="0" xfId="0" applyNumberFormat="1"/>
    <xf numFmtId="0" fontId="43" fillId="0" borderId="0" xfId="0" applyFont="1" applyAlignment="1">
      <alignment vertical="center"/>
    </xf>
    <xf numFmtId="0" fontId="26" fillId="0" borderId="0" xfId="0" applyFont="1" applyAlignment="1">
      <alignment vertical="center"/>
    </xf>
    <xf numFmtId="0" fontId="26" fillId="0" borderId="0" xfId="0" applyFont="1" applyAlignment="1">
      <alignment horizontal="center" vertical="center"/>
    </xf>
    <xf numFmtId="0" fontId="44" fillId="0" borderId="0" xfId="0" applyFont="1" applyAlignment="1">
      <alignment vertical="center"/>
    </xf>
    <xf numFmtId="9" fontId="43" fillId="0" borderId="0" xfId="3" applyFont="1" applyBorder="1" applyAlignment="1" applyProtection="1">
      <alignment vertical="center"/>
    </xf>
    <xf numFmtId="0" fontId="26" fillId="0" borderId="0" xfId="0" applyFont="1" applyAlignment="1">
      <alignment horizontal="right" vertical="center"/>
    </xf>
    <xf numFmtId="0" fontId="32" fillId="0" borderId="0" xfId="0" applyFont="1" applyAlignment="1">
      <alignment horizontal="left" vertical="center"/>
    </xf>
    <xf numFmtId="0" fontId="45" fillId="21" borderId="0" xfId="0" applyFont="1" applyFill="1" applyAlignment="1">
      <alignment horizontal="left" vertical="center" indent="2"/>
    </xf>
    <xf numFmtId="166" fontId="26" fillId="0" borderId="0" xfId="0" applyNumberFormat="1" applyFont="1" applyAlignment="1">
      <alignment horizontal="center" vertical="center" wrapText="1"/>
    </xf>
    <xf numFmtId="166" fontId="42" fillId="60" borderId="316" xfId="0" applyNumberFormat="1" applyFont="1" applyFill="1" applyBorder="1" applyAlignment="1">
      <alignment horizontal="center" vertical="center" wrapText="1"/>
    </xf>
    <xf numFmtId="166" fontId="42" fillId="60" borderId="317" xfId="0" applyNumberFormat="1" applyFont="1" applyFill="1" applyBorder="1" applyAlignment="1">
      <alignment horizontal="center" vertical="center" wrapText="1"/>
    </xf>
    <xf numFmtId="166" fontId="42" fillId="60" borderId="318" xfId="0" applyNumberFormat="1" applyFont="1" applyFill="1" applyBorder="1" applyAlignment="1">
      <alignment horizontal="center" vertical="center" wrapText="1"/>
    </xf>
    <xf numFmtId="166" fontId="26" fillId="7" borderId="49" xfId="0" applyNumberFormat="1" applyFont="1" applyFill="1" applyBorder="1" applyAlignment="1">
      <alignment horizontal="center" vertical="center" wrapText="1"/>
    </xf>
    <xf numFmtId="166" fontId="26" fillId="7" borderId="317" xfId="0" applyNumberFormat="1" applyFont="1" applyFill="1" applyBorder="1" applyAlignment="1">
      <alignment horizontal="center" vertical="center" wrapText="1"/>
    </xf>
    <xf numFmtId="166" fontId="26" fillId="7" borderId="41" xfId="0" applyNumberFormat="1" applyFont="1" applyFill="1" applyBorder="1" applyAlignment="1">
      <alignment horizontal="center" vertical="center" wrapText="1"/>
    </xf>
    <xf numFmtId="166" fontId="26" fillId="3" borderId="316" xfId="0" applyNumberFormat="1" applyFont="1" applyFill="1" applyBorder="1" applyAlignment="1">
      <alignment horizontal="center" vertical="center" wrapText="1"/>
    </xf>
    <xf numFmtId="166" fontId="26" fillId="3" borderId="317" xfId="0" applyNumberFormat="1" applyFont="1" applyFill="1" applyBorder="1" applyAlignment="1">
      <alignment horizontal="center" vertical="center" wrapText="1"/>
    </xf>
    <xf numFmtId="166" fontId="26" fillId="3" borderId="318" xfId="0" applyNumberFormat="1" applyFont="1" applyFill="1" applyBorder="1" applyAlignment="1">
      <alignment horizontal="center" vertical="center" wrapText="1"/>
    </xf>
    <xf numFmtId="166" fontId="26" fillId="14" borderId="38" xfId="0" applyNumberFormat="1" applyFont="1" applyFill="1" applyBorder="1" applyAlignment="1">
      <alignment horizontal="center" vertical="center" wrapText="1"/>
    </xf>
    <xf numFmtId="166" fontId="26" fillId="14" borderId="39" xfId="0" applyNumberFormat="1" applyFont="1" applyFill="1" applyBorder="1" applyAlignment="1">
      <alignment horizontal="center" vertical="center" wrapText="1"/>
    </xf>
    <xf numFmtId="166" fontId="26" fillId="14" borderId="40" xfId="0" applyNumberFormat="1" applyFont="1" applyFill="1" applyBorder="1" applyAlignment="1">
      <alignment horizontal="center" vertical="center" wrapText="1"/>
    </xf>
    <xf numFmtId="170" fontId="30" fillId="19" borderId="42" xfId="5" applyNumberFormat="1" applyFont="1" applyFill="1" applyBorder="1" applyAlignment="1">
      <alignment vertical="center"/>
    </xf>
    <xf numFmtId="170" fontId="30" fillId="19" borderId="286" xfId="5" applyNumberFormat="1" applyFont="1" applyFill="1" applyBorder="1" applyAlignment="1">
      <alignment vertical="center"/>
    </xf>
    <xf numFmtId="168" fontId="26" fillId="24" borderId="44" xfId="0" applyNumberFormat="1" applyFont="1" applyFill="1" applyBorder="1" applyAlignment="1">
      <alignment horizontal="center"/>
    </xf>
    <xf numFmtId="170" fontId="30" fillId="19" borderId="257" xfId="5" applyNumberFormat="1" applyFont="1" applyFill="1" applyBorder="1" applyAlignment="1">
      <alignment vertical="center"/>
    </xf>
    <xf numFmtId="170" fontId="30" fillId="19" borderId="265" xfId="5" applyNumberFormat="1" applyFont="1" applyFill="1" applyBorder="1" applyAlignment="1">
      <alignment vertical="center"/>
    </xf>
    <xf numFmtId="170" fontId="30" fillId="19" borderId="266" xfId="5" applyNumberFormat="1" applyFont="1" applyFill="1" applyBorder="1" applyAlignment="1">
      <alignment vertical="center"/>
    </xf>
    <xf numFmtId="168" fontId="26" fillId="24" borderId="48" xfId="0" applyNumberFormat="1" applyFont="1" applyFill="1" applyBorder="1" applyAlignment="1">
      <alignment horizontal="center"/>
    </xf>
    <xf numFmtId="168" fontId="26" fillId="27" borderId="48" xfId="0" applyNumberFormat="1" applyFont="1" applyFill="1" applyBorder="1" applyAlignment="1">
      <alignment horizontal="center"/>
    </xf>
    <xf numFmtId="168" fontId="26" fillId="24" borderId="58" xfId="0" applyNumberFormat="1" applyFont="1" applyFill="1" applyBorder="1" applyAlignment="1">
      <alignment horizontal="center"/>
    </xf>
    <xf numFmtId="173" fontId="30" fillId="19" borderId="43" xfId="5" applyNumberFormat="1" applyFont="1" applyFill="1" applyBorder="1"/>
    <xf numFmtId="168" fontId="26" fillId="24" borderId="154" xfId="0" applyNumberFormat="1" applyFont="1" applyFill="1" applyBorder="1" applyAlignment="1">
      <alignment horizontal="center"/>
    </xf>
    <xf numFmtId="170" fontId="30" fillId="19" borderId="298" xfId="5" applyNumberFormat="1" applyFont="1" applyFill="1" applyBorder="1" applyAlignment="1">
      <alignment vertical="center"/>
    </xf>
    <xf numFmtId="173" fontId="30" fillId="19" borderId="299" xfId="5" applyNumberFormat="1" applyFont="1" applyFill="1" applyBorder="1"/>
    <xf numFmtId="173" fontId="30" fillId="19" borderId="300" xfId="5" applyNumberFormat="1" applyFont="1" applyFill="1" applyBorder="1"/>
    <xf numFmtId="168" fontId="26" fillId="24" borderId="41" xfId="0" applyNumberFormat="1" applyFont="1" applyFill="1" applyBorder="1" applyAlignment="1">
      <alignment horizontal="center"/>
    </xf>
    <xf numFmtId="170" fontId="30" fillId="19" borderId="43" xfId="5" applyNumberFormat="1" applyFont="1" applyFill="1" applyBorder="1" applyAlignment="1">
      <alignment vertical="center"/>
    </xf>
    <xf numFmtId="170" fontId="30" fillId="19" borderId="259" xfId="5" applyNumberFormat="1" applyFont="1" applyFill="1" applyBorder="1" applyAlignment="1">
      <alignment vertical="center"/>
    </xf>
    <xf numFmtId="170" fontId="30" fillId="19" borderId="306" xfId="5" applyNumberFormat="1" applyFont="1" applyFill="1" applyBorder="1" applyAlignment="1">
      <alignment vertical="center"/>
    </xf>
    <xf numFmtId="170" fontId="30" fillId="19" borderId="307" xfId="5" applyNumberFormat="1" applyFont="1" applyFill="1" applyBorder="1" applyAlignment="1">
      <alignment vertical="center"/>
    </xf>
    <xf numFmtId="168" fontId="26" fillId="24" borderId="68" xfId="0" applyNumberFormat="1" applyFont="1" applyFill="1" applyBorder="1" applyAlignment="1">
      <alignment horizontal="center" vertical="center"/>
    </xf>
    <xf numFmtId="9" fontId="7" fillId="0" borderId="319" xfId="3" applyFont="1" applyFill="1" applyBorder="1" applyAlignment="1" applyProtection="1">
      <alignment horizontal="center" vertical="center"/>
    </xf>
    <xf numFmtId="0" fontId="26" fillId="61" borderId="85" xfId="0" applyFont="1" applyFill="1" applyBorder="1" applyAlignment="1">
      <alignment horizontal="center" vertical="center" wrapText="1"/>
    </xf>
    <xf numFmtId="0" fontId="0" fillId="61" borderId="68" xfId="0" applyFill="1" applyBorder="1" applyAlignment="1">
      <alignment horizontal="left" vertical="center"/>
    </xf>
    <xf numFmtId="172" fontId="0" fillId="61" borderId="87" xfId="6" applyNumberFormat="1" applyFont="1" applyFill="1" applyBorder="1" applyAlignment="1" applyProtection="1">
      <alignment horizontal="center" vertical="center"/>
    </xf>
    <xf numFmtId="172" fontId="0" fillId="61" borderId="281" xfId="6" applyNumberFormat="1" applyFont="1" applyFill="1" applyBorder="1" applyAlignment="1" applyProtection="1">
      <alignment horizontal="center" vertical="center"/>
    </xf>
    <xf numFmtId="172" fontId="0" fillId="61" borderId="137" xfId="6" applyNumberFormat="1" applyFont="1" applyFill="1" applyBorder="1" applyAlignment="1" applyProtection="1">
      <alignment horizontal="center" vertical="center"/>
    </xf>
    <xf numFmtId="170" fontId="0" fillId="61" borderId="87" xfId="5" applyNumberFormat="1" applyFont="1" applyFill="1" applyBorder="1" applyAlignment="1">
      <alignment vertical="center"/>
    </xf>
    <xf numFmtId="170" fontId="0" fillId="61" borderId="281" xfId="5" applyNumberFormat="1" applyFont="1" applyFill="1" applyBorder="1" applyAlignment="1">
      <alignment vertical="center"/>
    </xf>
    <xf numFmtId="170" fontId="0" fillId="61" borderId="137" xfId="5" applyNumberFormat="1" applyFont="1" applyFill="1" applyBorder="1" applyAlignment="1">
      <alignment vertical="center"/>
    </xf>
    <xf numFmtId="0" fontId="26" fillId="43" borderId="62" xfId="0" applyFont="1" applyFill="1" applyBorder="1" applyAlignment="1">
      <alignment horizontal="center" vertical="center" wrapText="1"/>
    </xf>
    <xf numFmtId="0" fontId="0" fillId="43" borderId="41" xfId="0" applyFill="1" applyBorder="1" applyAlignment="1">
      <alignment horizontal="left" vertical="center"/>
    </xf>
    <xf numFmtId="172" fontId="0" fillId="43" borderId="63" xfId="6" applyNumberFormat="1" applyFont="1" applyFill="1" applyBorder="1" applyAlignment="1" applyProtection="1">
      <alignment horizontal="center" vertical="center"/>
    </xf>
    <xf numFmtId="172" fontId="0" fillId="43" borderId="113" xfId="6" applyNumberFormat="1" applyFont="1" applyFill="1" applyBorder="1" applyAlignment="1" applyProtection="1">
      <alignment horizontal="center" vertical="center"/>
    </xf>
    <xf numFmtId="172" fontId="0" fillId="43" borderId="69" xfId="6" applyNumberFormat="1" applyFont="1" applyFill="1" applyBorder="1" applyAlignment="1" applyProtection="1">
      <alignment horizontal="center" vertical="center"/>
    </xf>
    <xf numFmtId="0" fontId="0" fillId="43" borderId="0" xfId="0" applyFill="1"/>
    <xf numFmtId="170" fontId="0" fillId="43" borderId="265" xfId="0" applyNumberFormat="1" applyFill="1" applyBorder="1"/>
    <xf numFmtId="9" fontId="7" fillId="43" borderId="319" xfId="3" applyFont="1" applyFill="1" applyBorder="1" applyAlignment="1" applyProtection="1">
      <alignment horizontal="center" vertical="center"/>
    </xf>
    <xf numFmtId="172" fontId="0" fillId="19" borderId="0" xfId="0" applyNumberFormat="1" applyFill="1"/>
    <xf numFmtId="42" fontId="0" fillId="0" borderId="0" xfId="0" applyNumberFormat="1"/>
    <xf numFmtId="172" fontId="2" fillId="0" borderId="259" xfId="0" applyNumberFormat="1" applyFont="1" applyBorder="1"/>
    <xf numFmtId="172" fontId="2" fillId="0" borderId="261" xfId="0" applyNumberFormat="1" applyFont="1" applyBorder="1"/>
    <xf numFmtId="171" fontId="0" fillId="2" borderId="42" xfId="5" applyNumberFormat="1" applyFont="1" applyFill="1" applyBorder="1" applyAlignment="1">
      <alignment horizontal="center" vertical="center"/>
    </xf>
    <xf numFmtId="171" fontId="0" fillId="2" borderId="132" xfId="5" applyNumberFormat="1" applyFont="1" applyFill="1" applyBorder="1" applyAlignment="1">
      <alignment horizontal="center" vertical="center"/>
    </xf>
    <xf numFmtId="171" fontId="0" fillId="2" borderId="43" xfId="5" applyNumberFormat="1" applyFont="1" applyFill="1" applyBorder="1" applyAlignment="1">
      <alignment horizontal="center" vertical="center"/>
    </xf>
    <xf numFmtId="171" fontId="0" fillId="2" borderId="257" xfId="5" applyNumberFormat="1" applyFont="1" applyFill="1" applyBorder="1" applyAlignment="1">
      <alignment horizontal="center" vertical="center"/>
    </xf>
    <xf numFmtId="171" fontId="0" fillId="2" borderId="265" xfId="5" applyNumberFormat="1" applyFont="1" applyFill="1" applyBorder="1" applyAlignment="1">
      <alignment horizontal="center" vertical="center"/>
    </xf>
    <xf numFmtId="171" fontId="0" fillId="2" borderId="259" xfId="5" applyNumberFormat="1" applyFont="1" applyFill="1" applyBorder="1" applyAlignment="1">
      <alignment horizontal="center" vertical="center"/>
    </xf>
    <xf numFmtId="171" fontId="0" fillId="61" borderId="66" xfId="5" applyNumberFormat="1" applyFont="1" applyFill="1" applyBorder="1" applyAlignment="1">
      <alignment horizontal="center" vertical="center"/>
    </xf>
    <xf numFmtId="171" fontId="0" fillId="61" borderId="281" xfId="5" applyNumberFormat="1" applyFont="1" applyFill="1" applyBorder="1" applyAlignment="1">
      <alignment horizontal="center" vertical="center"/>
    </xf>
    <xf numFmtId="171" fontId="0" fillId="61" borderId="68" xfId="5" applyNumberFormat="1" applyFont="1" applyFill="1" applyBorder="1" applyAlignment="1">
      <alignment horizontal="center" vertical="center"/>
    </xf>
    <xf numFmtId="171" fontId="0" fillId="2" borderId="66" xfId="5" applyNumberFormat="1" applyFont="1" applyFill="1" applyBorder="1" applyAlignment="1">
      <alignment horizontal="center" vertical="center"/>
    </xf>
    <xf numFmtId="0" fontId="28" fillId="0" borderId="0" xfId="0" applyFont="1"/>
    <xf numFmtId="0" fontId="33" fillId="0" borderId="0" xfId="0" applyFont="1"/>
    <xf numFmtId="183" fontId="0" fillId="0" borderId="0" xfId="0" applyNumberFormat="1"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vertical="center"/>
    </xf>
    <xf numFmtId="3" fontId="0" fillId="0" borderId="0" xfId="0" applyNumberFormat="1" applyAlignment="1" applyProtection="1">
      <alignment horizontal="center"/>
      <protection locked="0"/>
    </xf>
    <xf numFmtId="0" fontId="34" fillId="0" borderId="0" xfId="0" applyFont="1" applyAlignment="1">
      <alignment vertical="center"/>
    </xf>
    <xf numFmtId="0" fontId="34" fillId="0" borderId="0" xfId="0" applyFont="1" applyAlignment="1">
      <alignment horizontal="right" vertical="center"/>
    </xf>
    <xf numFmtId="0" fontId="40" fillId="0" borderId="0" xfId="0" applyFont="1" applyAlignment="1">
      <alignment horizontal="center" vertical="center"/>
    </xf>
    <xf numFmtId="0" fontId="0" fillId="0" borderId="0" xfId="0" applyAlignment="1">
      <alignment horizontal="center"/>
    </xf>
    <xf numFmtId="0" fontId="33" fillId="0" borderId="0" xfId="0" applyFont="1" applyAlignment="1">
      <alignment vertical="center"/>
    </xf>
    <xf numFmtId="3" fontId="0" fillId="0" borderId="0" xfId="0" applyNumberFormat="1" applyAlignment="1">
      <alignment horizontal="center" vertical="center"/>
    </xf>
    <xf numFmtId="0" fontId="33" fillId="0" borderId="0" xfId="0" applyFont="1" applyAlignment="1">
      <alignment horizontal="right" vertical="center"/>
    </xf>
    <xf numFmtId="1" fontId="0" fillId="0" borderId="0" xfId="0" applyNumberFormat="1" applyAlignment="1">
      <alignment horizontal="center"/>
    </xf>
    <xf numFmtId="1" fontId="0" fillId="0" borderId="0" xfId="0" applyNumberFormat="1" applyAlignment="1">
      <alignment horizontal="center" vertical="center"/>
    </xf>
    <xf numFmtId="0" fontId="0" fillId="0" borderId="0" xfId="0" applyAlignment="1" applyProtection="1">
      <alignment horizontal="right"/>
      <protection locked="0"/>
    </xf>
    <xf numFmtId="2" fontId="0" fillId="0" borderId="0" xfId="0" applyNumberFormat="1" applyProtection="1">
      <protection locked="0"/>
    </xf>
    <xf numFmtId="183" fontId="0" fillId="0" borderId="0" xfId="0" applyNumberFormat="1" applyProtection="1">
      <protection locked="0"/>
    </xf>
    <xf numFmtId="0" fontId="33" fillId="0" borderId="0" xfId="0" applyFont="1" applyAlignment="1">
      <alignment horizontal="left" vertical="center"/>
    </xf>
    <xf numFmtId="1" fontId="0" fillId="0" borderId="0" xfId="0" applyNumberFormat="1" applyProtection="1">
      <protection locked="0"/>
    </xf>
    <xf numFmtId="0" fontId="30" fillId="0" borderId="0" xfId="0" applyFont="1" applyAlignment="1">
      <alignment horizontal="left" vertical="center"/>
    </xf>
    <xf numFmtId="168" fontId="0" fillId="0" borderId="0" xfId="5" applyNumberFormat="1" applyFont="1" applyAlignment="1" applyProtection="1">
      <alignment horizontal="center" vertical="center"/>
      <protection locked="0"/>
    </xf>
    <xf numFmtId="0" fontId="40" fillId="0" borderId="0" xfId="0" applyFont="1" applyAlignment="1">
      <alignment vertical="center"/>
    </xf>
    <xf numFmtId="0" fontId="41" fillId="0" borderId="0" xfId="0" applyFont="1" applyAlignment="1">
      <alignment vertical="center"/>
    </xf>
    <xf numFmtId="0" fontId="33" fillId="0" borderId="0" xfId="0" applyFont="1" applyAlignment="1" applyProtection="1">
      <alignment horizontal="center" vertical="center"/>
      <protection locked="0"/>
    </xf>
    <xf numFmtId="0" fontId="0" fillId="2" borderId="285" xfId="0" applyFill="1" applyBorder="1" applyAlignment="1" applyProtection="1">
      <alignment horizontal="left" vertical="center"/>
      <protection locked="0"/>
    </xf>
    <xf numFmtId="0" fontId="0" fillId="2" borderId="322" xfId="0" applyFill="1" applyBorder="1" applyAlignment="1" applyProtection="1">
      <alignment horizontal="left" vertical="center"/>
      <protection locked="0"/>
    </xf>
    <xf numFmtId="166" fontId="0" fillId="2" borderId="321" xfId="5" applyNumberFormat="1" applyFont="1" applyFill="1" applyBorder="1" applyAlignment="1" applyProtection="1">
      <alignment vertical="center"/>
      <protection locked="0"/>
    </xf>
    <xf numFmtId="0" fontId="0" fillId="2" borderId="320" xfId="0" applyFill="1" applyBorder="1" applyAlignment="1" applyProtection="1">
      <alignment horizontal="left" vertical="center"/>
      <protection locked="0"/>
    </xf>
    <xf numFmtId="0" fontId="0" fillId="26" borderId="322" xfId="0" applyFill="1" applyBorder="1" applyAlignment="1" applyProtection="1">
      <alignment horizontal="left" vertical="center"/>
      <protection locked="0"/>
    </xf>
    <xf numFmtId="166" fontId="0" fillId="26" borderId="321" xfId="5" applyNumberFormat="1" applyFont="1" applyFill="1" applyBorder="1" applyAlignment="1" applyProtection="1">
      <alignment vertical="center"/>
      <protection locked="0"/>
    </xf>
    <xf numFmtId="0" fontId="0" fillId="26" borderId="320" xfId="0" applyFill="1" applyBorder="1" applyAlignment="1" applyProtection="1">
      <alignment horizontal="left" vertical="center"/>
      <protection locked="0"/>
    </xf>
    <xf numFmtId="0" fontId="0" fillId="2" borderId="323" xfId="0" applyFill="1" applyBorder="1" applyAlignment="1" applyProtection="1">
      <alignment horizontal="left" vertical="center"/>
      <protection locked="0"/>
    </xf>
    <xf numFmtId="166" fontId="0" fillId="2" borderId="307" xfId="5" applyNumberFormat="1" applyFont="1" applyFill="1" applyBorder="1" applyAlignment="1" applyProtection="1">
      <alignment vertical="center"/>
      <protection locked="0"/>
    </xf>
    <xf numFmtId="0" fontId="0" fillId="2" borderId="305" xfId="0" applyFill="1" applyBorder="1" applyAlignment="1" applyProtection="1">
      <alignment horizontal="left" vertical="center"/>
      <protection locked="0"/>
    </xf>
    <xf numFmtId="0" fontId="0" fillId="2" borderId="320" xfId="0" applyFill="1" applyBorder="1" applyProtection="1">
      <protection locked="0"/>
    </xf>
    <xf numFmtId="166" fontId="7" fillId="2" borderId="321" xfId="5" applyNumberFormat="1" applyFill="1" applyBorder="1" applyAlignment="1" applyProtection="1">
      <alignment vertical="center"/>
      <protection locked="0"/>
    </xf>
    <xf numFmtId="166" fontId="0" fillId="2" borderId="178" xfId="5" applyNumberFormat="1" applyFont="1" applyFill="1" applyBorder="1" applyAlignment="1" applyProtection="1">
      <alignment vertical="center"/>
      <protection locked="0"/>
    </xf>
    <xf numFmtId="166" fontId="0" fillId="2" borderId="289" xfId="5" applyNumberFormat="1" applyFont="1" applyFill="1" applyBorder="1" applyAlignment="1" applyProtection="1">
      <alignment vertical="center"/>
      <protection locked="0"/>
    </xf>
    <xf numFmtId="166" fontId="0" fillId="2" borderId="319" xfId="5" applyNumberFormat="1" applyFont="1" applyFill="1" applyBorder="1" applyAlignment="1" applyProtection="1">
      <alignment vertical="center"/>
      <protection locked="0"/>
    </xf>
    <xf numFmtId="0" fontId="30" fillId="0" borderId="229" xfId="0" applyFont="1" applyBorder="1" applyAlignment="1" applyProtection="1">
      <alignment horizontal="left" vertical="center"/>
      <protection locked="0"/>
    </xf>
    <xf numFmtId="0" fontId="34" fillId="0" borderId="319" xfId="0" applyFont="1" applyBorder="1" applyAlignment="1">
      <alignment horizontal="center" vertical="center"/>
    </xf>
    <xf numFmtId="0" fontId="33" fillId="63" borderId="319" xfId="0" applyFont="1" applyFill="1" applyBorder="1" applyAlignment="1">
      <alignment horizontal="center" vertical="center"/>
    </xf>
    <xf numFmtId="0" fontId="33" fillId="37" borderId="319" xfId="0" applyFont="1" applyFill="1" applyBorder="1" applyAlignment="1">
      <alignment horizontal="center" vertical="center"/>
    </xf>
    <xf numFmtId="0" fontId="34" fillId="0" borderId="319" xfId="0" applyFont="1" applyBorder="1" applyAlignment="1" applyProtection="1">
      <alignment horizontal="center" vertical="center"/>
      <protection locked="0"/>
    </xf>
    <xf numFmtId="0" fontId="34" fillId="19" borderId="319" xfId="0" applyFont="1" applyFill="1" applyBorder="1" applyAlignment="1" applyProtection="1">
      <alignment horizontal="center" vertical="center"/>
      <protection locked="0"/>
    </xf>
    <xf numFmtId="0" fontId="34" fillId="0" borderId="324" xfId="0" applyFont="1" applyBorder="1" applyAlignment="1">
      <alignment horizontal="center" vertical="center"/>
    </xf>
    <xf numFmtId="3" fontId="0" fillId="8" borderId="319" xfId="1" applyNumberFormat="1" applyFont="1" applyFill="1" applyBorder="1" applyAlignment="1" applyProtection="1">
      <alignment horizontal="center" vertical="center"/>
      <protection locked="0"/>
    </xf>
    <xf numFmtId="3" fontId="0" fillId="64" borderId="319" xfId="1" applyNumberFormat="1" applyFont="1" applyFill="1" applyBorder="1" applyAlignment="1" applyProtection="1">
      <alignment horizontal="center" vertical="center"/>
      <protection locked="0"/>
    </xf>
    <xf numFmtId="0" fontId="0" fillId="63" borderId="319" xfId="0" applyFill="1" applyBorder="1" applyAlignment="1">
      <alignment horizontal="center" vertical="center"/>
    </xf>
    <xf numFmtId="0" fontId="0" fillId="37" borderId="319" xfId="0" applyFill="1" applyBorder="1" applyAlignment="1">
      <alignment horizontal="center" vertical="center"/>
    </xf>
    <xf numFmtId="3" fontId="34" fillId="0" borderId="319" xfId="0" applyNumberFormat="1" applyFont="1" applyBorder="1" applyAlignment="1" applyProtection="1">
      <alignment horizontal="center" vertical="center"/>
      <protection locked="0"/>
    </xf>
    <xf numFmtId="3" fontId="34" fillId="0" borderId="324" xfId="0" applyNumberFormat="1" applyFont="1" applyBorder="1" applyAlignment="1">
      <alignment horizontal="center" vertical="center"/>
    </xf>
    <xf numFmtId="3" fontId="33" fillId="8" borderId="319" xfId="0" applyNumberFormat="1" applyFont="1" applyFill="1" applyBorder="1" applyAlignment="1">
      <alignment horizontal="center" vertical="center"/>
    </xf>
    <xf numFmtId="3" fontId="33" fillId="64" borderId="319" xfId="0" applyNumberFormat="1" applyFont="1" applyFill="1" applyBorder="1" applyAlignment="1">
      <alignment horizontal="center" vertical="center"/>
    </xf>
    <xf numFmtId="0" fontId="35" fillId="19" borderId="0" xfId="0" applyFont="1" applyFill="1" applyAlignment="1" applyProtection="1">
      <alignment horizontal="right"/>
      <protection locked="0"/>
    </xf>
    <xf numFmtId="0" fontId="35" fillId="19" borderId="319" xfId="0" applyFont="1" applyFill="1" applyBorder="1" applyAlignment="1" applyProtection="1">
      <alignment horizontal="center" vertical="center"/>
      <protection locked="0"/>
    </xf>
    <xf numFmtId="0" fontId="34" fillId="19" borderId="0" xfId="0" applyFont="1" applyFill="1" applyAlignment="1" applyProtection="1">
      <alignment horizontal="right"/>
      <protection locked="0"/>
    </xf>
    <xf numFmtId="0" fontId="34" fillId="19" borderId="319" xfId="0" applyFont="1" applyFill="1" applyBorder="1" applyAlignment="1" applyProtection="1">
      <alignment horizontal="center"/>
      <protection locked="0"/>
    </xf>
    <xf numFmtId="9" fontId="33" fillId="0" borderId="0" xfId="3" applyFont="1" applyAlignment="1">
      <alignment horizontal="center" vertical="center"/>
    </xf>
    <xf numFmtId="0" fontId="35" fillId="19" borderId="319" xfId="0" applyFont="1" applyFill="1" applyBorder="1" applyAlignment="1" applyProtection="1">
      <alignment horizontal="center"/>
      <protection locked="0"/>
    </xf>
    <xf numFmtId="0" fontId="33" fillId="0" borderId="319" xfId="0" applyFont="1" applyBorder="1" applyAlignment="1">
      <alignment horizontal="center" vertical="center"/>
    </xf>
    <xf numFmtId="184" fontId="34" fillId="19" borderId="319" xfId="2" applyNumberFormat="1" applyFont="1" applyFill="1" applyBorder="1" applyProtection="1">
      <protection locked="0"/>
    </xf>
    <xf numFmtId="173" fontId="34" fillId="0" borderId="319" xfId="5" applyNumberFormat="1" applyFont="1" applyBorder="1"/>
    <xf numFmtId="173" fontId="34" fillId="0" borderId="319" xfId="5" applyNumberFormat="1" applyFont="1" applyBorder="1" applyAlignment="1">
      <alignment horizontal="center"/>
    </xf>
    <xf numFmtId="184" fontId="35" fillId="8" borderId="319" xfId="2" applyNumberFormat="1" applyFont="1" applyFill="1" applyBorder="1" applyProtection="1">
      <protection locked="0"/>
    </xf>
    <xf numFmtId="173" fontId="33" fillId="8" borderId="319" xfId="0" applyNumberFormat="1" applyFont="1" applyFill="1" applyBorder="1" applyAlignment="1">
      <alignment horizontal="center" vertical="center"/>
    </xf>
    <xf numFmtId="3" fontId="33" fillId="63" borderId="319" xfId="0" applyNumberFormat="1" applyFont="1" applyFill="1" applyBorder="1" applyAlignment="1">
      <alignment horizontal="center" vertical="center"/>
    </xf>
    <xf numFmtId="3" fontId="33" fillId="37" borderId="319" xfId="0" applyNumberFormat="1" applyFont="1" applyFill="1" applyBorder="1" applyAlignment="1">
      <alignment horizontal="center" vertical="center"/>
    </xf>
    <xf numFmtId="0" fontId="34" fillId="0" borderId="324" xfId="0" applyFont="1" applyBorder="1" applyAlignment="1">
      <alignment horizontal="left" vertical="center"/>
    </xf>
    <xf numFmtId="3" fontId="33" fillId="62" borderId="319" xfId="0" applyNumberFormat="1" applyFont="1" applyFill="1" applyBorder="1" applyAlignment="1">
      <alignment horizontal="center" vertical="center"/>
    </xf>
    <xf numFmtId="3" fontId="0" fillId="0" borderId="0" xfId="0" applyNumberFormat="1" applyAlignment="1" applyProtection="1">
      <alignment horizontal="center" vertical="center"/>
      <protection locked="0"/>
    </xf>
    <xf numFmtId="0" fontId="0" fillId="61" borderId="66" xfId="0" applyFill="1" applyBorder="1" applyAlignment="1">
      <alignment horizontal="left" vertical="center"/>
    </xf>
    <xf numFmtId="171" fontId="0" fillId="61" borderId="310" xfId="5" applyNumberFormat="1" applyFont="1" applyFill="1" applyBorder="1" applyAlignment="1">
      <alignment horizontal="center" vertical="center"/>
    </xf>
    <xf numFmtId="171" fontId="0" fillId="61" borderId="311" xfId="5" applyNumberFormat="1" applyFont="1" applyFill="1" applyBorder="1" applyAlignment="1">
      <alignment horizontal="center" vertical="center"/>
    </xf>
    <xf numFmtId="0" fontId="31" fillId="2" borderId="327" xfId="0" applyFont="1" applyFill="1" applyBorder="1" applyAlignment="1" applyProtection="1">
      <alignment horizontal="left" vertical="center"/>
      <protection locked="0"/>
    </xf>
    <xf numFmtId="0" fontId="31" fillId="2" borderId="283" xfId="0" applyFont="1" applyFill="1" applyBorder="1" applyAlignment="1" applyProtection="1">
      <alignment horizontal="left" vertical="center"/>
      <protection locked="0"/>
    </xf>
    <xf numFmtId="170" fontId="31" fillId="2" borderId="327" xfId="5" applyNumberFormat="1" applyFont="1" applyFill="1" applyBorder="1" applyAlignment="1" applyProtection="1">
      <alignment vertical="center"/>
      <protection locked="0"/>
    </xf>
    <xf numFmtId="0" fontId="31" fillId="2" borderId="322" xfId="0" applyFont="1" applyFill="1" applyBorder="1" applyAlignment="1" applyProtection="1">
      <alignment horizontal="left" vertical="center"/>
      <protection locked="0"/>
    </xf>
    <xf numFmtId="0" fontId="31" fillId="2" borderId="319" xfId="0" applyFont="1" applyFill="1" applyBorder="1" applyAlignment="1" applyProtection="1">
      <alignment horizontal="left" vertical="center"/>
      <protection locked="0"/>
    </xf>
    <xf numFmtId="0" fontId="31" fillId="2" borderId="324" xfId="0" applyFont="1" applyFill="1" applyBorder="1" applyAlignment="1" applyProtection="1">
      <alignment horizontal="left" vertical="center"/>
      <protection locked="0"/>
    </xf>
    <xf numFmtId="170" fontId="31" fillId="2" borderId="324" xfId="5" applyNumberFormat="1" applyFont="1" applyFill="1" applyBorder="1" applyAlignment="1" applyProtection="1">
      <alignment vertical="center"/>
      <protection locked="0"/>
    </xf>
    <xf numFmtId="170" fontId="31" fillId="2" borderId="322" xfId="5" applyNumberFormat="1" applyFont="1" applyFill="1" applyBorder="1" applyAlignment="1" applyProtection="1">
      <alignment vertical="center"/>
      <protection locked="0"/>
    </xf>
    <xf numFmtId="0" fontId="27" fillId="2" borderId="322" xfId="0" applyFont="1" applyFill="1" applyBorder="1" applyAlignment="1" applyProtection="1">
      <alignment horizontal="left" vertical="center"/>
      <protection locked="0"/>
    </xf>
    <xf numFmtId="0" fontId="27" fillId="2" borderId="319" xfId="0" applyFont="1" applyFill="1" applyBorder="1" applyAlignment="1" applyProtection="1">
      <alignment horizontal="left" vertical="center"/>
      <protection locked="0"/>
    </xf>
    <xf numFmtId="170" fontId="31" fillId="2" borderId="321" xfId="5" applyNumberFormat="1" applyFont="1" applyFill="1" applyBorder="1" applyAlignment="1" applyProtection="1">
      <alignment vertical="center"/>
      <protection locked="0"/>
    </xf>
    <xf numFmtId="0" fontId="27" fillId="2" borderId="324" xfId="0" applyFont="1" applyFill="1" applyBorder="1" applyAlignment="1" applyProtection="1">
      <alignment horizontal="left" vertical="center"/>
      <protection locked="0"/>
    </xf>
    <xf numFmtId="170" fontId="27" fillId="2" borderId="324" xfId="5" applyNumberFormat="1" applyFont="1" applyFill="1" applyBorder="1" applyAlignment="1" applyProtection="1">
      <alignment vertical="center"/>
      <protection locked="0"/>
    </xf>
    <xf numFmtId="0" fontId="0" fillId="2" borderId="319" xfId="0" applyFill="1" applyBorder="1" applyAlignment="1" applyProtection="1">
      <alignment horizontal="left" vertical="center"/>
      <protection locked="0"/>
    </xf>
    <xf numFmtId="0" fontId="0" fillId="2" borderId="324" xfId="0" applyFill="1" applyBorder="1" applyAlignment="1" applyProtection="1">
      <alignment horizontal="left" vertical="center"/>
      <protection locked="0"/>
    </xf>
    <xf numFmtId="170" fontId="0" fillId="2" borderId="324" xfId="5" applyNumberFormat="1" applyFont="1" applyFill="1" applyBorder="1" applyAlignment="1" applyProtection="1">
      <alignment vertical="center"/>
      <protection locked="0"/>
    </xf>
    <xf numFmtId="170" fontId="0" fillId="2" borderId="322" xfId="5" applyNumberFormat="1" applyFont="1" applyFill="1" applyBorder="1" applyAlignment="1" applyProtection="1">
      <alignment vertical="center"/>
      <protection locked="0"/>
    </xf>
    <xf numFmtId="170" fontId="31" fillId="23" borderId="328" xfId="5" applyNumberFormat="1" applyFont="1" applyFill="1" applyBorder="1" applyAlignment="1">
      <alignment vertical="center"/>
    </xf>
    <xf numFmtId="178" fontId="7" fillId="23" borderId="31" xfId="10" applyNumberFormat="1" applyFill="1" applyBorder="1" applyAlignment="1">
      <alignment horizontal="right" vertical="center"/>
    </xf>
    <xf numFmtId="178" fontId="7" fillId="23" borderId="328" xfId="10" applyNumberFormat="1" applyFill="1" applyBorder="1" applyAlignment="1">
      <alignment horizontal="right" vertical="center"/>
    </xf>
    <xf numFmtId="178" fontId="11" fillId="40" borderId="129" xfId="7" applyNumberFormat="1" applyFont="1" applyFill="1" applyBorder="1" applyAlignment="1">
      <alignment horizontal="right" vertical="center"/>
    </xf>
    <xf numFmtId="0" fontId="27" fillId="21" borderId="0" xfId="7" applyFont="1" applyFill="1"/>
    <xf numFmtId="178" fontId="11" fillId="40" borderId="137" xfId="7" applyNumberFormat="1" applyFont="1" applyFill="1" applyBorder="1" applyAlignment="1">
      <alignment horizontal="right" vertical="center"/>
    </xf>
    <xf numFmtId="178" fontId="11" fillId="40" borderId="85" xfId="7" applyNumberFormat="1" applyFont="1" applyFill="1" applyBorder="1" applyAlignment="1">
      <alignment horizontal="right" vertical="center"/>
    </xf>
    <xf numFmtId="166" fontId="15" fillId="31" borderId="141" xfId="5" applyNumberFormat="1" applyFont="1" applyFill="1" applyBorder="1" applyAlignment="1">
      <alignment horizontal="center" vertical="center"/>
    </xf>
    <xf numFmtId="166" fontId="15" fillId="34" borderId="141" xfId="5" applyNumberFormat="1" applyFont="1" applyFill="1" applyBorder="1" applyAlignment="1">
      <alignment horizontal="center" vertical="center"/>
    </xf>
    <xf numFmtId="166" fontId="0" fillId="2" borderId="329" xfId="5" applyNumberFormat="1" applyFont="1" applyFill="1" applyBorder="1" applyAlignment="1" applyProtection="1">
      <alignment vertical="center"/>
      <protection locked="0"/>
    </xf>
    <xf numFmtId="166" fontId="0" fillId="2" borderId="330" xfId="5" applyNumberFormat="1" applyFont="1" applyFill="1" applyBorder="1" applyAlignment="1" applyProtection="1">
      <alignment vertical="center"/>
      <protection locked="0"/>
    </xf>
    <xf numFmtId="166" fontId="0" fillId="2" borderId="331" xfId="5" applyNumberFormat="1" applyFont="1" applyFill="1" applyBorder="1" applyAlignment="1" applyProtection="1">
      <alignment vertical="center"/>
      <protection locked="0"/>
    </xf>
    <xf numFmtId="0" fontId="5" fillId="38" borderId="54" xfId="7" applyFont="1" applyFill="1" applyBorder="1" applyAlignment="1">
      <alignment horizontal="center" vertical="center" wrapText="1"/>
    </xf>
    <xf numFmtId="166" fontId="0" fillId="2" borderId="334" xfId="5" applyNumberFormat="1" applyFont="1" applyFill="1" applyBorder="1" applyAlignment="1" applyProtection="1">
      <alignment vertical="center"/>
      <protection locked="0"/>
    </xf>
    <xf numFmtId="166" fontId="0" fillId="2" borderId="335" xfId="5" applyNumberFormat="1" applyFont="1" applyFill="1" applyBorder="1" applyAlignment="1" applyProtection="1">
      <alignment vertical="center"/>
      <protection locked="0"/>
    </xf>
    <xf numFmtId="166" fontId="0" fillId="2" borderId="332" xfId="5" applyNumberFormat="1" applyFont="1" applyFill="1" applyBorder="1" applyAlignment="1" applyProtection="1">
      <alignment vertical="center"/>
      <protection locked="0"/>
    </xf>
    <xf numFmtId="166" fontId="5" fillId="38" borderId="135" xfId="7" applyNumberFormat="1" applyFont="1" applyFill="1" applyBorder="1" applyAlignment="1">
      <alignment horizontal="center" vertical="center" wrapText="1"/>
    </xf>
    <xf numFmtId="9" fontId="20" fillId="9" borderId="87" xfId="11" applyFont="1" applyFill="1" applyBorder="1" applyAlignment="1">
      <alignment horizontal="center" vertical="center"/>
    </xf>
    <xf numFmtId="9" fontId="7" fillId="2" borderId="337" xfId="7" applyNumberFormat="1" applyFill="1" applyBorder="1" applyAlignment="1" applyProtection="1">
      <alignment horizontal="center" vertical="center"/>
      <protection locked="0"/>
    </xf>
    <xf numFmtId="9" fontId="7" fillId="2" borderId="320" xfId="7" applyNumberFormat="1" applyFill="1" applyBorder="1" applyAlignment="1" applyProtection="1">
      <alignment horizontal="center" vertical="center"/>
      <protection locked="0"/>
    </xf>
    <xf numFmtId="9" fontId="7" fillId="2" borderId="296" xfId="7" applyNumberFormat="1" applyFill="1" applyBorder="1" applyAlignment="1" applyProtection="1">
      <alignment horizontal="center" vertical="center"/>
      <protection locked="0"/>
    </xf>
    <xf numFmtId="9" fontId="7" fillId="2" borderId="162" xfId="7" applyNumberFormat="1" applyFill="1" applyBorder="1" applyAlignment="1" applyProtection="1">
      <alignment horizontal="center" vertical="center"/>
      <protection locked="0"/>
    </xf>
    <xf numFmtId="9" fontId="0" fillId="2" borderId="245" xfId="11" applyFont="1" applyFill="1" applyBorder="1" applyAlignment="1" applyProtection="1">
      <alignment horizontal="center" vertical="center"/>
      <protection locked="0"/>
    </xf>
    <xf numFmtId="9" fontId="0" fillId="2" borderId="322" xfId="11" applyFont="1" applyFill="1" applyBorder="1" applyAlignment="1" applyProtection="1">
      <alignment horizontal="center" vertical="center"/>
      <protection locked="0"/>
    </xf>
    <xf numFmtId="9" fontId="0" fillId="2" borderId="323" xfId="11" applyFont="1" applyFill="1" applyBorder="1" applyAlignment="1" applyProtection="1">
      <alignment horizontal="center" vertical="center"/>
      <protection locked="0"/>
    </xf>
    <xf numFmtId="9" fontId="0" fillId="2" borderId="285" xfId="11" applyFont="1" applyFill="1" applyBorder="1" applyAlignment="1" applyProtection="1">
      <alignment horizontal="center" vertical="center"/>
      <protection locked="0"/>
    </xf>
    <xf numFmtId="170" fontId="0" fillId="19" borderId="149" xfId="5" applyNumberFormat="1" applyFont="1" applyFill="1" applyBorder="1" applyAlignment="1">
      <alignment vertical="center"/>
    </xf>
    <xf numFmtId="170" fontId="0" fillId="19" borderId="162" xfId="5" applyNumberFormat="1" applyFont="1" applyFill="1" applyBorder="1" applyAlignment="1">
      <alignment vertical="center"/>
    </xf>
    <xf numFmtId="170" fontId="0" fillId="19" borderId="338" xfId="5" applyNumberFormat="1" applyFont="1" applyFill="1" applyBorder="1" applyAlignment="1">
      <alignment vertical="center"/>
    </xf>
    <xf numFmtId="170" fontId="0" fillId="19" borderId="339" xfId="5" applyNumberFormat="1" applyFont="1" applyFill="1" applyBorder="1" applyAlignment="1">
      <alignment vertical="center"/>
    </xf>
    <xf numFmtId="170" fontId="30" fillId="19" borderId="285" xfId="5" applyNumberFormat="1" applyFont="1" applyFill="1" applyBorder="1" applyAlignment="1">
      <alignment vertical="center"/>
    </xf>
    <xf numFmtId="170" fontId="30" fillId="19" borderId="322" xfId="5" applyNumberFormat="1" applyFont="1" applyFill="1" applyBorder="1" applyAlignment="1">
      <alignment vertical="center"/>
    </xf>
    <xf numFmtId="170" fontId="30" fillId="19" borderId="323" xfId="5" applyNumberFormat="1" applyFont="1" applyFill="1" applyBorder="1" applyAlignment="1">
      <alignment vertical="center"/>
    </xf>
    <xf numFmtId="172" fontId="30" fillId="19" borderId="149" xfId="6" applyNumberFormat="1" applyFont="1" applyFill="1" applyBorder="1" applyAlignment="1" applyProtection="1">
      <alignment vertical="center"/>
    </xf>
    <xf numFmtId="170" fontId="0" fillId="0" borderId="0" xfId="0" applyNumberFormat="1"/>
    <xf numFmtId="166" fontId="5" fillId="16" borderId="341" xfId="2" applyNumberFormat="1" applyFont="1" applyFill="1" applyBorder="1" applyAlignment="1" applyProtection="1">
      <alignment vertical="center"/>
    </xf>
    <xf numFmtId="166" fontId="5" fillId="16" borderId="342" xfId="2" applyNumberFormat="1" applyFont="1" applyFill="1" applyBorder="1" applyAlignment="1" applyProtection="1">
      <alignment vertical="center"/>
    </xf>
    <xf numFmtId="166" fontId="5" fillId="38" borderId="342" xfId="2" applyNumberFormat="1" applyFont="1" applyFill="1" applyBorder="1" applyAlignment="1" applyProtection="1">
      <alignment vertical="center"/>
    </xf>
    <xf numFmtId="166" fontId="0" fillId="1" borderId="23" xfId="2" applyNumberFormat="1" applyFont="1" applyFill="1" applyBorder="1" applyAlignment="1" applyProtection="1">
      <alignment vertical="center"/>
    </xf>
    <xf numFmtId="169" fontId="0" fillId="1" borderId="21" xfId="1" applyNumberFormat="1" applyFont="1" applyFill="1" applyBorder="1" applyAlignment="1" applyProtection="1">
      <alignment vertical="center"/>
    </xf>
    <xf numFmtId="166" fontId="5" fillId="16" borderId="343" xfId="2" applyNumberFormat="1" applyFont="1" applyFill="1" applyBorder="1" applyAlignment="1" applyProtection="1">
      <alignment vertical="center"/>
    </xf>
    <xf numFmtId="168" fontId="0" fillId="2" borderId="212" xfId="5" applyNumberFormat="1" applyFont="1" applyFill="1" applyBorder="1" applyAlignment="1" applyProtection="1">
      <alignment horizontal="center" vertical="center"/>
      <protection locked="0"/>
    </xf>
    <xf numFmtId="168" fontId="0" fillId="2" borderId="340" xfId="5" applyNumberFormat="1" applyFont="1" applyFill="1" applyBorder="1" applyAlignment="1" applyProtection="1">
      <alignment horizontal="center" vertical="center"/>
      <protection locked="0"/>
    </xf>
    <xf numFmtId="168" fontId="0" fillId="2" borderId="335" xfId="5" applyNumberFormat="1" applyFont="1" applyFill="1" applyBorder="1" applyAlignment="1" applyProtection="1">
      <alignment horizontal="center" vertical="center"/>
      <protection locked="0"/>
    </xf>
    <xf numFmtId="168" fontId="0" fillId="2" borderId="344" xfId="5" applyNumberFormat="1" applyFont="1" applyFill="1" applyBorder="1" applyAlignment="1" applyProtection="1">
      <alignment horizontal="center" vertical="center"/>
      <protection locked="0"/>
    </xf>
    <xf numFmtId="168" fontId="0" fillId="2" borderId="296" xfId="5" applyNumberFormat="1" applyFont="1" applyFill="1" applyBorder="1" applyAlignment="1" applyProtection="1">
      <alignment horizontal="center" vertical="center"/>
      <protection locked="0"/>
    </xf>
    <xf numFmtId="168" fontId="0" fillId="2" borderId="345" xfId="5" applyNumberFormat="1" applyFont="1" applyFill="1" applyBorder="1" applyAlignment="1" applyProtection="1">
      <alignment horizontal="center" vertical="center"/>
      <protection locked="0"/>
    </xf>
    <xf numFmtId="168" fontId="0" fillId="2" borderId="346" xfId="5" applyNumberFormat="1" applyFont="1" applyFill="1" applyBorder="1" applyAlignment="1" applyProtection="1">
      <alignment horizontal="center" vertical="center"/>
      <protection locked="0"/>
    </xf>
    <xf numFmtId="168" fontId="0" fillId="2" borderId="149" xfId="5" applyNumberFormat="1" applyFont="1" applyFill="1" applyBorder="1" applyAlignment="1" applyProtection="1">
      <alignment horizontal="center" vertical="center"/>
      <protection locked="0"/>
    </xf>
    <xf numFmtId="168" fontId="0" fillId="2" borderId="88" xfId="5" applyNumberFormat="1" applyFont="1" applyFill="1" applyBorder="1" applyAlignment="1" applyProtection="1">
      <alignment horizontal="center" vertical="center"/>
      <protection locked="0"/>
    </xf>
    <xf numFmtId="168" fontId="26" fillId="24" borderId="85" xfId="0" applyNumberFormat="1" applyFont="1" applyFill="1" applyBorder="1" applyAlignment="1">
      <alignment horizontal="center"/>
    </xf>
    <xf numFmtId="170" fontId="30" fillId="66" borderId="212" xfId="5" applyNumberFormat="1" applyFont="1" applyFill="1" applyBorder="1" applyAlignment="1">
      <alignment vertical="center"/>
    </xf>
    <xf numFmtId="170" fontId="30" fillId="66" borderId="340" xfId="5" applyNumberFormat="1" applyFont="1" applyFill="1" applyBorder="1" applyAlignment="1">
      <alignment vertical="center"/>
    </xf>
    <xf numFmtId="172" fontId="30" fillId="66" borderId="87" xfId="6" applyNumberFormat="1" applyFont="1" applyFill="1" applyBorder="1" applyAlignment="1" applyProtection="1">
      <alignment vertical="center"/>
    </xf>
    <xf numFmtId="170" fontId="0" fillId="19" borderId="66" xfId="5" applyNumberFormat="1" applyFont="1" applyFill="1" applyBorder="1" applyAlignment="1">
      <alignment vertical="center"/>
    </xf>
    <xf numFmtId="170" fontId="0" fillId="19" borderId="281" xfId="5" applyNumberFormat="1" applyFont="1" applyFill="1" applyBorder="1" applyAlignment="1">
      <alignment vertical="center"/>
    </xf>
    <xf numFmtId="42" fontId="0" fillId="0" borderId="0" xfId="9" applyFont="1" applyProtection="1"/>
    <xf numFmtId="42" fontId="5" fillId="0" borderId="0" xfId="0" applyNumberFormat="1" applyFont="1" applyAlignment="1">
      <alignment vertical="center"/>
    </xf>
    <xf numFmtId="168" fontId="0" fillId="58" borderId="212" xfId="5" applyNumberFormat="1" applyFont="1" applyFill="1" applyBorder="1" applyAlignment="1" applyProtection="1">
      <alignment horizontal="center" vertical="center"/>
      <protection locked="0"/>
    </xf>
    <xf numFmtId="168" fontId="0" fillId="58" borderId="340" xfId="5" applyNumberFormat="1" applyFont="1" applyFill="1" applyBorder="1" applyAlignment="1" applyProtection="1">
      <alignment horizontal="center" vertical="center"/>
      <protection locked="0"/>
    </xf>
    <xf numFmtId="168" fontId="0" fillId="58" borderId="296" xfId="5" applyNumberFormat="1" applyFont="1" applyFill="1" applyBorder="1" applyAlignment="1" applyProtection="1">
      <alignment horizontal="center" vertical="center"/>
      <protection locked="0"/>
    </xf>
    <xf numFmtId="168" fontId="0" fillId="58" borderId="87" xfId="5" applyNumberFormat="1" applyFont="1" applyFill="1" applyBorder="1" applyAlignment="1" applyProtection="1">
      <alignment horizontal="center" vertical="center"/>
      <protection locked="0"/>
    </xf>
    <xf numFmtId="168" fontId="0" fillId="2" borderId="124" xfId="5" applyNumberFormat="1" applyFont="1" applyFill="1" applyBorder="1" applyAlignment="1" applyProtection="1">
      <alignment horizontal="center" vertical="center"/>
      <protection locked="0"/>
    </xf>
    <xf numFmtId="168" fontId="0" fillId="2" borderId="132" xfId="5" applyNumberFormat="1" applyFont="1" applyFill="1" applyBorder="1" applyAlignment="1" applyProtection="1">
      <alignment horizontal="center" vertical="center"/>
      <protection locked="0"/>
    </xf>
    <xf numFmtId="168" fontId="0" fillId="2" borderId="123" xfId="5" applyNumberFormat="1" applyFont="1" applyFill="1" applyBorder="1" applyAlignment="1" applyProtection="1">
      <alignment horizontal="center" vertical="center"/>
      <protection locked="0"/>
    </xf>
    <xf numFmtId="168" fontId="0" fillId="2" borderId="320" xfId="5" applyNumberFormat="1" applyFont="1" applyFill="1" applyBorder="1" applyAlignment="1" applyProtection="1">
      <alignment horizontal="center" vertical="center"/>
      <protection locked="0"/>
    </xf>
    <xf numFmtId="168" fontId="0" fillId="26" borderId="320" xfId="5" applyNumberFormat="1" applyFont="1" applyFill="1" applyBorder="1" applyAlignment="1">
      <alignment horizontal="center" vertical="center"/>
    </xf>
    <xf numFmtId="168" fontId="0" fillId="2" borderId="321" xfId="5" applyNumberFormat="1" applyFont="1" applyFill="1" applyBorder="1" applyAlignment="1" applyProtection="1">
      <alignment horizontal="center" vertical="center"/>
      <protection locked="0"/>
    </xf>
    <xf numFmtId="168" fontId="0" fillId="26" borderId="296" xfId="5" applyNumberFormat="1" applyFont="1" applyFill="1" applyBorder="1" applyAlignment="1">
      <alignment horizontal="center" vertical="center"/>
    </xf>
    <xf numFmtId="0" fontId="9" fillId="5" borderId="86" xfId="0" applyFont="1" applyFill="1" applyBorder="1" applyAlignment="1">
      <alignment horizontal="center" vertical="center" wrapText="1"/>
    </xf>
    <xf numFmtId="0" fontId="9" fillId="6" borderId="85" xfId="0" applyFont="1" applyFill="1" applyBorder="1" applyAlignment="1">
      <alignment horizontal="center" vertical="center" wrapText="1"/>
    </xf>
    <xf numFmtId="0" fontId="5" fillId="3" borderId="68" xfId="0" applyFont="1" applyFill="1" applyBorder="1" applyAlignment="1">
      <alignment horizontal="center" vertical="center" wrapText="1"/>
    </xf>
    <xf numFmtId="166" fontId="0" fillId="23" borderId="286" xfId="5" applyNumberFormat="1" applyFont="1" applyFill="1" applyBorder="1" applyAlignment="1">
      <alignment vertical="center"/>
    </xf>
    <xf numFmtId="166" fontId="0" fillId="23" borderId="324" xfId="5" applyNumberFormat="1" applyFont="1" applyFill="1" applyBorder="1" applyAlignment="1">
      <alignment vertical="center"/>
    </xf>
    <xf numFmtId="166" fontId="0" fillId="45" borderId="285" xfId="5" applyNumberFormat="1" applyFont="1" applyFill="1" applyBorder="1" applyAlignment="1">
      <alignment vertical="center"/>
    </xf>
    <xf numFmtId="166" fontId="0" fillId="45" borderId="351" xfId="5" applyNumberFormat="1" applyFont="1" applyFill="1" applyBorder="1" applyAlignment="1">
      <alignment vertical="center"/>
    </xf>
    <xf numFmtId="166" fontId="0" fillId="46" borderId="175" xfId="5" applyNumberFormat="1" applyFont="1" applyFill="1" applyBorder="1" applyAlignment="1">
      <alignment vertical="center"/>
    </xf>
    <xf numFmtId="166" fontId="0" fillId="45" borderId="124" xfId="5" applyNumberFormat="1" applyFont="1" applyFill="1" applyBorder="1" applyAlignment="1">
      <alignment vertical="center"/>
    </xf>
    <xf numFmtId="166" fontId="0" fillId="45" borderId="320" xfId="5" applyNumberFormat="1" applyFont="1" applyFill="1" applyBorder="1" applyAlignment="1">
      <alignment vertical="center"/>
    </xf>
    <xf numFmtId="3" fontId="33" fillId="2" borderId="319" xfId="0" applyNumberFormat="1" applyFont="1" applyFill="1" applyBorder="1" applyAlignment="1">
      <alignment horizontal="center" vertical="center"/>
    </xf>
    <xf numFmtId="170" fontId="0" fillId="67" borderId="212" xfId="5" applyNumberFormat="1" applyFont="1" applyFill="1" applyBorder="1" applyAlignment="1">
      <alignment vertical="center"/>
    </xf>
    <xf numFmtId="170" fontId="0" fillId="67" borderId="340" xfId="5" applyNumberFormat="1" applyFont="1" applyFill="1" applyBorder="1" applyAlignment="1">
      <alignment vertical="center"/>
    </xf>
    <xf numFmtId="170" fontId="0" fillId="67" borderId="162" xfId="5" applyNumberFormat="1" applyFont="1" applyFill="1" applyBorder="1" applyAlignment="1">
      <alignment vertical="center"/>
    </xf>
    <xf numFmtId="170" fontId="0" fillId="67" borderId="87" xfId="5" applyNumberFormat="1" applyFont="1" applyFill="1" applyBorder="1" applyAlignment="1">
      <alignment vertical="center"/>
    </xf>
    <xf numFmtId="166" fontId="0" fillId="67" borderId="124" xfId="5" applyNumberFormat="1" applyFont="1" applyFill="1" applyBorder="1" applyAlignment="1">
      <alignment vertical="center"/>
    </xf>
    <xf numFmtId="166" fontId="0" fillId="67" borderId="164" xfId="5" applyNumberFormat="1" applyFont="1" applyFill="1" applyBorder="1" applyAlignment="1">
      <alignment vertical="center"/>
    </xf>
    <xf numFmtId="166" fontId="0" fillId="67" borderId="60" xfId="5" applyNumberFormat="1" applyFont="1" applyFill="1" applyBorder="1" applyAlignment="1">
      <alignment vertical="center"/>
    </xf>
    <xf numFmtId="166" fontId="0" fillId="67" borderId="87" xfId="5" applyNumberFormat="1" applyFont="1" applyFill="1" applyBorder="1" applyAlignment="1">
      <alignment vertical="center"/>
    </xf>
    <xf numFmtId="166" fontId="0" fillId="67" borderId="23" xfId="2" applyNumberFormat="1" applyFont="1" applyFill="1" applyBorder="1" applyAlignment="1" applyProtection="1">
      <alignment vertical="center"/>
    </xf>
    <xf numFmtId="169" fontId="0" fillId="67" borderId="21" xfId="1" applyNumberFormat="1" applyFont="1" applyFill="1" applyBorder="1" applyAlignment="1" applyProtection="1">
      <alignment vertical="center"/>
    </xf>
    <xf numFmtId="166" fontId="5" fillId="11" borderId="10" xfId="2" applyNumberFormat="1" applyFont="1" applyFill="1" applyBorder="1" applyAlignment="1" applyProtection="1">
      <alignment vertical="center"/>
    </xf>
    <xf numFmtId="170" fontId="0" fillId="19" borderId="0" xfId="5" applyNumberFormat="1" applyFont="1" applyFill="1" applyAlignment="1">
      <alignment vertical="center"/>
    </xf>
    <xf numFmtId="166" fontId="26" fillId="64" borderId="353" xfId="0" applyNumberFormat="1" applyFont="1" applyFill="1" applyBorder="1" applyAlignment="1">
      <alignment horizontal="center" vertical="center" wrapText="1"/>
    </xf>
    <xf numFmtId="166" fontId="26" fillId="64" borderId="317" xfId="0" applyNumberFormat="1" applyFont="1" applyFill="1" applyBorder="1" applyAlignment="1">
      <alignment horizontal="center" vertical="center" wrapText="1"/>
    </xf>
    <xf numFmtId="166" fontId="26" fillId="58" borderId="353" xfId="0" applyNumberFormat="1" applyFont="1" applyFill="1" applyBorder="1" applyAlignment="1">
      <alignment horizontal="center" vertical="center" wrapText="1"/>
    </xf>
    <xf numFmtId="166" fontId="26" fillId="58" borderId="355" xfId="0" applyNumberFormat="1" applyFont="1" applyFill="1" applyBorder="1" applyAlignment="1">
      <alignment horizontal="center" vertical="center" wrapText="1"/>
    </xf>
    <xf numFmtId="166" fontId="26" fillId="58" borderId="356" xfId="0" applyNumberFormat="1" applyFont="1" applyFill="1" applyBorder="1" applyAlignment="1">
      <alignment horizontal="center" vertical="center" wrapText="1"/>
    </xf>
    <xf numFmtId="0" fontId="30" fillId="0" borderId="352" xfId="0" applyFont="1" applyBorder="1" applyAlignment="1">
      <alignment horizontal="center"/>
    </xf>
    <xf numFmtId="166" fontId="26" fillId="63" borderId="353" xfId="0" applyNumberFormat="1" applyFont="1" applyFill="1" applyBorder="1" applyAlignment="1">
      <alignment horizontal="center" vertical="center" wrapText="1"/>
    </xf>
    <xf numFmtId="166" fontId="26" fillId="63" borderId="317" xfId="0" applyNumberFormat="1" applyFont="1" applyFill="1" applyBorder="1" applyAlignment="1">
      <alignment horizontal="center" vertical="center" wrapText="1"/>
    </xf>
    <xf numFmtId="0" fontId="50" fillId="0" borderId="0" xfId="0" applyFont="1" applyProtection="1">
      <protection locked="0"/>
    </xf>
    <xf numFmtId="0" fontId="25" fillId="0" borderId="352" xfId="0" applyFont="1" applyBorder="1" applyAlignment="1">
      <alignment horizontal="center" vertical="center"/>
    </xf>
    <xf numFmtId="0" fontId="33" fillId="0" borderId="352" xfId="0" applyFont="1" applyBorder="1" applyAlignment="1">
      <alignment horizontal="center" vertical="center"/>
    </xf>
    <xf numFmtId="0" fontId="34" fillId="0" borderId="0" xfId="0" applyFont="1" applyAlignment="1" applyProtection="1">
      <alignment vertical="center"/>
      <protection locked="0"/>
    </xf>
    <xf numFmtId="0" fontId="25" fillId="0" borderId="326" xfId="0" applyFont="1" applyBorder="1" applyAlignment="1">
      <alignment horizontal="center" vertical="center"/>
    </xf>
    <xf numFmtId="0" fontId="33" fillId="0" borderId="326" xfId="0" applyFont="1" applyBorder="1" applyAlignment="1">
      <alignment horizontal="center" vertical="center"/>
    </xf>
    <xf numFmtId="9" fontId="34" fillId="0" borderId="273" xfId="0" applyNumberFormat="1" applyFont="1" applyBorder="1" applyAlignment="1">
      <alignment horizontal="center" vertical="center"/>
    </xf>
    <xf numFmtId="0" fontId="34" fillId="0" borderId="273" xfId="0" applyFont="1" applyBorder="1" applyAlignment="1">
      <alignment horizontal="center" vertical="center"/>
    </xf>
    <xf numFmtId="0" fontId="35" fillId="0" borderId="273" xfId="0" applyFont="1" applyBorder="1" applyAlignment="1">
      <alignment horizontal="center" vertical="center"/>
    </xf>
    <xf numFmtId="0" fontId="0" fillId="0" borderId="274" xfId="0" applyBorder="1" applyAlignment="1">
      <alignment vertical="center"/>
    </xf>
    <xf numFmtId="0" fontId="33" fillId="8" borderId="354" xfId="0" applyFont="1" applyFill="1" applyBorder="1" applyAlignment="1">
      <alignment horizontal="center" vertical="center"/>
    </xf>
    <xf numFmtId="0" fontId="33" fillId="62" borderId="354" xfId="0" applyFont="1" applyFill="1" applyBorder="1" applyAlignment="1">
      <alignment horizontal="center" vertical="center"/>
    </xf>
    <xf numFmtId="0" fontId="33" fillId="63" borderId="354" xfId="0" applyFont="1" applyFill="1" applyBorder="1" applyAlignment="1">
      <alignment horizontal="center" vertical="center"/>
    </xf>
    <xf numFmtId="0" fontId="33" fillId="37" borderId="354" xfId="0" applyFont="1" applyFill="1" applyBorder="1" applyAlignment="1">
      <alignment horizontal="center" vertical="center"/>
    </xf>
    <xf numFmtId="0" fontId="34" fillId="0" borderId="274" xfId="0" applyFont="1" applyBorder="1" applyAlignment="1">
      <alignment vertical="center"/>
    </xf>
    <xf numFmtId="0" fontId="34" fillId="0" borderId="148" xfId="0" applyFont="1" applyBorder="1" applyAlignment="1">
      <alignment vertical="center"/>
    </xf>
    <xf numFmtId="3" fontId="33" fillId="8" borderId="354" xfId="1" applyNumberFormat="1" applyFont="1" applyFill="1" applyBorder="1" applyAlignment="1" applyProtection="1">
      <alignment horizontal="center" vertical="center"/>
      <protection locked="0"/>
    </xf>
    <xf numFmtId="3" fontId="33" fillId="63" borderId="354" xfId="1" applyNumberFormat="1" applyFont="1" applyFill="1" applyBorder="1" applyAlignment="1" applyProtection="1">
      <alignment horizontal="center" vertical="center"/>
      <protection locked="0"/>
    </xf>
    <xf numFmtId="3" fontId="33" fillId="37" borderId="354" xfId="1" applyNumberFormat="1" applyFont="1" applyFill="1" applyBorder="1" applyAlignment="1" applyProtection="1">
      <alignment horizontal="center" vertical="center"/>
      <protection locked="0"/>
    </xf>
    <xf numFmtId="0" fontId="33" fillId="2" borderId="354" xfId="0" applyFont="1" applyFill="1" applyBorder="1" applyAlignment="1">
      <alignment horizontal="center" vertical="center"/>
    </xf>
    <xf numFmtId="3" fontId="0" fillId="2" borderId="354" xfId="1" applyNumberFormat="1" applyFont="1" applyFill="1" applyBorder="1" applyAlignment="1" applyProtection="1">
      <alignment horizontal="center" vertical="center"/>
      <protection locked="0"/>
    </xf>
    <xf numFmtId="0" fontId="0" fillId="62" borderId="354" xfId="0" applyFill="1" applyBorder="1" applyAlignment="1">
      <alignment horizontal="center" vertical="center"/>
    </xf>
    <xf numFmtId="3" fontId="0" fillId="63" borderId="354" xfId="1" applyNumberFormat="1" applyFont="1" applyFill="1" applyBorder="1" applyAlignment="1" applyProtection="1">
      <alignment horizontal="center" vertical="center"/>
      <protection locked="0"/>
    </xf>
    <xf numFmtId="3" fontId="0" fillId="37" borderId="354" xfId="1" applyNumberFormat="1" applyFont="1" applyFill="1" applyBorder="1" applyAlignment="1" applyProtection="1">
      <alignment horizontal="center" vertical="center"/>
      <protection locked="0"/>
    </xf>
    <xf numFmtId="0" fontId="33" fillId="65" borderId="354" xfId="0" applyFont="1" applyFill="1" applyBorder="1" applyAlignment="1">
      <alignment horizontal="center" vertical="center"/>
    </xf>
    <xf numFmtId="0" fontId="34" fillId="0" borderId="354" xfId="0" applyFont="1" applyBorder="1" applyAlignment="1">
      <alignment horizontal="center" vertical="center"/>
    </xf>
    <xf numFmtId="3" fontId="33" fillId="65" borderId="354" xfId="1" applyNumberFormat="1" applyFont="1" applyFill="1" applyBorder="1" applyAlignment="1" applyProtection="1">
      <alignment horizontal="center" vertical="center"/>
      <protection locked="0"/>
    </xf>
    <xf numFmtId="3" fontId="0" fillId="65" borderId="354" xfId="1" applyNumberFormat="1" applyFont="1" applyFill="1" applyBorder="1" applyAlignment="1" applyProtection="1">
      <alignment horizontal="center" vertical="center"/>
      <protection locked="0"/>
    </xf>
    <xf numFmtId="0" fontId="51" fillId="67" borderId="237" xfId="0" applyFont="1" applyFill="1" applyBorder="1" applyAlignment="1">
      <alignment horizontal="center"/>
    </xf>
    <xf numFmtId="170" fontId="51" fillId="67" borderId="62" xfId="0" applyNumberFormat="1" applyFont="1" applyFill="1" applyBorder="1" applyAlignment="1">
      <alignment horizontal="center"/>
    </xf>
    <xf numFmtId="170" fontId="51" fillId="67" borderId="129" xfId="0" applyNumberFormat="1" applyFont="1" applyFill="1" applyBorder="1" applyAlignment="1">
      <alignment horizontal="center"/>
    </xf>
    <xf numFmtId="166" fontId="26" fillId="67" borderId="355" xfId="0" applyNumberFormat="1" applyFont="1" applyFill="1" applyBorder="1" applyAlignment="1">
      <alignment horizontal="center" vertical="center" wrapText="1"/>
    </xf>
    <xf numFmtId="166" fontId="0" fillId="42" borderId="258" xfId="5" applyNumberFormat="1" applyFont="1" applyFill="1" applyBorder="1" applyAlignment="1" applyProtection="1">
      <alignment vertical="center"/>
      <protection locked="0"/>
    </xf>
    <xf numFmtId="42" fontId="5" fillId="0" borderId="0" xfId="9" applyFont="1" applyAlignment="1">
      <alignment vertical="center"/>
    </xf>
    <xf numFmtId="166" fontId="26" fillId="64" borderId="360" xfId="0" applyNumberFormat="1" applyFont="1" applyFill="1" applyBorder="1" applyAlignment="1">
      <alignment horizontal="center" vertical="center" wrapText="1"/>
    </xf>
    <xf numFmtId="166" fontId="26" fillId="64" borderId="361" xfId="0" applyNumberFormat="1" applyFont="1" applyFill="1" applyBorder="1" applyAlignment="1">
      <alignment horizontal="center" vertical="center" wrapText="1"/>
    </xf>
    <xf numFmtId="166" fontId="26" fillId="64" borderId="318" xfId="0" applyNumberFormat="1" applyFont="1" applyFill="1" applyBorder="1" applyAlignment="1">
      <alignment horizontal="center" vertical="center" wrapText="1"/>
    </xf>
    <xf numFmtId="0" fontId="30" fillId="0" borderId="362" xfId="0" applyFont="1" applyBorder="1" applyAlignment="1">
      <alignment horizontal="center"/>
    </xf>
    <xf numFmtId="0" fontId="30" fillId="0" borderId="363" xfId="0" applyFont="1" applyBorder="1" applyAlignment="1">
      <alignment horizontal="center"/>
    </xf>
    <xf numFmtId="9" fontId="0" fillId="0" borderId="133" xfId="0" applyNumberFormat="1" applyBorder="1" applyAlignment="1">
      <alignment horizontal="center" vertical="top"/>
    </xf>
    <xf numFmtId="0" fontId="0" fillId="0" borderId="17" xfId="0" applyBorder="1" applyAlignment="1">
      <alignment horizontal="center" vertical="top"/>
    </xf>
    <xf numFmtId="0" fontId="0" fillId="0" borderId="135" xfId="0" applyBorder="1" applyAlignment="1">
      <alignment horizontal="center" vertical="top"/>
    </xf>
    <xf numFmtId="166" fontId="26" fillId="68" borderId="360" xfId="0" applyNumberFormat="1" applyFont="1" applyFill="1" applyBorder="1" applyAlignment="1">
      <alignment horizontal="center" vertical="center" wrapText="1"/>
    </xf>
    <xf numFmtId="166" fontId="26" fillId="68" borderId="361" xfId="0" applyNumberFormat="1" applyFont="1" applyFill="1" applyBorder="1" applyAlignment="1">
      <alignment horizontal="center" vertical="center" wrapText="1"/>
    </xf>
    <xf numFmtId="166" fontId="26" fillId="68" borderId="318" xfId="0" applyNumberFormat="1" applyFont="1" applyFill="1" applyBorder="1" applyAlignment="1">
      <alignment horizontal="center" vertical="center" wrapText="1"/>
    </xf>
    <xf numFmtId="166" fontId="26" fillId="67" borderId="360" xfId="0" applyNumberFormat="1" applyFont="1" applyFill="1" applyBorder="1" applyAlignment="1">
      <alignment horizontal="center" vertical="center" wrapText="1"/>
    </xf>
    <xf numFmtId="166" fontId="26" fillId="67" borderId="364" xfId="0" applyNumberFormat="1" applyFont="1" applyFill="1" applyBorder="1" applyAlignment="1">
      <alignment horizontal="center" vertical="center" wrapText="1"/>
    </xf>
    <xf numFmtId="9" fontId="31" fillId="2" borderId="324" xfId="0" applyNumberFormat="1" applyFont="1" applyFill="1" applyBorder="1" applyAlignment="1" applyProtection="1">
      <alignment horizontal="left" vertical="center"/>
      <protection locked="0"/>
    </xf>
    <xf numFmtId="0" fontId="42" fillId="69" borderId="215" xfId="0" applyFont="1" applyFill="1" applyBorder="1" applyAlignment="1">
      <alignment horizontal="center" vertical="center" wrapText="1"/>
    </xf>
    <xf numFmtId="0" fontId="0" fillId="0" borderId="324" xfId="0" applyBorder="1" applyAlignment="1">
      <alignment horizontal="center" vertical="center"/>
    </xf>
    <xf numFmtId="0" fontId="0" fillId="0" borderId="351" xfId="0" applyBorder="1" applyAlignment="1">
      <alignment horizontal="center" vertical="center"/>
    </xf>
    <xf numFmtId="0" fontId="12" fillId="0" borderId="0" xfId="0" applyFont="1" applyAlignment="1">
      <alignment horizontal="left" vertical="center" indent="2"/>
    </xf>
    <xf numFmtId="0" fontId="5" fillId="7" borderId="324" xfId="0" applyFont="1" applyFill="1" applyBorder="1" applyAlignment="1">
      <alignment horizontal="center" vertical="center"/>
    </xf>
    <xf numFmtId="0" fontId="5" fillId="7" borderId="297" xfId="0" applyFont="1" applyFill="1" applyBorder="1" applyAlignment="1">
      <alignment horizontal="center" vertical="center"/>
    </xf>
    <xf numFmtId="0" fontId="5" fillId="7" borderId="351" xfId="0" applyFont="1" applyFill="1" applyBorder="1" applyAlignment="1">
      <alignment horizontal="center" vertical="center"/>
    </xf>
    <xf numFmtId="0" fontId="5" fillId="3" borderId="352" xfId="0" applyFont="1" applyFill="1" applyBorder="1" applyAlignment="1">
      <alignment horizontal="center" vertical="center" wrapText="1"/>
    </xf>
    <xf numFmtId="0" fontId="5" fillId="3" borderId="273" xfId="0" applyFont="1" applyFill="1" applyBorder="1" applyAlignment="1">
      <alignment horizontal="center" vertical="center" wrapText="1"/>
    </xf>
    <xf numFmtId="166" fontId="5" fillId="3" borderId="271" xfId="0" applyNumberFormat="1" applyFont="1" applyFill="1" applyBorder="1" applyAlignment="1">
      <alignment horizontal="center" vertical="center"/>
    </xf>
    <xf numFmtId="166" fontId="5" fillId="3" borderId="218" xfId="0" applyNumberFormat="1" applyFont="1" applyFill="1" applyBorder="1" applyAlignment="1">
      <alignment horizontal="center" vertical="center"/>
    </xf>
    <xf numFmtId="166" fontId="5" fillId="3" borderId="274" xfId="0" applyNumberFormat="1" applyFont="1" applyFill="1" applyBorder="1" applyAlignment="1">
      <alignment horizontal="center" vertical="center"/>
    </xf>
    <xf numFmtId="166" fontId="5" fillId="3" borderId="175" xfId="0" applyNumberFormat="1" applyFont="1" applyFill="1" applyBorder="1" applyAlignment="1">
      <alignment horizontal="center" vertical="center"/>
    </xf>
    <xf numFmtId="166" fontId="5" fillId="3" borderId="352" xfId="0" applyNumberFormat="1" applyFont="1" applyFill="1" applyBorder="1" applyAlignment="1">
      <alignment horizontal="center" vertical="center" wrapText="1"/>
    </xf>
    <xf numFmtId="166" fontId="5" fillId="3" borderId="273" xfId="0" applyNumberFormat="1" applyFont="1" applyFill="1" applyBorder="1" applyAlignment="1">
      <alignment horizontal="center" vertical="center" wrapText="1"/>
    </xf>
    <xf numFmtId="166" fontId="0" fillId="12" borderId="9" xfId="2" applyNumberFormat="1" applyFont="1" applyFill="1" applyBorder="1" applyAlignment="1" applyProtection="1">
      <alignment horizontal="right" vertical="center"/>
    </xf>
    <xf numFmtId="166" fontId="11" fillId="18" borderId="2" xfId="0" applyNumberFormat="1" applyFont="1" applyFill="1" applyBorder="1" applyAlignment="1">
      <alignment horizontal="center" vertical="center"/>
    </xf>
    <xf numFmtId="166" fontId="11" fillId="18" borderId="3" xfId="0" applyNumberFormat="1" applyFont="1" applyFill="1" applyBorder="1" applyAlignment="1">
      <alignment horizontal="center"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166" fontId="0" fillId="15" borderId="23" xfId="2" applyNumberFormat="1" applyFont="1" applyFill="1" applyBorder="1" applyAlignment="1" applyProtection="1">
      <alignment horizontal="right" vertical="center"/>
    </xf>
    <xf numFmtId="166" fontId="0" fillId="15" borderId="21" xfId="2" applyNumberFormat="1" applyFont="1" applyFill="1" applyBorder="1" applyAlignment="1" applyProtection="1">
      <alignment horizontal="right" vertical="center"/>
    </xf>
    <xf numFmtId="166" fontId="0" fillId="12" borderId="23" xfId="2" applyNumberFormat="1" applyFont="1" applyFill="1" applyBorder="1" applyAlignment="1" applyProtection="1">
      <alignment horizontal="right" vertical="center"/>
    </xf>
    <xf numFmtId="166" fontId="0" fillId="12" borderId="21" xfId="2" applyNumberFormat="1" applyFont="1" applyFill="1" applyBorder="1" applyAlignment="1" applyProtection="1">
      <alignment horizontal="right" vertical="center"/>
    </xf>
    <xf numFmtId="0" fontId="32" fillId="0" borderId="0" xfId="0" applyFont="1" applyAlignment="1">
      <alignment horizontal="center" vertical="center" wrapText="1"/>
    </xf>
    <xf numFmtId="166" fontId="0" fillId="12" borderId="265" xfId="2" applyNumberFormat="1" applyFont="1" applyFill="1" applyBorder="1" applyAlignment="1" applyProtection="1">
      <alignment horizontal="right" vertical="center"/>
    </xf>
    <xf numFmtId="166" fontId="0" fillId="15" borderId="9" xfId="2" applyNumberFormat="1" applyFont="1" applyFill="1" applyBorder="1" applyAlignment="1" applyProtection="1">
      <alignment horizontal="right" vertical="center"/>
    </xf>
    <xf numFmtId="166" fontId="11" fillId="18" borderId="275" xfId="0" applyNumberFormat="1" applyFont="1" applyFill="1" applyBorder="1" applyAlignment="1">
      <alignment horizontal="center" vertical="center"/>
    </xf>
    <xf numFmtId="166" fontId="0" fillId="15" borderId="265" xfId="2" applyNumberFormat="1" applyFont="1" applyFill="1" applyBorder="1" applyAlignment="1" applyProtection="1">
      <alignment horizontal="right" vertical="center"/>
    </xf>
    <xf numFmtId="0" fontId="0" fillId="0" borderId="21" xfId="0" applyBorder="1" applyAlignment="1">
      <alignment horizontal="right" vertical="center" wrapText="1"/>
    </xf>
    <xf numFmtId="0" fontId="0" fillId="0" borderId="22" xfId="0" applyBorder="1" applyAlignment="1">
      <alignment horizontal="right" vertical="center" wrapText="1"/>
    </xf>
    <xf numFmtId="166" fontId="0" fillId="1" borderId="25" xfId="0" applyNumberFormat="1" applyFill="1" applyBorder="1" applyAlignment="1">
      <alignment horizontal="center" vertical="center"/>
    </xf>
    <xf numFmtId="166" fontId="0" fillId="1" borderId="23" xfId="0" applyNumberFormat="1" applyFill="1" applyBorder="1" applyAlignment="1">
      <alignment horizontal="center" vertical="center"/>
    </xf>
    <xf numFmtId="0" fontId="0" fillId="0" borderId="23" xfId="0" applyBorder="1" applyAlignment="1">
      <alignment horizontal="right" vertical="center" wrapText="1"/>
    </xf>
    <xf numFmtId="166" fontId="0" fillId="15" borderId="3" xfId="2" applyNumberFormat="1" applyFont="1" applyFill="1" applyBorder="1" applyAlignment="1" applyProtection="1">
      <alignment horizontal="right" vertical="center"/>
    </xf>
    <xf numFmtId="166" fontId="0" fillId="15" borderId="24" xfId="2" applyNumberFormat="1" applyFont="1" applyFill="1" applyBorder="1" applyAlignment="1" applyProtection="1">
      <alignment horizontal="right" vertical="center"/>
    </xf>
    <xf numFmtId="166" fontId="0" fillId="15" borderId="20" xfId="2" applyNumberFormat="1" applyFont="1" applyFill="1" applyBorder="1" applyAlignment="1" applyProtection="1">
      <alignment horizontal="right" vertical="center"/>
    </xf>
    <xf numFmtId="166" fontId="9" fillId="13" borderId="21" xfId="0" applyNumberFormat="1" applyFont="1" applyFill="1" applyBorder="1" applyAlignment="1">
      <alignment horizontal="center" vertical="center" wrapText="1"/>
    </xf>
    <xf numFmtId="166" fontId="9" fillId="13" borderId="22" xfId="0" applyNumberFormat="1" applyFont="1" applyFill="1" applyBorder="1" applyAlignment="1">
      <alignment horizontal="center" vertical="center" wrapText="1"/>
    </xf>
    <xf numFmtId="0" fontId="5" fillId="0" borderId="1" xfId="0" applyFont="1" applyBorder="1" applyAlignment="1">
      <alignment horizontal="righ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3" fillId="0" borderId="0" xfId="4" applyFill="1" applyBorder="1" applyAlignment="1" applyProtection="1">
      <alignment horizontal="left" vertical="center" indent="2"/>
    </xf>
    <xf numFmtId="0" fontId="5" fillId="3" borderId="9" xfId="0" applyFont="1" applyFill="1" applyBorder="1" applyAlignment="1">
      <alignment horizontal="center" vertical="center" wrapText="1"/>
    </xf>
    <xf numFmtId="0" fontId="5" fillId="3" borderId="21" xfId="0" applyFont="1" applyFill="1" applyBorder="1" applyAlignment="1">
      <alignment horizontal="center" vertical="center" wrapText="1"/>
    </xf>
    <xf numFmtId="166" fontId="5" fillId="3" borderId="2" xfId="0" applyNumberFormat="1" applyFont="1" applyFill="1" applyBorder="1" applyAlignment="1">
      <alignment horizontal="center" vertical="center"/>
    </xf>
    <xf numFmtId="166" fontId="5" fillId="3" borderId="21" xfId="0" applyNumberFormat="1" applyFont="1" applyFill="1" applyBorder="1" applyAlignment="1">
      <alignment horizontal="center" vertical="center"/>
    </xf>
    <xf numFmtId="166" fontId="10" fillId="13" borderId="9" xfId="0" applyNumberFormat="1" applyFont="1" applyFill="1" applyBorder="1" applyAlignment="1">
      <alignment horizontal="center" vertical="center" wrapText="1"/>
    </xf>
    <xf numFmtId="166" fontId="9" fillId="13" borderId="20" xfId="0" applyNumberFormat="1" applyFont="1" applyFill="1" applyBorder="1" applyAlignment="1">
      <alignment horizontal="center" vertical="center" wrapText="1"/>
    </xf>
    <xf numFmtId="168" fontId="0" fillId="26" borderId="88" xfId="5" applyNumberFormat="1" applyFont="1" applyFill="1" applyBorder="1" applyAlignment="1">
      <alignment horizontal="center" vertical="center"/>
    </xf>
    <xf numFmtId="168" fontId="0" fillId="26" borderId="68" xfId="5" applyNumberFormat="1" applyFont="1" applyFill="1" applyBorder="1" applyAlignment="1">
      <alignment horizontal="center" vertical="center"/>
    </xf>
    <xf numFmtId="0" fontId="26" fillId="19" borderId="31" xfId="0" applyFont="1" applyFill="1" applyBorder="1" applyAlignment="1">
      <alignment horizontal="center" vertical="center" wrapText="1"/>
    </xf>
    <xf numFmtId="0" fontId="26" fillId="19" borderId="312" xfId="0" applyFont="1" applyFill="1" applyBorder="1" applyAlignment="1">
      <alignment horizontal="center" vertical="center" wrapText="1"/>
    </xf>
    <xf numFmtId="0" fontId="26" fillId="19" borderId="313" xfId="0" applyFont="1" applyFill="1" applyBorder="1" applyAlignment="1">
      <alignment horizontal="center" vertical="center" wrapText="1"/>
    </xf>
    <xf numFmtId="0" fontId="26" fillId="0" borderId="31"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84" xfId="0" applyFont="1" applyBorder="1" applyAlignment="1">
      <alignment horizontal="center" vertical="center" wrapText="1"/>
    </xf>
    <xf numFmtId="172" fontId="30" fillId="56" borderId="88" xfId="6" applyNumberFormat="1" applyFont="1" applyFill="1" applyBorder="1" applyAlignment="1" applyProtection="1">
      <alignment horizontal="center" vertical="center"/>
    </xf>
    <xf numFmtId="172" fontId="30" fillId="56" borderId="68" xfId="6" applyNumberFormat="1" applyFont="1" applyFill="1" applyBorder="1" applyAlignment="1" applyProtection="1">
      <alignment horizontal="center" vertical="center"/>
    </xf>
    <xf numFmtId="171" fontId="0" fillId="56" borderId="88" xfId="5" applyNumberFormat="1" applyFont="1" applyFill="1" applyBorder="1" applyAlignment="1">
      <alignment horizontal="center" vertical="center"/>
    </xf>
    <xf numFmtId="171" fontId="0" fillId="56" borderId="68" xfId="5" applyNumberFormat="1" applyFont="1" applyFill="1" applyBorder="1" applyAlignment="1">
      <alignment horizontal="center" vertical="center"/>
    </xf>
    <xf numFmtId="170" fontId="0" fillId="56" borderId="88" xfId="5" applyNumberFormat="1" applyFont="1" applyFill="1" applyBorder="1" applyAlignment="1">
      <alignment horizontal="center" vertical="center"/>
    </xf>
    <xf numFmtId="170" fontId="0" fillId="56" borderId="68" xfId="5" applyNumberFormat="1" applyFont="1" applyFill="1" applyBorder="1" applyAlignment="1">
      <alignment horizontal="center" vertical="center"/>
    </xf>
    <xf numFmtId="168" fontId="0" fillId="26" borderId="349" xfId="5" applyNumberFormat="1" applyFont="1" applyFill="1" applyBorder="1" applyAlignment="1">
      <alignment horizontal="center" vertical="center"/>
    </xf>
    <xf numFmtId="168" fontId="0" fillId="26" borderId="297" xfId="5" applyNumberFormat="1" applyFont="1" applyFill="1" applyBorder="1" applyAlignment="1">
      <alignment horizontal="center" vertical="center"/>
    </xf>
    <xf numFmtId="168" fontId="0" fillId="26" borderId="350" xfId="5" applyNumberFormat="1" applyFont="1" applyFill="1" applyBorder="1" applyAlignment="1">
      <alignment horizontal="center" vertical="center"/>
    </xf>
    <xf numFmtId="0" fontId="26" fillId="19" borderId="250" xfId="0" applyFont="1" applyFill="1" applyBorder="1" applyAlignment="1">
      <alignment horizontal="center" vertical="center" wrapText="1"/>
    </xf>
    <xf numFmtId="0" fontId="26" fillId="19" borderId="54" xfId="0" applyFont="1" applyFill="1" applyBorder="1" applyAlignment="1">
      <alignment horizontal="center" vertical="center" wrapText="1"/>
    </xf>
    <xf numFmtId="0" fontId="26" fillId="0" borderId="70"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36" xfId="0" applyFont="1" applyBorder="1" applyAlignment="1">
      <alignment horizontal="center" vertical="center" wrapText="1"/>
    </xf>
    <xf numFmtId="170" fontId="30" fillId="56" borderId="253" xfId="5" applyNumberFormat="1" applyFont="1" applyFill="1" applyBorder="1" applyAlignment="1">
      <alignment horizontal="center" vertical="center"/>
    </xf>
    <xf numFmtId="170" fontId="30" fillId="56" borderId="297" xfId="5" applyNumberFormat="1" applyFont="1" applyFill="1" applyBorder="1" applyAlignment="1">
      <alignment horizontal="center" vertical="center"/>
    </xf>
    <xf numFmtId="170" fontId="30" fillId="56" borderId="219" xfId="5" applyNumberFormat="1" applyFont="1" applyFill="1" applyBorder="1" applyAlignment="1">
      <alignment horizontal="center" vertical="center"/>
    </xf>
    <xf numFmtId="9" fontId="0" fillId="25" borderId="0" xfId="5" applyNumberFormat="1" applyFont="1" applyFill="1" applyAlignment="1">
      <alignment horizontal="center" vertical="center"/>
    </xf>
    <xf numFmtId="9" fontId="0" fillId="25" borderId="57" xfId="5" applyNumberFormat="1" applyFont="1" applyFill="1" applyBorder="1" applyAlignment="1">
      <alignment horizontal="center" vertical="center"/>
    </xf>
    <xf numFmtId="170" fontId="0" fillId="56" borderId="254" xfId="5" applyNumberFormat="1" applyFont="1" applyFill="1" applyBorder="1" applyAlignment="1">
      <alignment horizontal="center" vertical="center"/>
    </xf>
    <xf numFmtId="170" fontId="0" fillId="56" borderId="37" xfId="5" applyNumberFormat="1" applyFont="1" applyFill="1" applyBorder="1" applyAlignment="1">
      <alignment horizontal="center" vertical="center"/>
    </xf>
    <xf numFmtId="170" fontId="0" fillId="56" borderId="290" xfId="5" applyNumberFormat="1" applyFont="1" applyFill="1" applyBorder="1" applyAlignment="1">
      <alignment horizontal="center" vertical="center"/>
    </xf>
    <xf numFmtId="0" fontId="26" fillId="19" borderId="29" xfId="0" applyFont="1" applyFill="1" applyBorder="1" applyAlignment="1">
      <alignment horizontal="center" vertical="center" wrapText="1"/>
    </xf>
    <xf numFmtId="0" fontId="26" fillId="19" borderId="253" xfId="0" applyFont="1" applyFill="1" applyBorder="1" applyAlignment="1">
      <alignment horizontal="center" vertical="center" wrapText="1"/>
    </xf>
    <xf numFmtId="0" fontId="26" fillId="19" borderId="254" xfId="0" applyFont="1" applyFill="1" applyBorder="1" applyAlignment="1">
      <alignment horizontal="center" vertical="center" wrapText="1"/>
    </xf>
    <xf numFmtId="0" fontId="26" fillId="19" borderId="293" xfId="0" applyFont="1" applyFill="1" applyBorder="1" applyAlignment="1">
      <alignment horizontal="center" vertical="center" wrapText="1"/>
    </xf>
    <xf numFmtId="0" fontId="26" fillId="19" borderId="53" xfId="0" applyFont="1" applyFill="1" applyBorder="1" applyAlignment="1">
      <alignment horizontal="center" vertical="center" wrapText="1"/>
    </xf>
    <xf numFmtId="0" fontId="26" fillId="0" borderId="46"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54" xfId="0" applyFont="1" applyBorder="1" applyAlignment="1">
      <alignment horizontal="center" vertical="center" wrapText="1"/>
    </xf>
    <xf numFmtId="170" fontId="30" fillId="56" borderId="287" xfId="5" applyNumberFormat="1" applyFont="1" applyFill="1" applyBorder="1" applyAlignment="1">
      <alignment horizontal="center" vertical="center"/>
    </xf>
    <xf numFmtId="168" fontId="0" fillId="26" borderId="347" xfId="5" applyNumberFormat="1" applyFont="1" applyFill="1" applyBorder="1" applyAlignment="1">
      <alignment horizontal="center" vertical="center"/>
    </xf>
    <xf numFmtId="168" fontId="0" fillId="26" borderId="82" xfId="5" applyNumberFormat="1" applyFont="1" applyFill="1" applyBorder="1" applyAlignment="1">
      <alignment horizontal="center" vertical="center"/>
    </xf>
    <xf numFmtId="168" fontId="0" fillId="26" borderId="348" xfId="5" applyNumberFormat="1" applyFont="1" applyFill="1" applyBorder="1" applyAlignment="1">
      <alignment horizontal="center" vertical="center"/>
    </xf>
    <xf numFmtId="0" fontId="26" fillId="0" borderId="1" xfId="0" applyFont="1" applyBorder="1" applyAlignment="1">
      <alignment horizontal="right" vertical="center"/>
    </xf>
    <xf numFmtId="0" fontId="26" fillId="0" borderId="0" xfId="0" applyFont="1" applyAlignment="1">
      <alignment horizontal="right" vertical="center"/>
    </xf>
    <xf numFmtId="0" fontId="26" fillId="20" borderId="27" xfId="0" applyFont="1" applyFill="1" applyBorder="1" applyAlignment="1" applyProtection="1">
      <alignment horizontal="center" vertical="center"/>
      <protection locked="0"/>
    </xf>
    <xf numFmtId="0" fontId="26" fillId="20" borderId="28" xfId="0" applyFont="1" applyFill="1" applyBorder="1" applyAlignment="1" applyProtection="1">
      <alignment horizontal="center" vertical="center"/>
      <protection locked="0"/>
    </xf>
    <xf numFmtId="0" fontId="3" fillId="21" borderId="0" xfId="4" applyFill="1" applyBorder="1" applyAlignment="1" applyProtection="1">
      <alignment horizontal="center" vertical="center"/>
    </xf>
    <xf numFmtId="0" fontId="26" fillId="7" borderId="30" xfId="0" applyFont="1" applyFill="1" applyBorder="1" applyAlignment="1">
      <alignment horizontal="center" vertical="center" wrapText="1"/>
    </xf>
    <xf numFmtId="0" fontId="26" fillId="7" borderId="41" xfId="0" applyFont="1" applyFill="1" applyBorder="1" applyAlignment="1">
      <alignment horizontal="center" vertical="center" wrapText="1"/>
    </xf>
    <xf numFmtId="166" fontId="42" fillId="59" borderId="208" xfId="0" applyNumberFormat="1" applyFont="1" applyFill="1" applyBorder="1" applyAlignment="1">
      <alignment horizontal="center" vertical="center" wrapText="1"/>
    </xf>
    <xf numFmtId="166" fontId="42" fillId="59" borderId="209" xfId="0" applyNumberFormat="1" applyFont="1" applyFill="1" applyBorder="1" applyAlignment="1">
      <alignment horizontal="center" vertical="center" wrapText="1"/>
    </xf>
    <xf numFmtId="166" fontId="42" fillId="59" borderId="210" xfId="0" applyNumberFormat="1" applyFont="1" applyFill="1" applyBorder="1" applyAlignment="1">
      <alignment horizontal="center" vertical="center" wrapText="1"/>
    </xf>
    <xf numFmtId="0" fontId="26" fillId="3" borderId="31" xfId="0" applyFont="1" applyFill="1" applyBorder="1" applyAlignment="1">
      <alignment horizontal="center" vertical="center" wrapText="1"/>
    </xf>
    <xf numFmtId="0" fontId="26" fillId="3" borderId="36" xfId="0" applyFont="1" applyFill="1" applyBorder="1" applyAlignment="1">
      <alignment horizontal="center" vertical="center" wrapText="1"/>
    </xf>
    <xf numFmtId="0" fontId="26" fillId="7" borderId="32" xfId="0" applyFont="1" applyFill="1" applyBorder="1" applyAlignment="1">
      <alignment horizontal="center" vertical="center" wrapText="1"/>
    </xf>
    <xf numFmtId="0" fontId="26" fillId="7" borderId="37" xfId="0" applyFont="1" applyFill="1" applyBorder="1" applyAlignment="1">
      <alignment horizontal="center" vertical="center" wrapText="1"/>
    </xf>
    <xf numFmtId="166" fontId="42" fillId="13" borderId="33" xfId="0" applyNumberFormat="1" applyFont="1" applyFill="1" applyBorder="1" applyAlignment="1">
      <alignment horizontal="center" vertical="center" wrapText="1"/>
    </xf>
    <xf numFmtId="166" fontId="42" fillId="13" borderId="4" xfId="0" applyNumberFormat="1" applyFont="1" applyFill="1" applyBorder="1" applyAlignment="1">
      <alignment horizontal="center" vertical="center" wrapText="1"/>
    </xf>
    <xf numFmtId="166" fontId="42" fillId="13" borderId="5" xfId="0" applyNumberFormat="1" applyFont="1" applyFill="1" applyBorder="1" applyAlignment="1">
      <alignment horizontal="center" vertical="center" wrapText="1"/>
    </xf>
    <xf numFmtId="0" fontId="26" fillId="64" borderId="192" xfId="0" applyFont="1" applyFill="1" applyBorder="1" applyAlignment="1">
      <alignment horizontal="center" vertical="center"/>
    </xf>
    <xf numFmtId="0" fontId="26" fillId="64" borderId="193" xfId="0" applyFont="1" applyFill="1" applyBorder="1" applyAlignment="1">
      <alignment horizontal="center" vertical="center"/>
    </xf>
    <xf numFmtId="0" fontId="26" fillId="64" borderId="194" xfId="0" applyFont="1" applyFill="1" applyBorder="1" applyAlignment="1">
      <alignment horizontal="center" vertical="center"/>
    </xf>
    <xf numFmtId="0" fontId="26" fillId="3" borderId="29" xfId="0" applyFont="1" applyFill="1" applyBorder="1" applyAlignment="1">
      <alignment horizontal="center" vertical="center" wrapText="1"/>
    </xf>
    <xf numFmtId="0" fontId="26" fillId="3" borderId="34" xfId="0" applyFont="1" applyFill="1" applyBorder="1" applyAlignment="1">
      <alignment horizontal="center" vertical="center" wrapText="1"/>
    </xf>
    <xf numFmtId="0" fontId="26" fillId="7" borderId="29" xfId="0" applyFont="1" applyFill="1" applyBorder="1" applyAlignment="1">
      <alignment horizontal="center" vertical="center" wrapText="1"/>
    </xf>
    <xf numFmtId="0" fontId="26" fillId="7" borderId="34" xfId="0" applyFont="1" applyFill="1" applyBorder="1" applyAlignment="1">
      <alignment horizontal="center" vertical="center" wrapText="1"/>
    </xf>
    <xf numFmtId="166" fontId="26" fillId="7" borderId="192" xfId="0" applyNumberFormat="1" applyFont="1" applyFill="1" applyBorder="1" applyAlignment="1">
      <alignment horizontal="center" vertical="center" wrapText="1"/>
    </xf>
    <xf numFmtId="166" fontId="26" fillId="7" borderId="114" xfId="0" applyNumberFormat="1" applyFont="1" applyFill="1" applyBorder="1" applyAlignment="1">
      <alignment horizontal="center" vertical="center" wrapText="1"/>
    </xf>
    <xf numFmtId="166" fontId="26" fillId="7" borderId="115" xfId="0" applyNumberFormat="1" applyFont="1" applyFill="1" applyBorder="1" applyAlignment="1">
      <alignment horizontal="center" vertical="center" wrapText="1"/>
    </xf>
    <xf numFmtId="166" fontId="42" fillId="60" borderId="208" xfId="0" applyNumberFormat="1" applyFont="1" applyFill="1" applyBorder="1" applyAlignment="1">
      <alignment horizontal="center" vertical="center" wrapText="1"/>
    </xf>
    <xf numFmtId="166" fontId="42" fillId="60" borderId="209" xfId="0" applyNumberFormat="1" applyFont="1" applyFill="1" applyBorder="1" applyAlignment="1">
      <alignment horizontal="center" vertical="center" wrapText="1"/>
    </xf>
    <xf numFmtId="166" fontId="42" fillId="60" borderId="210" xfId="0" applyNumberFormat="1" applyFont="1" applyFill="1" applyBorder="1" applyAlignment="1">
      <alignment horizontal="center" vertical="center" wrapText="1"/>
    </xf>
    <xf numFmtId="166" fontId="26" fillId="7" borderId="208" xfId="0" applyNumberFormat="1" applyFont="1" applyFill="1" applyBorder="1" applyAlignment="1">
      <alignment horizontal="center" vertical="center" wrapText="1"/>
    </xf>
    <xf numFmtId="166" fontId="26" fillId="7" borderId="209" xfId="0" applyNumberFormat="1" applyFont="1" applyFill="1" applyBorder="1" applyAlignment="1">
      <alignment horizontal="center" vertical="center" wrapText="1"/>
    </xf>
    <xf numFmtId="166" fontId="26" fillId="7" borderId="210" xfId="0" applyNumberFormat="1" applyFont="1" applyFill="1" applyBorder="1" applyAlignment="1">
      <alignment horizontal="center" vertical="center" wrapText="1"/>
    </xf>
    <xf numFmtId="0" fontId="26" fillId="68" borderId="192" xfId="0" applyFont="1" applyFill="1" applyBorder="1" applyAlignment="1">
      <alignment horizontal="center" vertical="center"/>
    </xf>
    <xf numFmtId="0" fontId="26" fillId="68" borderId="193" xfId="0" applyFont="1" applyFill="1" applyBorder="1" applyAlignment="1">
      <alignment horizontal="center" vertical="center"/>
    </xf>
    <xf numFmtId="0" fontId="26" fillId="68" borderId="194" xfId="0" applyFont="1" applyFill="1" applyBorder="1" applyAlignment="1">
      <alignment horizontal="center" vertical="center"/>
    </xf>
    <xf numFmtId="0" fontId="26" fillId="67" borderId="192" xfId="0" applyFont="1" applyFill="1" applyBorder="1" applyAlignment="1">
      <alignment horizontal="center" vertical="center"/>
    </xf>
    <xf numFmtId="0" fontId="26" fillId="67" borderId="193" xfId="0" applyFont="1" applyFill="1" applyBorder="1" applyAlignment="1">
      <alignment horizontal="center" vertical="center"/>
    </xf>
    <xf numFmtId="0" fontId="26" fillId="67" borderId="194" xfId="0" applyFont="1" applyFill="1" applyBorder="1" applyAlignment="1">
      <alignment horizontal="center" vertical="center"/>
    </xf>
    <xf numFmtId="0" fontId="0" fillId="0" borderId="0" xfId="0" applyAlignment="1">
      <alignment horizontal="center"/>
    </xf>
    <xf numFmtId="0" fontId="26" fillId="19" borderId="73" xfId="0" applyFont="1" applyFill="1" applyBorder="1" applyAlignment="1">
      <alignment horizontal="center" vertical="center" wrapText="1"/>
    </xf>
    <xf numFmtId="0" fontId="26" fillId="19" borderId="142" xfId="0" applyFont="1" applyFill="1" applyBorder="1" applyAlignment="1">
      <alignment horizontal="center" vertical="center" wrapText="1"/>
    </xf>
    <xf numFmtId="0" fontId="26" fillId="54" borderId="29" xfId="0" applyFont="1" applyFill="1" applyBorder="1" applyAlignment="1">
      <alignment horizontal="center" vertical="center" wrapText="1"/>
    </xf>
    <xf numFmtId="0" fontId="26" fillId="54" borderId="34" xfId="0" applyFont="1" applyFill="1" applyBorder="1" applyAlignment="1">
      <alignment horizontal="center" vertical="center" wrapText="1"/>
    </xf>
    <xf numFmtId="0" fontId="26" fillId="19" borderId="34" xfId="0" applyFont="1" applyFill="1" applyBorder="1" applyAlignment="1">
      <alignment horizontal="center" vertical="center" wrapText="1"/>
    </xf>
    <xf numFmtId="166" fontId="26" fillId="55" borderId="192" xfId="0" applyNumberFormat="1" applyFont="1" applyFill="1" applyBorder="1" applyAlignment="1">
      <alignment horizontal="center" vertical="center" wrapText="1"/>
    </xf>
    <xf numFmtId="166" fontId="26" fillId="55" borderId="193" xfId="0" applyNumberFormat="1" applyFont="1" applyFill="1" applyBorder="1" applyAlignment="1">
      <alignment horizontal="center" vertical="center" wrapText="1"/>
    </xf>
    <xf numFmtId="166" fontId="26" fillId="55" borderId="194" xfId="0" applyNumberFormat="1" applyFont="1" applyFill="1" applyBorder="1" applyAlignment="1">
      <alignment horizontal="center" vertical="center" wrapText="1"/>
    </xf>
    <xf numFmtId="0" fontId="26" fillId="19" borderId="120" xfId="0" applyFont="1" applyFill="1" applyBorder="1" applyAlignment="1">
      <alignment horizontal="center" vertical="center" wrapText="1"/>
    </xf>
    <xf numFmtId="0" fontId="26" fillId="19" borderId="185" xfId="0" applyFont="1" applyFill="1" applyBorder="1" applyAlignment="1">
      <alignment horizontal="center" vertical="center" wrapText="1"/>
    </xf>
    <xf numFmtId="0" fontId="26" fillId="19" borderId="186" xfId="0" applyFont="1" applyFill="1" applyBorder="1" applyAlignment="1">
      <alignment horizontal="center" vertical="center" wrapText="1"/>
    </xf>
    <xf numFmtId="0" fontId="26" fillId="19" borderId="191" xfId="0" applyFont="1" applyFill="1" applyBorder="1" applyAlignment="1">
      <alignment horizontal="center" vertical="center" wrapText="1"/>
    </xf>
    <xf numFmtId="170" fontId="30" fillId="56" borderId="201" xfId="5" applyNumberFormat="1" applyFont="1" applyFill="1" applyBorder="1" applyAlignment="1">
      <alignment horizontal="center" vertical="center"/>
    </xf>
    <xf numFmtId="170" fontId="30" fillId="56" borderId="182" xfId="5" applyNumberFormat="1" applyFont="1" applyFill="1" applyBorder="1" applyAlignment="1">
      <alignment horizontal="center" vertical="center"/>
    </xf>
    <xf numFmtId="170" fontId="30" fillId="56" borderId="202" xfId="5" applyNumberFormat="1" applyFont="1" applyFill="1" applyBorder="1" applyAlignment="1">
      <alignment horizontal="center" vertical="center"/>
    </xf>
    <xf numFmtId="0" fontId="26" fillId="19" borderId="181" xfId="0" applyFont="1" applyFill="1" applyBorder="1" applyAlignment="1">
      <alignment horizontal="center" vertical="center" wrapText="1"/>
    </xf>
    <xf numFmtId="165" fontId="5" fillId="29" borderId="227" xfId="5" applyFont="1" applyFill="1" applyBorder="1" applyAlignment="1">
      <alignment horizontal="center" vertical="center" wrapText="1"/>
    </xf>
    <xf numFmtId="165" fontId="5" fillId="29" borderId="26" xfId="5" applyFont="1" applyFill="1" applyBorder="1" applyAlignment="1">
      <alignment horizontal="center" vertical="center" wrapText="1"/>
    </xf>
    <xf numFmtId="0" fontId="15" fillId="22" borderId="229" xfId="0" applyFont="1" applyFill="1" applyBorder="1" applyAlignment="1">
      <alignment horizontal="left" vertical="center"/>
    </xf>
    <xf numFmtId="0" fontId="8" fillId="0" borderId="111" xfId="0" applyFont="1" applyBorder="1" applyAlignment="1">
      <alignment horizontal="center" vertical="center" wrapText="1"/>
    </xf>
    <xf numFmtId="0" fontId="8" fillId="0" borderId="113" xfId="0" applyFont="1" applyBorder="1" applyAlignment="1">
      <alignment horizontal="center" vertical="center" wrapText="1"/>
    </xf>
    <xf numFmtId="0" fontId="8" fillId="0" borderId="95" xfId="0" applyFont="1" applyBorder="1" applyAlignment="1">
      <alignment horizontal="center" vertical="center" wrapText="1"/>
    </xf>
    <xf numFmtId="0" fontId="8" fillId="0" borderId="98" xfId="0" applyFont="1" applyBorder="1" applyAlignment="1">
      <alignment horizontal="center" vertical="center" wrapText="1"/>
    </xf>
    <xf numFmtId="0" fontId="8" fillId="0" borderId="64" xfId="0" applyFont="1" applyBorder="1" applyAlignment="1">
      <alignment horizontal="center" vertical="center" wrapText="1"/>
    </xf>
    <xf numFmtId="0" fontId="15" fillId="7" borderId="102" xfId="0" applyFont="1" applyFill="1" applyBorder="1" applyAlignment="1">
      <alignment horizontal="center" vertical="center"/>
    </xf>
    <xf numFmtId="0" fontId="15" fillId="7" borderId="22" xfId="0" applyFont="1" applyFill="1" applyBorder="1" applyAlignment="1">
      <alignment horizontal="center" vertical="center"/>
    </xf>
    <xf numFmtId="0" fontId="5" fillId="22" borderId="102" xfId="0" applyFont="1" applyFill="1" applyBorder="1" applyAlignment="1">
      <alignment horizontal="center" vertical="center"/>
    </xf>
    <xf numFmtId="0" fontId="5" fillId="22" borderId="23" xfId="0" applyFont="1" applyFill="1" applyBorder="1" applyAlignment="1">
      <alignment horizontal="center" vertical="center"/>
    </xf>
    <xf numFmtId="0" fontId="15" fillId="3" borderId="242" xfId="0" applyFont="1" applyFill="1" applyBorder="1" applyAlignment="1">
      <alignment horizontal="center" vertical="center"/>
    </xf>
    <xf numFmtId="0" fontId="15" fillId="3" borderId="240" xfId="0" applyFont="1" applyFill="1" applyBorder="1" applyAlignment="1">
      <alignment horizontal="center" vertical="center"/>
    </xf>
    <xf numFmtId="0" fontId="15" fillId="7" borderId="238" xfId="0" applyFont="1" applyFill="1" applyBorder="1" applyAlignment="1">
      <alignment horizontal="center" vertical="center" wrapText="1"/>
    </xf>
    <xf numFmtId="0" fontId="15" fillId="22" borderId="247" xfId="0" applyFont="1" applyFill="1" applyBorder="1" applyAlignment="1">
      <alignment horizontal="center" vertical="center"/>
    </xf>
    <xf numFmtId="0" fontId="15" fillId="22" borderId="99" xfId="0" applyFont="1" applyFill="1" applyBorder="1" applyAlignment="1">
      <alignment horizontal="center" vertical="center"/>
    </xf>
    <xf numFmtId="0" fontId="15" fillId="22" borderId="105" xfId="0" applyFont="1" applyFill="1" applyBorder="1" applyAlignment="1">
      <alignment horizontal="center" vertical="center"/>
    </xf>
    <xf numFmtId="0" fontId="5" fillId="22" borderId="103" xfId="0" applyFont="1" applyFill="1" applyBorder="1" applyAlignment="1">
      <alignment horizontal="center" vertical="center"/>
    </xf>
    <xf numFmtId="0" fontId="5" fillId="22" borderId="97" xfId="0" applyFont="1" applyFill="1" applyBorder="1" applyAlignment="1">
      <alignment horizontal="center" vertical="center"/>
    </xf>
    <xf numFmtId="0" fontId="15" fillId="3" borderId="239" xfId="0" applyFont="1" applyFill="1" applyBorder="1" applyAlignment="1">
      <alignment horizontal="center" vertical="center"/>
    </xf>
    <xf numFmtId="165" fontId="5" fillId="29" borderId="228" xfId="5" applyFont="1" applyFill="1" applyBorder="1" applyAlignment="1">
      <alignment horizontal="center" vertical="center" wrapText="1"/>
    </xf>
    <xf numFmtId="165" fontId="5" fillId="29" borderId="0" xfId="5" applyFont="1" applyFill="1" applyAlignment="1">
      <alignment horizontal="center" vertical="center" wrapText="1"/>
    </xf>
    <xf numFmtId="0" fontId="15" fillId="22" borderId="74" xfId="0" applyFont="1" applyFill="1" applyBorder="1" applyAlignment="1">
      <alignment horizontal="center" vertical="center"/>
    </xf>
    <xf numFmtId="0" fontId="15" fillId="3" borderId="74" xfId="0" applyFont="1" applyFill="1" applyBorder="1" applyAlignment="1">
      <alignment horizontal="center" vertical="center"/>
    </xf>
    <xf numFmtId="0" fontId="15" fillId="7" borderId="74" xfId="0" applyFont="1" applyFill="1" applyBorder="1" applyAlignment="1">
      <alignment horizontal="center" vertical="center" wrapText="1"/>
    </xf>
    <xf numFmtId="165" fontId="5" fillId="29" borderId="93" xfId="5" applyFont="1" applyFill="1" applyBorder="1" applyAlignment="1">
      <alignment horizontal="center" vertical="center" wrapText="1"/>
    </xf>
    <xf numFmtId="0" fontId="8" fillId="0" borderId="81" xfId="0" applyFont="1" applyBorder="1" applyAlignment="1">
      <alignment horizontal="center" vertical="center" wrapText="1"/>
    </xf>
    <xf numFmtId="0" fontId="15" fillId="7" borderId="21" xfId="0" applyFont="1" applyFill="1" applyBorder="1" applyAlignment="1">
      <alignment horizontal="center" vertical="center"/>
    </xf>
    <xf numFmtId="0" fontId="5" fillId="22" borderId="35" xfId="0" applyFont="1" applyFill="1" applyBorder="1" applyAlignment="1">
      <alignment horizontal="center" vertical="center"/>
    </xf>
    <xf numFmtId="0" fontId="8" fillId="2" borderId="89" xfId="0" applyFont="1" applyFill="1" applyBorder="1" applyAlignment="1">
      <alignment horizontal="center" vertical="center"/>
    </xf>
    <xf numFmtId="0" fontId="8" fillId="2" borderId="90" xfId="0" applyFont="1" applyFill="1" applyBorder="1" applyAlignment="1">
      <alignment horizontal="center" vertical="center"/>
    </xf>
    <xf numFmtId="0" fontId="3" fillId="21" borderId="0" xfId="4" applyFill="1" applyBorder="1" applyAlignment="1" applyProtection="1">
      <alignment horizontal="left" vertical="center" indent="2"/>
    </xf>
    <xf numFmtId="0" fontId="15" fillId="7" borderId="91" xfId="0" applyFont="1" applyFill="1" applyBorder="1" applyAlignment="1">
      <alignment horizontal="center" vertical="center"/>
    </xf>
    <xf numFmtId="0" fontId="5" fillId="22" borderId="91" xfId="0" applyFont="1" applyFill="1" applyBorder="1" applyAlignment="1">
      <alignment horizontal="center" vertical="center"/>
    </xf>
    <xf numFmtId="0" fontId="15" fillId="3" borderId="91" xfId="0" applyFont="1" applyFill="1" applyBorder="1" applyAlignment="1">
      <alignment horizontal="center" vertical="center"/>
    </xf>
    <xf numFmtId="0" fontId="15" fillId="3" borderId="22" xfId="0" applyFont="1" applyFill="1" applyBorder="1" applyAlignment="1">
      <alignment horizontal="center" vertical="center"/>
    </xf>
    <xf numFmtId="0" fontId="15" fillId="7" borderId="91" xfId="0" applyFont="1" applyFill="1" applyBorder="1" applyAlignment="1">
      <alignment horizontal="center" vertical="center" wrapText="1"/>
    </xf>
    <xf numFmtId="0" fontId="15" fillId="7" borderId="22" xfId="0" applyFont="1" applyFill="1" applyBorder="1" applyAlignment="1">
      <alignment horizontal="center" vertical="center" wrapText="1"/>
    </xf>
    <xf numFmtId="0" fontId="15" fillId="22" borderId="89" xfId="0" applyFont="1" applyFill="1" applyBorder="1" applyAlignment="1">
      <alignment horizontal="center" vertical="center"/>
    </xf>
    <xf numFmtId="0" fontId="15" fillId="22" borderId="92" xfId="0" applyFont="1" applyFill="1" applyBorder="1" applyAlignment="1">
      <alignment horizontal="center" vertical="center"/>
    </xf>
    <xf numFmtId="0" fontId="15" fillId="22" borderId="90" xfId="0" applyFont="1" applyFill="1" applyBorder="1" applyAlignment="1">
      <alignment horizontal="center" vertical="center"/>
    </xf>
    <xf numFmtId="0" fontId="8" fillId="2" borderId="237" xfId="7" applyFont="1" applyFill="1" applyBorder="1" applyAlignment="1" applyProtection="1">
      <alignment horizontal="left" vertical="center" wrapText="1"/>
      <protection locked="0"/>
    </xf>
    <xf numFmtId="0" fontId="8" fillId="2" borderId="62" xfId="7" applyFont="1" applyFill="1" applyBorder="1" applyAlignment="1" applyProtection="1">
      <alignment horizontal="left" vertical="center" wrapText="1"/>
      <protection locked="0"/>
    </xf>
    <xf numFmtId="0" fontId="8" fillId="2" borderId="129" xfId="7" applyFont="1" applyFill="1" applyBorder="1" applyAlignment="1" applyProtection="1">
      <alignment horizontal="left" vertical="center" wrapText="1"/>
      <protection locked="0"/>
    </xf>
    <xf numFmtId="0" fontId="21" fillId="43" borderId="237" xfId="7" applyFont="1" applyFill="1" applyBorder="1" applyAlignment="1">
      <alignment horizontal="center" vertical="center" textRotation="90" wrapText="1"/>
    </xf>
    <xf numFmtId="0" fontId="21" fillId="43" borderId="62" xfId="7" applyFont="1" applyFill="1" applyBorder="1" applyAlignment="1">
      <alignment horizontal="center" vertical="center" textRotation="90" wrapText="1"/>
    </xf>
    <xf numFmtId="0" fontId="21" fillId="43" borderId="129" xfId="7" applyFont="1" applyFill="1" applyBorder="1" applyAlignment="1">
      <alignment horizontal="center" vertical="center" textRotation="90" wrapText="1"/>
    </xf>
    <xf numFmtId="0" fontId="8" fillId="43" borderId="237" xfId="7" applyFont="1" applyFill="1" applyBorder="1" applyAlignment="1">
      <alignment horizontal="left" vertical="center" wrapText="1"/>
    </xf>
    <xf numFmtId="0" fontId="8" fillId="43" borderId="62" xfId="7" applyFont="1" applyFill="1" applyBorder="1" applyAlignment="1">
      <alignment horizontal="left" vertical="center" wrapText="1"/>
    </xf>
    <xf numFmtId="0" fontId="8" fillId="43" borderId="129" xfId="7" applyFont="1" applyFill="1" applyBorder="1" applyAlignment="1">
      <alignment horizontal="left" vertical="center" wrapText="1"/>
    </xf>
    <xf numFmtId="0" fontId="19" fillId="43" borderId="194" xfId="7" applyFont="1" applyFill="1" applyBorder="1" applyAlignment="1">
      <alignment horizontal="center" vertical="center" textRotation="90" wrapText="1"/>
    </xf>
    <xf numFmtId="0" fontId="19" fillId="43" borderId="41" xfId="7" applyFont="1" applyFill="1" applyBorder="1" applyAlignment="1">
      <alignment horizontal="center" vertical="center" textRotation="90" wrapText="1"/>
    </xf>
    <xf numFmtId="0" fontId="19" fillId="43" borderId="58" xfId="7" applyFont="1" applyFill="1" applyBorder="1" applyAlignment="1">
      <alignment horizontal="center" vertical="center" textRotation="90" wrapText="1"/>
    </xf>
    <xf numFmtId="178" fontId="7" fillId="40" borderId="66" xfId="7" applyNumberFormat="1" applyFill="1" applyBorder="1" applyAlignment="1">
      <alignment horizontal="center" vertical="center"/>
    </xf>
    <xf numFmtId="178" fontId="7" fillId="40" borderId="68" xfId="7" applyNumberFormat="1" applyFill="1" applyBorder="1" applyAlignment="1">
      <alignment horizontal="center" vertical="center"/>
    </xf>
    <xf numFmtId="0" fontId="9" fillId="42" borderId="212" xfId="7" applyFont="1" applyFill="1" applyBorder="1" applyAlignment="1">
      <alignment horizontal="center" vertical="center"/>
    </xf>
    <xf numFmtId="0" fontId="9" fillId="42" borderId="213" xfId="7" applyFont="1" applyFill="1" applyBorder="1" applyAlignment="1">
      <alignment horizontal="center" vertical="center"/>
    </xf>
    <xf numFmtId="0" fontId="9" fillId="43" borderId="235" xfId="7" applyFont="1" applyFill="1" applyBorder="1" applyAlignment="1">
      <alignment horizontal="center" vertical="center"/>
    </xf>
    <xf numFmtId="0" fontId="9" fillId="43" borderId="213" xfId="7" applyFont="1" applyFill="1" applyBorder="1" applyAlignment="1">
      <alignment horizontal="center" vertical="center"/>
    </xf>
    <xf numFmtId="0" fontId="9" fillId="41" borderId="214" xfId="7" applyFont="1" applyFill="1" applyBorder="1" applyAlignment="1">
      <alignment horizontal="center" vertical="center"/>
    </xf>
    <xf numFmtId="0" fontId="9" fillId="41" borderId="122" xfId="7" applyFont="1" applyFill="1" applyBorder="1" applyAlignment="1">
      <alignment horizontal="center" vertical="center"/>
    </xf>
    <xf numFmtId="0" fontId="9" fillId="42" borderId="214" xfId="7" applyFont="1" applyFill="1" applyBorder="1" applyAlignment="1">
      <alignment horizontal="center" vertical="center"/>
    </xf>
    <xf numFmtId="0" fontId="9" fillId="42" borderId="122" xfId="7" applyFont="1" applyFill="1" applyBorder="1" applyAlignment="1">
      <alignment horizontal="center" vertical="center"/>
    </xf>
    <xf numFmtId="0" fontId="9" fillId="43" borderId="214" xfId="7" applyFont="1" applyFill="1" applyBorder="1" applyAlignment="1">
      <alignment horizontal="center" vertical="center"/>
    </xf>
    <xf numFmtId="0" fontId="9" fillId="43" borderId="122" xfId="7" applyFont="1" applyFill="1" applyBorder="1" applyAlignment="1">
      <alignment horizontal="center" vertical="center"/>
    </xf>
    <xf numFmtId="0" fontId="18" fillId="41" borderId="53" xfId="7" applyFont="1" applyFill="1" applyBorder="1" applyAlignment="1">
      <alignment horizontal="center" vertical="center"/>
    </xf>
    <xf numFmtId="0" fontId="18" fillId="41" borderId="179" xfId="7" applyFont="1" applyFill="1" applyBorder="1" applyAlignment="1">
      <alignment horizontal="center" vertical="center"/>
    </xf>
    <xf numFmtId="0" fontId="18" fillId="42" borderId="53" xfId="7" applyFont="1" applyFill="1" applyBorder="1" applyAlignment="1">
      <alignment horizontal="center" vertical="center"/>
    </xf>
    <xf numFmtId="0" fontId="18" fillId="42" borderId="179" xfId="7" applyFont="1" applyFill="1" applyBorder="1" applyAlignment="1">
      <alignment horizontal="center" vertical="center"/>
    </xf>
    <xf numFmtId="0" fontId="18" fillId="43" borderId="53" xfId="7" applyFont="1" applyFill="1" applyBorder="1" applyAlignment="1">
      <alignment horizontal="center" vertical="center"/>
    </xf>
    <xf numFmtId="0" fontId="18" fillId="43" borderId="179" xfId="7" applyFont="1" applyFill="1" applyBorder="1" applyAlignment="1">
      <alignment horizontal="center" vertical="center"/>
    </xf>
    <xf numFmtId="0" fontId="9" fillId="43" borderId="114" xfId="7" applyFont="1" applyFill="1" applyBorder="1" applyAlignment="1">
      <alignment horizontal="center" vertical="center"/>
    </xf>
    <xf numFmtId="0" fontId="9" fillId="43" borderId="194" xfId="7" applyFont="1" applyFill="1" applyBorder="1" applyAlignment="1">
      <alignment horizontal="center" vertical="center"/>
    </xf>
    <xf numFmtId="0" fontId="5" fillId="7" borderId="237" xfId="7" applyFont="1" applyFill="1" applyBorder="1" applyAlignment="1">
      <alignment horizontal="center" vertical="center" wrapText="1"/>
    </xf>
    <xf numFmtId="0" fontId="5" fillId="7" borderId="58" xfId="7" applyFont="1" applyFill="1" applyBorder="1" applyAlignment="1">
      <alignment horizontal="center" vertical="center" wrapText="1"/>
    </xf>
    <xf numFmtId="0" fontId="5" fillId="22" borderId="237" xfId="7" applyFont="1" applyFill="1" applyBorder="1" applyAlignment="1">
      <alignment horizontal="center" vertical="center" wrapText="1"/>
    </xf>
    <xf numFmtId="0" fontId="5" fillId="22" borderId="333" xfId="7" applyFont="1" applyFill="1" applyBorder="1" applyAlignment="1">
      <alignment horizontal="center" vertical="center" wrapText="1"/>
    </xf>
    <xf numFmtId="0" fontId="15" fillId="3" borderId="176" xfId="7" applyFont="1" applyFill="1" applyBorder="1" applyAlignment="1">
      <alignment horizontal="center" vertical="center" wrapText="1"/>
    </xf>
    <xf numFmtId="0" fontId="15" fillId="3" borderId="337" xfId="7" applyFont="1" applyFill="1" applyBorder="1" applyAlignment="1">
      <alignment horizontal="center" vertical="center" wrapText="1"/>
    </xf>
    <xf numFmtId="0" fontId="15" fillId="7" borderId="178" xfId="7" applyFont="1" applyFill="1" applyBorder="1" applyAlignment="1">
      <alignment horizontal="center" vertical="center" wrapText="1"/>
    </xf>
    <xf numFmtId="0" fontId="15" fillId="7" borderId="336" xfId="7" applyFont="1" applyFill="1" applyBorder="1" applyAlignment="1">
      <alignment horizontal="center" vertical="center" wrapText="1"/>
    </xf>
    <xf numFmtId="0" fontId="5" fillId="7" borderId="268" xfId="7" applyFont="1" applyFill="1" applyBorder="1" applyAlignment="1">
      <alignment horizontal="center" vertical="center" wrapText="1"/>
    </xf>
    <xf numFmtId="0" fontId="5" fillId="7" borderId="283" xfId="7" applyFont="1" applyFill="1" applyBorder="1" applyAlignment="1">
      <alignment horizontal="center" vertical="center" wrapText="1"/>
    </xf>
    <xf numFmtId="0" fontId="11" fillId="7" borderId="269" xfId="7" applyFont="1" applyFill="1" applyBorder="1" applyAlignment="1">
      <alignment horizontal="center" vertical="center" wrapText="1"/>
    </xf>
    <xf numFmtId="0" fontId="11" fillId="7" borderId="114" xfId="7" applyFont="1" applyFill="1" applyBorder="1" applyAlignment="1">
      <alignment horizontal="center" vertical="center" wrapText="1"/>
    </xf>
    <xf numFmtId="0" fontId="11" fillId="7" borderId="194" xfId="7" applyFont="1" applyFill="1" applyBorder="1" applyAlignment="1">
      <alignment horizontal="center" vertical="center" wrapText="1"/>
    </xf>
    <xf numFmtId="0" fontId="5" fillId="40" borderId="237" xfId="7" applyFont="1" applyFill="1" applyBorder="1" applyAlignment="1">
      <alignment horizontal="center" vertical="center" wrapText="1"/>
    </xf>
    <xf numFmtId="0" fontId="5" fillId="40" borderId="62" xfId="7" applyFont="1" applyFill="1" applyBorder="1" applyAlignment="1">
      <alignment horizontal="center" vertical="center" wrapText="1"/>
    </xf>
    <xf numFmtId="0" fontId="9" fillId="43" borderId="66" xfId="7" applyFont="1" applyFill="1" applyBorder="1" applyAlignment="1">
      <alignment horizontal="center" vertical="center"/>
    </xf>
    <xf numFmtId="0" fontId="9" fillId="43" borderId="68" xfId="7" applyFont="1" applyFill="1" applyBorder="1" applyAlignment="1">
      <alignment horizontal="center" vertical="center"/>
    </xf>
    <xf numFmtId="0" fontId="3" fillId="19" borderId="0" xfId="12" applyFill="1" applyBorder="1" applyAlignment="1" applyProtection="1">
      <alignment horizontal="center" vertical="center" wrapText="1"/>
    </xf>
    <xf numFmtId="0" fontId="3" fillId="19" borderId="0" xfId="12" applyFill="1" applyBorder="1" applyAlignment="1" applyProtection="1">
      <alignment horizontal="center" vertical="center"/>
    </xf>
    <xf numFmtId="0" fontId="3" fillId="0" borderId="0" xfId="12" applyBorder="1" applyAlignment="1" applyProtection="1">
      <alignment horizontal="center" vertical="center" wrapText="1"/>
    </xf>
    <xf numFmtId="0" fontId="9" fillId="41" borderId="212" xfId="7" applyFont="1" applyFill="1" applyBorder="1" applyAlignment="1">
      <alignment horizontal="center" vertical="center"/>
    </xf>
    <xf numFmtId="0" fontId="9" fillId="41" borderId="236" xfId="7" applyFont="1" applyFill="1" applyBorder="1" applyAlignment="1">
      <alignment horizontal="center" vertical="center"/>
    </xf>
    <xf numFmtId="0" fontId="5" fillId="0" borderId="0" xfId="7" applyFont="1" applyAlignment="1">
      <alignment horizontal="center" vertical="center"/>
    </xf>
    <xf numFmtId="0" fontId="5" fillId="7" borderId="192" xfId="7" applyFont="1" applyFill="1" applyBorder="1" applyAlignment="1">
      <alignment horizontal="center" vertical="center" wrapText="1"/>
    </xf>
    <xf numFmtId="0" fontId="5" fillId="7" borderId="267" xfId="7" applyFont="1" applyFill="1" applyBorder="1" applyAlignment="1">
      <alignment horizontal="center" vertical="center" wrapText="1"/>
    </xf>
    <xf numFmtId="0" fontId="5" fillId="7" borderId="49" xfId="7" applyFont="1" applyFill="1" applyBorder="1" applyAlignment="1">
      <alignment horizontal="center" vertical="center" wrapText="1"/>
    </xf>
    <xf numFmtId="0" fontId="5" fillId="7" borderId="263" xfId="7" applyFont="1" applyFill="1" applyBorder="1" applyAlignment="1">
      <alignment horizontal="center" vertical="center" wrapText="1"/>
    </xf>
    <xf numFmtId="0" fontId="5" fillId="7" borderId="268" xfId="7" applyFont="1" applyFill="1" applyBorder="1" applyAlignment="1">
      <alignment horizontal="center" vertical="center"/>
    </xf>
    <xf numFmtId="0" fontId="5" fillId="7" borderId="283" xfId="7" applyFont="1" applyFill="1" applyBorder="1" applyAlignment="1">
      <alignment horizontal="center" vertical="center"/>
    </xf>
    <xf numFmtId="0" fontId="8" fillId="0" borderId="120"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53" xfId="0" applyFont="1" applyBorder="1" applyAlignment="1">
      <alignment horizontal="center" vertical="center" wrapText="1"/>
    </xf>
    <xf numFmtId="0" fontId="8" fillId="7" borderId="120" xfId="0" applyFont="1" applyFill="1" applyBorder="1" applyAlignment="1">
      <alignment horizontal="center" vertical="center"/>
    </xf>
    <xf numFmtId="0" fontId="8" fillId="7" borderId="121" xfId="0" applyFont="1" applyFill="1" applyBorder="1" applyAlignment="1">
      <alignment horizontal="center" vertical="center"/>
    </xf>
    <xf numFmtId="0" fontId="8" fillId="7" borderId="122" xfId="0" applyFont="1" applyFill="1" applyBorder="1" applyAlignment="1">
      <alignment horizontal="center" vertical="center"/>
    </xf>
    <xf numFmtId="9" fontId="0" fillId="1" borderId="37" xfId="3" applyFont="1" applyFill="1" applyBorder="1" applyAlignment="1" applyProtection="1">
      <alignment horizontal="center" vertical="center"/>
    </xf>
    <xf numFmtId="9" fontId="0" fillId="1" borderId="147" xfId="3" applyFont="1" applyFill="1" applyBorder="1" applyAlignment="1" applyProtection="1">
      <alignment horizontal="center" vertical="center"/>
    </xf>
    <xf numFmtId="9" fontId="0" fillId="1" borderId="0" xfId="3" applyFont="1" applyFill="1" applyBorder="1" applyAlignment="1" applyProtection="1">
      <alignment horizontal="center" vertical="center"/>
    </xf>
    <xf numFmtId="9" fontId="0" fillId="1" borderId="41" xfId="3" applyFont="1" applyFill="1" applyBorder="1" applyAlignment="1" applyProtection="1">
      <alignment horizontal="center" vertical="center"/>
    </xf>
    <xf numFmtId="9" fontId="0" fillId="1" borderId="57" xfId="3" applyFont="1" applyFill="1" applyBorder="1" applyAlignment="1" applyProtection="1">
      <alignment horizontal="center" vertical="center"/>
    </xf>
    <xf numFmtId="9" fontId="0" fillId="1" borderId="58" xfId="3" applyFont="1" applyFill="1" applyBorder="1" applyAlignment="1" applyProtection="1">
      <alignment horizontal="center" vertical="center"/>
    </xf>
    <xf numFmtId="0" fontId="8" fillId="2" borderId="77" xfId="0" applyFont="1" applyFill="1" applyBorder="1" applyAlignment="1">
      <alignment horizontal="center" vertical="center"/>
    </xf>
    <xf numFmtId="0" fontId="8" fillId="2" borderId="79" xfId="0" applyFont="1" applyFill="1" applyBorder="1" applyAlignment="1">
      <alignment horizontal="center" vertical="center"/>
    </xf>
    <xf numFmtId="0" fontId="5" fillId="3" borderId="124" xfId="0" applyFont="1" applyFill="1" applyBorder="1" applyAlignment="1">
      <alignment horizontal="center" vertical="center" wrapText="1"/>
    </xf>
    <xf numFmtId="0" fontId="5" fillId="3" borderId="131" xfId="0" applyFont="1" applyFill="1" applyBorder="1" applyAlignment="1">
      <alignment horizontal="center" vertical="center" wrapText="1"/>
    </xf>
    <xf numFmtId="0" fontId="5" fillId="3" borderId="125" xfId="0" applyFont="1" applyFill="1" applyBorder="1" applyAlignment="1">
      <alignment horizontal="center" vertical="center" wrapText="1"/>
    </xf>
    <xf numFmtId="0" fontId="5" fillId="3" borderId="127" xfId="0" applyFont="1" applyFill="1" applyBorder="1" applyAlignment="1">
      <alignment horizontal="center" vertical="center" wrapText="1"/>
    </xf>
    <xf numFmtId="0" fontId="10" fillId="53" borderId="120" xfId="0" applyFont="1" applyFill="1" applyBorder="1" applyAlignment="1">
      <alignment horizontal="center" vertical="center"/>
    </xf>
    <xf numFmtId="0" fontId="10" fillId="53" borderId="121" xfId="0" applyFont="1" applyFill="1" applyBorder="1" applyAlignment="1">
      <alignment horizontal="center" vertical="center"/>
    </xf>
    <xf numFmtId="0" fontId="10" fillId="53" borderId="122" xfId="0" applyFont="1" applyFill="1" applyBorder="1" applyAlignment="1">
      <alignment horizontal="center" vertical="center"/>
    </xf>
    <xf numFmtId="0" fontId="8" fillId="21" borderId="119" xfId="0" applyFont="1" applyFill="1" applyBorder="1" applyAlignment="1">
      <alignment horizontal="center" vertical="center" wrapText="1"/>
    </xf>
    <xf numFmtId="0" fontId="8" fillId="21" borderId="62" xfId="0" applyFont="1" applyFill="1" applyBorder="1" applyAlignment="1">
      <alignment horizontal="center" vertical="center" wrapText="1"/>
    </xf>
    <xf numFmtId="0" fontId="8" fillId="21" borderId="129" xfId="0" applyFont="1" applyFill="1" applyBorder="1" applyAlignment="1">
      <alignment horizontal="center" vertical="center" wrapText="1"/>
    </xf>
    <xf numFmtId="178" fontId="8" fillId="23" borderId="194" xfId="0" applyNumberFormat="1" applyFont="1" applyFill="1" applyBorder="1" applyAlignment="1">
      <alignment horizontal="right" vertical="center"/>
    </xf>
    <xf numFmtId="178" fontId="8" fillId="23" borderId="41" xfId="0" applyNumberFormat="1" applyFont="1" applyFill="1" applyBorder="1" applyAlignment="1">
      <alignment horizontal="right" vertical="center"/>
    </xf>
    <xf numFmtId="178" fontId="8" fillId="23" borderId="58" xfId="0" applyNumberFormat="1" applyFont="1" applyFill="1" applyBorder="1" applyAlignment="1">
      <alignment horizontal="right" vertical="center"/>
    </xf>
    <xf numFmtId="0" fontId="5" fillId="7" borderId="132"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7" borderId="123" xfId="0" applyFont="1" applyFill="1" applyBorder="1" applyAlignment="1">
      <alignment horizontal="center" vertical="center" wrapText="1"/>
    </xf>
    <xf numFmtId="0" fontId="5" fillId="7" borderId="83" xfId="0" applyFont="1" applyFill="1" applyBorder="1" applyAlignment="1">
      <alignment horizontal="center" vertical="center" wrapText="1"/>
    </xf>
    <xf numFmtId="0" fontId="5" fillId="44" borderId="31" xfId="0" applyFont="1" applyFill="1" applyBorder="1" applyAlignment="1">
      <alignment horizontal="center" vertical="center" wrapText="1"/>
    </xf>
    <xf numFmtId="0" fontId="5" fillId="44" borderId="252" xfId="0" applyFont="1" applyFill="1" applyBorder="1" applyAlignment="1">
      <alignment horizontal="center" vertical="center" wrapText="1"/>
    </xf>
    <xf numFmtId="0" fontId="5" fillId="44" borderId="122" xfId="0" applyFont="1" applyFill="1" applyBorder="1" applyAlignment="1">
      <alignment horizontal="center" vertical="center" wrapText="1"/>
    </xf>
    <xf numFmtId="0" fontId="5" fillId="44" borderId="153" xfId="0" applyFont="1" applyFill="1" applyBorder="1" applyAlignment="1">
      <alignment horizontal="center" vertical="center" wrapText="1"/>
    </xf>
    <xf numFmtId="0" fontId="12" fillId="21" borderId="0" xfId="0" applyFont="1" applyFill="1" applyAlignment="1">
      <alignment horizontal="left" vertical="center" indent="2"/>
    </xf>
    <xf numFmtId="0" fontId="5" fillId="7" borderId="31" xfId="0" applyFont="1" applyFill="1" applyBorder="1" applyAlignment="1">
      <alignment horizontal="center" vertical="center" wrapText="1"/>
    </xf>
    <xf numFmtId="0" fontId="5" fillId="7" borderId="54" xfId="0" applyFont="1" applyFill="1" applyBorder="1" applyAlignment="1">
      <alignment horizontal="center" vertical="center" wrapText="1"/>
    </xf>
    <xf numFmtId="0" fontId="5" fillId="7" borderId="121" xfId="0" applyFont="1" applyFill="1" applyBorder="1" applyAlignment="1">
      <alignment horizontal="center" vertical="center" wrapText="1"/>
    </xf>
    <xf numFmtId="0" fontId="5" fillId="7" borderId="152" xfId="0" applyFont="1" applyFill="1" applyBorder="1" applyAlignment="1">
      <alignment horizontal="center" vertical="center" wrapText="1"/>
    </xf>
    <xf numFmtId="0" fontId="5" fillId="7" borderId="124" xfId="0" applyFont="1" applyFill="1" applyBorder="1" applyAlignment="1">
      <alignment horizontal="center" vertical="center"/>
    </xf>
    <xf numFmtId="0" fontId="5" fillId="7" borderId="55" xfId="0" applyFont="1" applyFill="1" applyBorder="1" applyAlignment="1">
      <alignment horizontal="center" vertical="center"/>
    </xf>
    <xf numFmtId="0" fontId="5" fillId="7" borderId="132" xfId="0" applyFont="1" applyFill="1" applyBorder="1" applyAlignment="1">
      <alignment horizontal="center" vertical="center"/>
    </xf>
    <xf numFmtId="0" fontId="5" fillId="7" borderId="18" xfId="0" applyFont="1" applyFill="1" applyBorder="1" applyAlignment="1">
      <alignment horizontal="center" vertical="center"/>
    </xf>
    <xf numFmtId="0" fontId="11" fillId="0" borderId="214" xfId="0" applyFont="1" applyBorder="1" applyAlignment="1">
      <alignment horizontal="center" vertical="center" wrapText="1"/>
    </xf>
    <xf numFmtId="0" fontId="11" fillId="0" borderId="185" xfId="0" applyFont="1" applyBorder="1" applyAlignment="1">
      <alignment horizontal="center" vertical="center" wrapText="1"/>
    </xf>
    <xf numFmtId="0" fontId="11" fillId="0" borderId="53" xfId="0" applyFont="1" applyBorder="1" applyAlignment="1">
      <alignment horizontal="center" vertical="center" wrapText="1"/>
    </xf>
    <xf numFmtId="0" fontId="8" fillId="2" borderId="159" xfId="0" applyFont="1" applyFill="1" applyBorder="1" applyAlignment="1">
      <alignment horizontal="center" vertical="center"/>
    </xf>
    <xf numFmtId="0" fontId="8" fillId="2" borderId="160" xfId="0" applyFont="1" applyFill="1" applyBorder="1" applyAlignment="1">
      <alignment horizontal="center" vertical="center"/>
    </xf>
    <xf numFmtId="0" fontId="0" fillId="48" borderId="127" xfId="0" applyFill="1" applyBorder="1" applyAlignment="1">
      <alignment horizontal="left" vertical="center" wrapText="1"/>
    </xf>
    <xf numFmtId="0" fontId="0" fillId="48" borderId="37" xfId="0" applyFill="1" applyBorder="1" applyAlignment="1">
      <alignment horizontal="left" vertical="center" wrapText="1"/>
    </xf>
    <xf numFmtId="0" fontId="0" fillId="48" borderId="140" xfId="0" applyFill="1" applyBorder="1" applyAlignment="1">
      <alignment horizontal="left" vertical="center" wrapText="1"/>
    </xf>
    <xf numFmtId="0" fontId="0" fillId="48" borderId="65" xfId="0" applyFill="1" applyBorder="1" applyAlignment="1">
      <alignment horizontal="left" vertical="center" wrapText="1"/>
    </xf>
    <xf numFmtId="0" fontId="0" fillId="48" borderId="0" xfId="0" applyFill="1" applyAlignment="1">
      <alignment horizontal="left" vertical="center" wrapText="1"/>
    </xf>
    <xf numFmtId="0" fontId="0" fillId="48" borderId="161" xfId="0" applyFill="1" applyBorder="1" applyAlignment="1">
      <alignment horizontal="left" vertical="center" wrapText="1"/>
    </xf>
    <xf numFmtId="0" fontId="0" fillId="48" borderId="144" xfId="0" applyFill="1" applyBorder="1" applyAlignment="1">
      <alignment horizontal="left" vertical="center" wrapText="1"/>
    </xf>
    <xf numFmtId="0" fontId="0" fillId="48" borderId="82" xfId="0" applyFill="1" applyBorder="1" applyAlignment="1">
      <alignment horizontal="left" vertical="center" wrapText="1"/>
    </xf>
    <xf numFmtId="0" fontId="0" fillId="48" borderId="112" xfId="0" applyFill="1" applyBorder="1" applyAlignment="1">
      <alignment horizontal="left" vertical="center" wrapText="1"/>
    </xf>
    <xf numFmtId="0" fontId="13" fillId="0" borderId="0" xfId="0" applyFont="1" applyAlignment="1">
      <alignment horizontal="center" vertical="center" wrapText="1"/>
    </xf>
    <xf numFmtId="0" fontId="5" fillId="3" borderId="162" xfId="0" applyFont="1" applyFill="1" applyBorder="1" applyAlignment="1">
      <alignment horizontal="center" vertical="center" wrapText="1"/>
    </xf>
    <xf numFmtId="0" fontId="5" fillId="3" borderId="217" xfId="0" applyFont="1" applyFill="1" applyBorder="1" applyAlignment="1">
      <alignment horizontal="center" vertical="center" wrapText="1"/>
    </xf>
    <xf numFmtId="166" fontId="10" fillId="13" borderId="42" xfId="0" applyNumberFormat="1" applyFont="1" applyFill="1" applyBorder="1" applyAlignment="1">
      <alignment horizontal="center" vertical="center" wrapText="1"/>
    </xf>
    <xf numFmtId="166" fontId="10" fillId="13" borderId="215" xfId="0" applyNumberFormat="1" applyFont="1" applyFill="1" applyBorder="1" applyAlignment="1">
      <alignment horizontal="center" vertical="center" wrapText="1"/>
    </xf>
    <xf numFmtId="166" fontId="10" fillId="13" borderId="213" xfId="0" applyNumberFormat="1" applyFont="1" applyFill="1" applyBorder="1" applyAlignment="1">
      <alignment horizontal="center" vertical="center" wrapText="1"/>
    </xf>
    <xf numFmtId="165" fontId="5" fillId="7" borderId="42" xfId="5" applyFont="1" applyFill="1" applyBorder="1" applyAlignment="1">
      <alignment horizontal="center" vertical="center"/>
    </xf>
    <xf numFmtId="165" fontId="5" fillId="7" borderId="215" xfId="5" applyFont="1" applyFill="1" applyBorder="1" applyAlignment="1">
      <alignment horizontal="center" vertical="center"/>
    </xf>
    <xf numFmtId="165" fontId="5" fillId="7" borderId="213" xfId="5" applyFont="1" applyFill="1" applyBorder="1" applyAlignment="1">
      <alignment horizontal="center" vertical="center"/>
    </xf>
    <xf numFmtId="0" fontId="5" fillId="7" borderId="126" xfId="0" applyFont="1" applyFill="1" applyBorder="1" applyAlignment="1">
      <alignment horizontal="center" vertical="center"/>
    </xf>
    <xf numFmtId="0" fontId="5" fillId="7" borderId="213" xfId="0" applyFont="1" applyFill="1" applyBorder="1" applyAlignment="1">
      <alignment horizontal="center" vertical="center"/>
    </xf>
    <xf numFmtId="0" fontId="5" fillId="7" borderId="211" xfId="0" applyFont="1" applyFill="1" applyBorder="1" applyAlignment="1">
      <alignment horizontal="center" vertical="center"/>
    </xf>
    <xf numFmtId="0" fontId="5" fillId="7" borderId="122" xfId="0" applyFont="1" applyFill="1" applyBorder="1" applyAlignment="1">
      <alignment horizontal="center" vertical="center" wrapText="1"/>
    </xf>
    <xf numFmtId="0" fontId="5" fillId="7" borderId="220" xfId="0" applyFont="1" applyFill="1" applyBorder="1" applyAlignment="1">
      <alignment horizontal="center" vertical="center" wrapText="1"/>
    </xf>
    <xf numFmtId="0" fontId="33" fillId="0" borderId="148" xfId="0" applyFont="1" applyBorder="1" applyAlignment="1">
      <alignment horizontal="center" vertical="center"/>
    </xf>
    <xf numFmtId="0" fontId="33" fillId="0" borderId="0" xfId="0" applyFont="1" applyAlignment="1">
      <alignment horizontal="center" vertical="center"/>
    </xf>
    <xf numFmtId="0" fontId="33" fillId="0" borderId="327" xfId="0" applyFont="1" applyBorder="1" applyAlignment="1">
      <alignment horizontal="center" vertical="center"/>
    </xf>
    <xf numFmtId="0" fontId="49" fillId="2" borderId="357" xfId="0" applyFont="1" applyFill="1" applyBorder="1" applyAlignment="1">
      <alignment horizontal="center" vertical="center"/>
    </xf>
    <xf numFmtId="0" fontId="49" fillId="2" borderId="358" xfId="0" applyFont="1" applyFill="1" applyBorder="1" applyAlignment="1">
      <alignment horizontal="center" vertical="center"/>
    </xf>
    <xf numFmtId="0" fontId="49" fillId="2" borderId="359" xfId="0" applyFont="1" applyFill="1" applyBorder="1" applyAlignment="1">
      <alignment horizontal="center" vertical="center"/>
    </xf>
    <xf numFmtId="0" fontId="49" fillId="64" borderId="324" xfId="0" applyFont="1" applyFill="1" applyBorder="1" applyAlignment="1">
      <alignment horizontal="center" vertical="center"/>
    </xf>
    <xf numFmtId="0" fontId="49" fillId="64" borderId="325" xfId="0" applyFont="1" applyFill="1" applyBorder="1" applyAlignment="1">
      <alignment horizontal="center" vertical="center"/>
    </xf>
    <xf numFmtId="0" fontId="49" fillId="64" borderId="322" xfId="0" applyFont="1" applyFill="1" applyBorder="1" applyAlignment="1">
      <alignment horizontal="center" vertical="center"/>
    </xf>
    <xf numFmtId="0" fontId="49" fillId="58" borderId="324" xfId="0" applyFont="1" applyFill="1" applyBorder="1" applyAlignment="1">
      <alignment horizontal="center" vertical="center"/>
    </xf>
    <xf numFmtId="0" fontId="49" fillId="58" borderId="325" xfId="0" applyFont="1" applyFill="1" applyBorder="1" applyAlignment="1">
      <alignment horizontal="center" vertical="center"/>
    </xf>
    <xf numFmtId="0" fontId="49" fillId="58" borderId="351" xfId="0" applyFont="1" applyFill="1" applyBorder="1" applyAlignment="1">
      <alignment horizontal="center" vertical="center"/>
    </xf>
    <xf numFmtId="0" fontId="49" fillId="63" borderId="324" xfId="0" applyFont="1" applyFill="1" applyBorder="1" applyAlignment="1">
      <alignment horizontal="center" vertical="center"/>
    </xf>
    <xf numFmtId="0" fontId="49" fillId="63" borderId="325" xfId="0" applyFont="1" applyFill="1" applyBorder="1" applyAlignment="1">
      <alignment horizontal="center" vertical="center"/>
    </xf>
    <xf numFmtId="0" fontId="49" fillId="63" borderId="322" xfId="0" applyFont="1" applyFill="1" applyBorder="1" applyAlignment="1">
      <alignment horizontal="center" vertical="center"/>
    </xf>
    <xf numFmtId="0" fontId="34" fillId="0" borderId="319" xfId="0" applyFont="1" applyBorder="1" applyAlignment="1">
      <alignment horizontal="center" vertical="center"/>
    </xf>
    <xf numFmtId="0" fontId="26" fillId="51" borderId="324" xfId="0" applyFont="1" applyFill="1" applyBorder="1" applyAlignment="1">
      <alignment horizontal="center" vertical="center"/>
    </xf>
    <xf numFmtId="0" fontId="26" fillId="51" borderId="322" xfId="0" applyFont="1" applyFill="1" applyBorder="1" applyAlignment="1">
      <alignment horizontal="center" vertical="center"/>
    </xf>
    <xf numFmtId="0" fontId="2" fillId="51" borderId="324" xfId="0" applyFont="1" applyFill="1" applyBorder="1" applyAlignment="1" applyProtection="1">
      <alignment horizontal="center" vertical="center"/>
      <protection locked="0"/>
    </xf>
    <xf numFmtId="0" fontId="2" fillId="51" borderId="325" xfId="0" applyFont="1" applyFill="1" applyBorder="1" applyAlignment="1" applyProtection="1">
      <alignment horizontal="center" vertical="center"/>
      <protection locked="0"/>
    </xf>
    <xf numFmtId="0" fontId="2" fillId="51" borderId="322" xfId="0" applyFont="1" applyFill="1" applyBorder="1" applyAlignment="1" applyProtection="1">
      <alignment horizontal="center" vertical="center"/>
      <protection locked="0"/>
    </xf>
    <xf numFmtId="0" fontId="5" fillId="19" borderId="0" xfId="0" applyFont="1" applyFill="1" applyAlignment="1">
      <alignment horizontal="center" vertical="center"/>
    </xf>
    <xf numFmtId="0" fontId="8" fillId="8" borderId="150" xfId="0" applyFont="1" applyFill="1" applyBorder="1" applyAlignment="1" applyProtection="1">
      <alignment horizontal="center" vertical="center"/>
      <protection locked="0"/>
    </xf>
    <xf numFmtId="0" fontId="8" fillId="8" borderId="167" xfId="0" applyFont="1" applyFill="1" applyBorder="1" applyAlignment="1" applyProtection="1">
      <alignment horizontal="center" vertical="center"/>
      <protection locked="0"/>
    </xf>
    <xf numFmtId="0" fontId="0" fillId="48" borderId="168" xfId="0" applyFill="1" applyBorder="1" applyAlignment="1">
      <alignment horizontal="left" vertical="center" wrapText="1"/>
    </xf>
    <xf numFmtId="0" fontId="24" fillId="19" borderId="0" xfId="0" applyFont="1" applyFill="1" applyAlignment="1">
      <alignment horizontal="left" vertical="center"/>
    </xf>
    <xf numFmtId="0" fontId="2" fillId="2" borderId="0" xfId="0" applyFont="1" applyFill="1" applyAlignment="1">
      <alignment horizontal="center" vertical="center"/>
    </xf>
    <xf numFmtId="0" fontId="8" fillId="0" borderId="0" xfId="0" applyFont="1" applyAlignment="1" applyProtection="1">
      <alignment horizontal="center" vertical="center"/>
      <protection locked="0"/>
    </xf>
    <xf numFmtId="0" fontId="3" fillId="0" borderId="0" xfId="4" applyBorder="1" applyAlignment="1" applyProtection="1">
      <alignment horizontal="left" vertical="center" indent="2"/>
    </xf>
    <xf numFmtId="0" fontId="5" fillId="2" borderId="66" xfId="0" applyFont="1" applyFill="1" applyBorder="1" applyAlignment="1" applyProtection="1">
      <alignment horizontal="center" vertical="center"/>
      <protection locked="0"/>
    </xf>
    <xf numFmtId="0" fontId="5" fillId="2" borderId="68" xfId="0" applyFont="1" applyFill="1" applyBorder="1" applyAlignment="1" applyProtection="1">
      <alignment horizontal="center" vertical="center"/>
      <protection locked="0"/>
    </xf>
    <xf numFmtId="1" fontId="0" fillId="19" borderId="0" xfId="0" applyNumberFormat="1" applyFill="1" applyAlignment="1">
      <alignment horizontal="center" vertical="center"/>
    </xf>
    <xf numFmtId="172" fontId="0" fillId="19" borderId="111" xfId="0" applyNumberFormat="1" applyFill="1" applyBorder="1" applyAlignment="1">
      <alignment horizontal="center" vertical="center"/>
    </xf>
    <xf numFmtId="172" fontId="0" fillId="19" borderId="113" xfId="0" applyNumberFormat="1" applyFill="1" applyBorder="1" applyAlignment="1">
      <alignment horizontal="center" vertical="center"/>
    </xf>
    <xf numFmtId="172" fontId="0" fillId="19" borderId="104" xfId="0" applyNumberFormat="1" applyFill="1" applyBorder="1" applyAlignment="1">
      <alignment horizontal="center" vertical="center"/>
    </xf>
    <xf numFmtId="172" fontId="0" fillId="19" borderId="168" xfId="0" applyNumberFormat="1" applyFill="1" applyBorder="1" applyAlignment="1">
      <alignment horizontal="center"/>
    </xf>
    <xf numFmtId="172" fontId="0" fillId="19" borderId="148" xfId="0" applyNumberFormat="1" applyFill="1" applyBorder="1" applyAlignment="1">
      <alignment horizontal="center"/>
    </xf>
    <xf numFmtId="172" fontId="0" fillId="19" borderId="144" xfId="0" applyNumberFormat="1" applyFill="1" applyBorder="1" applyAlignment="1">
      <alignment horizontal="center"/>
    </xf>
    <xf numFmtId="172" fontId="0" fillId="19" borderId="147" xfId="0" applyNumberFormat="1" applyFill="1" applyBorder="1" applyAlignment="1">
      <alignment horizontal="center"/>
    </xf>
    <xf numFmtId="172" fontId="0" fillId="19" borderId="41" xfId="0" applyNumberFormat="1" applyFill="1" applyBorder="1" applyAlignment="1">
      <alignment horizontal="center"/>
    </xf>
    <xf numFmtId="172" fontId="0" fillId="19" borderId="154" xfId="0" applyNumberFormat="1" applyFill="1" applyBorder="1" applyAlignment="1">
      <alignment horizontal="center"/>
    </xf>
    <xf numFmtId="172" fontId="0" fillId="19" borderId="111" xfId="0" applyNumberFormat="1" applyFill="1" applyBorder="1" applyAlignment="1">
      <alignment horizontal="center"/>
    </xf>
    <xf numFmtId="172" fontId="0" fillId="19" borderId="113" xfId="0" applyNumberFormat="1" applyFill="1" applyBorder="1" applyAlignment="1">
      <alignment horizontal="center"/>
    </xf>
    <xf numFmtId="172" fontId="0" fillId="19" borderId="104" xfId="0" applyNumberFormat="1" applyFill="1" applyBorder="1" applyAlignment="1">
      <alignment horizontal="center"/>
    </xf>
    <xf numFmtId="0" fontId="0" fillId="51" borderId="77" xfId="0" applyFill="1" applyBorder="1" applyAlignment="1">
      <alignment horizontal="center"/>
    </xf>
    <xf numFmtId="0" fontId="0" fillId="51" borderId="94" xfId="0" applyFill="1" applyBorder="1" applyAlignment="1">
      <alignment horizontal="center"/>
    </xf>
    <xf numFmtId="0" fontId="0" fillId="51" borderId="79" xfId="0" applyFill="1" applyBorder="1" applyAlignment="1">
      <alignment horizontal="center"/>
    </xf>
    <xf numFmtId="0" fontId="0" fillId="19" borderId="0" xfId="0" applyFill="1" applyBorder="1"/>
    <xf numFmtId="178" fontId="2" fillId="19" borderId="0" xfId="0" applyNumberFormat="1" applyFont="1" applyFill="1" applyBorder="1"/>
    <xf numFmtId="0" fontId="2" fillId="19" borderId="0" xfId="0" applyFont="1" applyFill="1" applyBorder="1"/>
    <xf numFmtId="42" fontId="2" fillId="19" borderId="0" xfId="9" applyFont="1" applyFill="1" applyBorder="1"/>
  </cellXfs>
  <cellStyles count="24">
    <cellStyle name="Hipervínculo" xfId="4" builtinId="8"/>
    <cellStyle name="Hipervínculo 2" xfId="12" xr:uid="{7AAFA7C1-D064-497E-9E6A-72EF0407971E}"/>
    <cellStyle name="Millares" xfId="1" builtinId="3"/>
    <cellStyle name="Millares 2" xfId="13" xr:uid="{BB8F875D-7A13-47C0-93CF-88CB8F984DFE}"/>
    <cellStyle name="Moneda" xfId="2" builtinId="4"/>
    <cellStyle name="Moneda [0]" xfId="9" builtinId="7"/>
    <cellStyle name="Moneda [0] 2" xfId="16" xr:uid="{2B064D1B-4085-4125-B4C1-932E47A8AB55}"/>
    <cellStyle name="Moneda 10" xfId="21" xr:uid="{56234BAA-AC61-47DB-A536-76D5232B9FE6}"/>
    <cellStyle name="Moneda 11" xfId="22" xr:uid="{61769351-5D0A-4C64-9ED0-7C1B650F4BC2}"/>
    <cellStyle name="Moneda 12" xfId="23" xr:uid="{6C7E3A85-EF3B-4014-A8F5-F64107EEA553}"/>
    <cellStyle name="Moneda 2" xfId="14" xr:uid="{94F59CCD-B6D2-4820-9393-8AEA323A8D6F}"/>
    <cellStyle name="Moneda 3" xfId="15" xr:uid="{7AEF4B8C-9C90-46F8-8FE6-C69764872C97}"/>
    <cellStyle name="Moneda 4" xfId="17" xr:uid="{F4DC3370-509B-47EB-8E96-EC60FA01A701}"/>
    <cellStyle name="Moneda 5" xfId="18" xr:uid="{69F334FD-8D30-413B-BFDF-CA00C914C615}"/>
    <cellStyle name="Moneda 6" xfId="19" xr:uid="{D1E48D9A-52AC-4F29-9360-CB4C56E97389}"/>
    <cellStyle name="Moneda 7" xfId="5" xr:uid="{00000000-0005-0000-0000-000004000000}"/>
    <cellStyle name="Moneda 8" xfId="6" xr:uid="{00000000-0005-0000-0000-000005000000}"/>
    <cellStyle name="Moneda 9" xfId="20" xr:uid="{A4DD6AA8-A5EE-4D7B-A4A4-2B703E267091}"/>
    <cellStyle name="Normal" xfId="0" builtinId="0"/>
    <cellStyle name="Normal 2" xfId="7" xr:uid="{00000000-0005-0000-0000-000007000000}"/>
    <cellStyle name="Normal 2 2" xfId="10" xr:uid="{016BF38E-99E9-4F48-93E9-42C3DC132228}"/>
    <cellStyle name="Porcentaje" xfId="3" builtinId="5"/>
    <cellStyle name="Porcentaje 2" xfId="11" xr:uid="{E43B0869-A92A-49F1-8B66-0A116390CB59}"/>
    <cellStyle name="Porcentaje 3" xfId="8" xr:uid="{00000000-0005-0000-0000-000009000000}"/>
  </cellStyles>
  <dxfs count="21">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ndense val="0"/>
        <extend val="0"/>
        <color indexed="10"/>
      </font>
    </dxf>
    <dxf>
      <font>
        <b/>
        <i val="0"/>
        <condense val="0"/>
        <extend val="0"/>
        <color indexed="10"/>
      </font>
    </dxf>
  </dxfs>
  <tableStyles count="0" defaultTableStyle="TableStyleMedium2" defaultPivotStyle="PivotStyleLight16"/>
  <colors>
    <mruColors>
      <color rgb="FF66FF66"/>
      <color rgb="FF6DD9F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a:t>INGRESOS</a:t>
            </a:r>
          </a:p>
        </c:rich>
      </c:tx>
      <c:overlay val="0"/>
      <c:spPr>
        <a:noFill/>
        <a:ln>
          <a:noFill/>
        </a:ln>
        <a:effectLst/>
      </c:spPr>
    </c:title>
    <c:autoTitleDeleted val="0"/>
    <c:plotArea>
      <c:layout/>
      <c:lineChart>
        <c:grouping val="standard"/>
        <c:varyColors val="0"/>
        <c:ser>
          <c:idx val="0"/>
          <c:order val="0"/>
          <c:tx>
            <c:v>Planificado 2022</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([2]Hoja1!$B$37,[2]Hoja1!$D$37,[2]Hoja1!$F$37,[2]Hoja1!$H$37,[2]Hoja1!$J$37)</c:f>
              <c:strCache>
                <c:ptCount val="5"/>
                <c:pt idx="0">
                  <c:v>ENERO</c:v>
                </c:pt>
                <c:pt idx="1">
                  <c:v>FEBRERO</c:v>
                </c:pt>
                <c:pt idx="2">
                  <c:v>MARZO</c:v>
                </c:pt>
                <c:pt idx="3">
                  <c:v>ABRIL</c:v>
                </c:pt>
                <c:pt idx="4">
                  <c:v>MAYO</c:v>
                </c:pt>
              </c:strCache>
            </c:strRef>
          </c:cat>
          <c:val>
            <c:numRef>
              <c:f>('L)'!$C$35,'L)'!$E$35,'L)'!$G$35,'L)'!$I$35,'L)'!$K$35,'L)'!$M$35)</c:f>
              <c:numCache>
                <c:formatCode>_("$"* #,##0_);_("$"* \(#,##0\);_("$"*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FDCA-40AE-BC02-2C092E346F75}"/>
            </c:ext>
          </c:extLst>
        </c:ser>
        <c:ser>
          <c:idx val="1"/>
          <c:order val="1"/>
          <c:tx>
            <c:v>REAL 2022</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([2]Hoja1!$B$37,[2]Hoja1!$D$37,[2]Hoja1!$F$37,[2]Hoja1!$H$37,[2]Hoja1!$J$37)</c:f>
              <c:strCache>
                <c:ptCount val="5"/>
                <c:pt idx="0">
                  <c:v>ENERO</c:v>
                </c:pt>
                <c:pt idx="1">
                  <c:v>FEBRERO</c:v>
                </c:pt>
                <c:pt idx="2">
                  <c:v>MARZO</c:v>
                </c:pt>
                <c:pt idx="3">
                  <c:v>ABRIL</c:v>
                </c:pt>
                <c:pt idx="4">
                  <c:v>MAYO</c:v>
                </c:pt>
              </c:strCache>
            </c:strRef>
          </c:cat>
          <c:val>
            <c:numRef>
              <c:f>('L)'!$D$35,'L)'!$F$35,'L)'!$H$35,'L)'!$J$35,'L)'!$L$35,'L)'!$N$35)</c:f>
              <c:numCache>
                <c:formatCode>_("$"* #,##0_);_("$"* \(#,##0\);_("$"*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FDCA-40AE-BC02-2C092E346F75}"/>
            </c:ext>
          </c:extLst>
        </c:ser>
        <c:dLbls>
          <c:showLegendKey val="0"/>
          <c:showVal val="1"/>
          <c:showCatName val="0"/>
          <c:showSerName val="0"/>
          <c:showPercent val="0"/>
          <c:showBubbleSize val="0"/>
        </c:dLbls>
        <c:marker val="1"/>
        <c:smooth val="0"/>
        <c:axId val="96565120"/>
        <c:axId val="96566656"/>
      </c:lineChart>
      <c:catAx>
        <c:axId val="9656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96566656"/>
        <c:crosses val="autoZero"/>
        <c:auto val="1"/>
        <c:lblAlgn val="ctr"/>
        <c:lblOffset val="100"/>
        <c:noMultiLvlLbl val="0"/>
      </c:catAx>
      <c:valAx>
        <c:axId val="9656665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965651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a:t>REMUNERACIONES</a:t>
            </a:r>
          </a:p>
        </c:rich>
      </c:tx>
      <c:overlay val="0"/>
      <c:spPr>
        <a:noFill/>
        <a:ln>
          <a:noFill/>
        </a:ln>
        <a:effectLst/>
      </c:spPr>
    </c:title>
    <c:autoTitleDeleted val="0"/>
    <c:plotArea>
      <c:layout/>
      <c:lineChart>
        <c:grouping val="standard"/>
        <c:varyColors val="0"/>
        <c:ser>
          <c:idx val="0"/>
          <c:order val="0"/>
          <c:tx>
            <c:v>Planificado 2022</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([2]Hoja1!$B$37,[2]Hoja1!$D$37,[2]Hoja1!$F$37,[2]Hoja1!$H$37,[2]Hoja1!$J$37)</c:f>
              <c:strCache>
                <c:ptCount val="5"/>
                <c:pt idx="0">
                  <c:v>ENERO</c:v>
                </c:pt>
                <c:pt idx="1">
                  <c:v>FEBRERO</c:v>
                </c:pt>
                <c:pt idx="2">
                  <c:v>MARZO</c:v>
                </c:pt>
                <c:pt idx="3">
                  <c:v>ABRIL</c:v>
                </c:pt>
                <c:pt idx="4">
                  <c:v>MAYO</c:v>
                </c:pt>
              </c:strCache>
            </c:strRef>
          </c:cat>
          <c:val>
            <c:numRef>
              <c:f>('L)'!$C$36,'L)'!$E$36,'L)'!$G$36,'L)'!$I$36,'L)'!$K$36,'L)'!$M$36,'L)'!$O$36)</c:f>
              <c:numCache>
                <c:formatCode>_("$"* #,##0_);_("$"* \(#,##0\);_("$"* "-"_);_(@_)</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DEEF-4D5E-9858-9B2834B6E511}"/>
            </c:ext>
          </c:extLst>
        </c:ser>
        <c:ser>
          <c:idx val="1"/>
          <c:order val="1"/>
          <c:tx>
            <c:v>REAL 2022</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([2]Hoja1!$B$37,[2]Hoja1!$D$37,[2]Hoja1!$F$37,[2]Hoja1!$H$37,[2]Hoja1!$J$37)</c:f>
              <c:strCache>
                <c:ptCount val="5"/>
                <c:pt idx="0">
                  <c:v>ENERO</c:v>
                </c:pt>
                <c:pt idx="1">
                  <c:v>FEBRERO</c:v>
                </c:pt>
                <c:pt idx="2">
                  <c:v>MARZO</c:v>
                </c:pt>
                <c:pt idx="3">
                  <c:v>ABRIL</c:v>
                </c:pt>
                <c:pt idx="4">
                  <c:v>MAYO</c:v>
                </c:pt>
              </c:strCache>
            </c:strRef>
          </c:cat>
          <c:val>
            <c:numRef>
              <c:f>('L)'!$D$36,'L)'!$F$36,'L)'!$H$36,'L)'!$J$36,'L)'!$L$36,'L)'!$N$36)</c:f>
              <c:numCache>
                <c:formatCode>_("$"* #,##0_);_("$"* \(#,##0\);_("$"*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DEEF-4D5E-9858-9B2834B6E511}"/>
            </c:ext>
          </c:extLst>
        </c:ser>
        <c:dLbls>
          <c:showLegendKey val="0"/>
          <c:showVal val="1"/>
          <c:showCatName val="0"/>
          <c:showSerName val="0"/>
          <c:showPercent val="0"/>
          <c:showBubbleSize val="0"/>
        </c:dLbls>
        <c:marker val="1"/>
        <c:smooth val="0"/>
        <c:axId val="97343744"/>
        <c:axId val="97349632"/>
      </c:lineChart>
      <c:catAx>
        <c:axId val="9734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97349632"/>
        <c:crosses val="autoZero"/>
        <c:auto val="1"/>
        <c:lblAlgn val="ctr"/>
        <c:lblOffset val="100"/>
        <c:noMultiLvlLbl val="0"/>
      </c:catAx>
      <c:valAx>
        <c:axId val="9734963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973437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000000000000144" l="0.70000000000000062" r="0.70000000000000062" t="0.750000000000001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a:t>COSTOS DE OPERACION</a:t>
            </a:r>
          </a:p>
        </c:rich>
      </c:tx>
      <c:overlay val="0"/>
      <c:spPr>
        <a:noFill/>
        <a:ln>
          <a:noFill/>
        </a:ln>
        <a:effectLst/>
      </c:spPr>
    </c:title>
    <c:autoTitleDeleted val="0"/>
    <c:plotArea>
      <c:layout/>
      <c:lineChart>
        <c:grouping val="standard"/>
        <c:varyColors val="0"/>
        <c:ser>
          <c:idx val="0"/>
          <c:order val="0"/>
          <c:tx>
            <c:v>Planificado 2022</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([2]Hoja1!$B$37,[2]Hoja1!$D$37,[2]Hoja1!$F$37,[2]Hoja1!$H$37,[2]Hoja1!$J$37)</c:f>
              <c:strCache>
                <c:ptCount val="5"/>
                <c:pt idx="0">
                  <c:v>ENERO</c:v>
                </c:pt>
                <c:pt idx="1">
                  <c:v>FEBRERO</c:v>
                </c:pt>
                <c:pt idx="2">
                  <c:v>MARZO</c:v>
                </c:pt>
                <c:pt idx="3">
                  <c:v>ABRIL</c:v>
                </c:pt>
                <c:pt idx="4">
                  <c:v>MAYO</c:v>
                </c:pt>
              </c:strCache>
            </c:strRef>
          </c:cat>
          <c:val>
            <c:numRef>
              <c:f>('L)'!$C$37,'L)'!$E$37,'L)'!$G$37,'L)'!$I$37,'L)'!$K$37,'L)'!$M$37,'L)'!$O$37)</c:f>
              <c:numCache>
                <c:formatCode>_("$"* #,##0_);_("$"* \(#,##0\);_("$"* "-"_);_(@_)</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4955-4F8F-BDD3-E51E5570BF56}"/>
            </c:ext>
          </c:extLst>
        </c:ser>
        <c:ser>
          <c:idx val="1"/>
          <c:order val="1"/>
          <c:tx>
            <c:v>REAL 2022</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([2]Hoja1!$B$37,[2]Hoja1!$D$37,[2]Hoja1!$F$37,[2]Hoja1!$H$37,[2]Hoja1!$J$37)</c:f>
              <c:strCache>
                <c:ptCount val="5"/>
                <c:pt idx="0">
                  <c:v>ENERO</c:v>
                </c:pt>
                <c:pt idx="1">
                  <c:v>FEBRERO</c:v>
                </c:pt>
                <c:pt idx="2">
                  <c:v>MARZO</c:v>
                </c:pt>
                <c:pt idx="3">
                  <c:v>ABRIL</c:v>
                </c:pt>
                <c:pt idx="4">
                  <c:v>MAYO</c:v>
                </c:pt>
              </c:strCache>
            </c:strRef>
          </c:cat>
          <c:val>
            <c:numRef>
              <c:f>('L)'!$D$37,'L)'!$F$37,'L)'!$H$37,'L)'!$J$37,'L)'!$L$37,'L)'!$N$37)</c:f>
              <c:numCache>
                <c:formatCode>_("$"* #,##0_);_("$"* \(#,##0\);_("$"*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4955-4F8F-BDD3-E51E5570BF56}"/>
            </c:ext>
          </c:extLst>
        </c:ser>
        <c:dLbls>
          <c:showLegendKey val="0"/>
          <c:showVal val="1"/>
          <c:showCatName val="0"/>
          <c:showSerName val="0"/>
          <c:showPercent val="0"/>
          <c:showBubbleSize val="0"/>
        </c:dLbls>
        <c:marker val="1"/>
        <c:smooth val="0"/>
        <c:axId val="97921664"/>
        <c:axId val="97935744"/>
      </c:lineChart>
      <c:catAx>
        <c:axId val="97921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97935744"/>
        <c:crosses val="autoZero"/>
        <c:auto val="1"/>
        <c:lblAlgn val="ctr"/>
        <c:lblOffset val="100"/>
        <c:noMultiLvlLbl val="0"/>
      </c:catAx>
      <c:valAx>
        <c:axId val="9793574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979216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a:t>RESULTADO OPERACIONAL</a:t>
            </a:r>
          </a:p>
        </c:rich>
      </c:tx>
      <c:overlay val="0"/>
      <c:spPr>
        <a:noFill/>
        <a:ln>
          <a:noFill/>
        </a:ln>
        <a:effectLst/>
      </c:spPr>
    </c:title>
    <c:autoTitleDeleted val="0"/>
    <c:plotArea>
      <c:layout/>
      <c:lineChart>
        <c:grouping val="standard"/>
        <c:varyColors val="0"/>
        <c:ser>
          <c:idx val="0"/>
          <c:order val="0"/>
          <c:tx>
            <c:v>Planificado 2022</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([2]Hoja1!$B$37,[2]Hoja1!$D$37,[2]Hoja1!$F$37,[2]Hoja1!$H$37,[2]Hoja1!$J$37)</c:f>
              <c:strCache>
                <c:ptCount val="5"/>
                <c:pt idx="0">
                  <c:v>ENERO</c:v>
                </c:pt>
                <c:pt idx="1">
                  <c:v>FEBRERO</c:v>
                </c:pt>
                <c:pt idx="2">
                  <c:v>MARZO</c:v>
                </c:pt>
                <c:pt idx="3">
                  <c:v>ABRIL</c:v>
                </c:pt>
                <c:pt idx="4">
                  <c:v>MAYO</c:v>
                </c:pt>
              </c:strCache>
            </c:strRef>
          </c:cat>
          <c:val>
            <c:numRef>
              <c:f>('L)'!$C$38,'L)'!$E$38,'L)'!$G$38,'L)'!$I$38,'L)'!$K$38,'L)'!$M$38,'L)'!$O$38)</c:f>
              <c:numCache>
                <c:formatCode>_("$"* #,##0_);_("$"* \(#,##0\);_("$"* "-"_);_(@_)</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2B0E-44D7-B4FF-A27E2E3C2AE0}"/>
            </c:ext>
          </c:extLst>
        </c:ser>
        <c:ser>
          <c:idx val="1"/>
          <c:order val="1"/>
          <c:tx>
            <c:v>REAL 2022</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([2]Hoja1!$B$37,[2]Hoja1!$D$37,[2]Hoja1!$F$37,[2]Hoja1!$H$37,[2]Hoja1!$J$37)</c:f>
              <c:strCache>
                <c:ptCount val="5"/>
                <c:pt idx="0">
                  <c:v>ENERO</c:v>
                </c:pt>
                <c:pt idx="1">
                  <c:v>FEBRERO</c:v>
                </c:pt>
                <c:pt idx="2">
                  <c:v>MARZO</c:v>
                </c:pt>
                <c:pt idx="3">
                  <c:v>ABRIL</c:v>
                </c:pt>
                <c:pt idx="4">
                  <c:v>MAYO</c:v>
                </c:pt>
              </c:strCache>
            </c:strRef>
          </c:cat>
          <c:val>
            <c:numRef>
              <c:f>('L)'!$D$38,'L)'!$F$38,'L)'!$H$38,'L)'!$J$38,'L)'!$L$38,'L)'!$N$38)</c:f>
              <c:numCache>
                <c:formatCode>_("$"* #,##0_);_("$"* \(#,##0\);_("$"*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2B0E-44D7-B4FF-A27E2E3C2AE0}"/>
            </c:ext>
          </c:extLst>
        </c:ser>
        <c:dLbls>
          <c:showLegendKey val="0"/>
          <c:showVal val="1"/>
          <c:showCatName val="0"/>
          <c:showSerName val="0"/>
          <c:showPercent val="0"/>
          <c:showBubbleSize val="0"/>
        </c:dLbls>
        <c:marker val="1"/>
        <c:smooth val="0"/>
        <c:axId val="97958912"/>
        <c:axId val="97960704"/>
      </c:lineChart>
      <c:catAx>
        <c:axId val="97958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97960704"/>
        <c:crosses val="autoZero"/>
        <c:auto val="1"/>
        <c:lblAlgn val="ctr"/>
        <c:lblOffset val="100"/>
        <c:noMultiLvlLbl val="0"/>
      </c:catAx>
      <c:valAx>
        <c:axId val="9796070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979589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000000000000144" l="0.70000000000000062" r="0.70000000000000062" t="0.75000000000000144"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hyperlink" Target="#Indice!A1"/></Relationships>
</file>

<file path=xl/drawings/_rels/drawing11.xml.rels><?xml version="1.0" encoding="UTF-8" standalone="yes"?>
<Relationships xmlns="http://schemas.openxmlformats.org/package/2006/relationships"><Relationship Id="rId1" Type="http://schemas.openxmlformats.org/officeDocument/2006/relationships/hyperlink" Target="#Indice!A1"/></Relationships>
</file>

<file path=xl/drawings/_rels/drawing1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hyperlink" Target="RESUMEN.xlsx" TargetMode="External"/><Relationship Id="rId1" Type="http://schemas.openxmlformats.org/officeDocument/2006/relationships/hyperlink" Target="#Indice!A1"/></Relationships>
</file>

<file path=xl/drawings/_rels/drawing3.xml.rels><?xml version="1.0" encoding="UTF-8" standalone="yes"?>
<Relationships xmlns="http://schemas.openxmlformats.org/package/2006/relationships"><Relationship Id="rId1" Type="http://schemas.openxmlformats.org/officeDocument/2006/relationships/hyperlink" Target="#Indice!A1"/></Relationships>
</file>

<file path=xl/drawings/_rels/drawing4.xml.rels><?xml version="1.0" encoding="UTF-8" standalone="yes"?>
<Relationships xmlns="http://schemas.openxmlformats.org/package/2006/relationships"><Relationship Id="rId1" Type="http://schemas.openxmlformats.org/officeDocument/2006/relationships/hyperlink" Target="#Indice!A1"/></Relationships>
</file>

<file path=xl/drawings/_rels/drawing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D) Costos Indirectos'!A1"/></Relationships>
</file>

<file path=xl/drawings/_rels/drawing6.xml.rels><?xml version="1.0" encoding="UTF-8" standalone="yes"?>
<Relationships xmlns="http://schemas.openxmlformats.org/package/2006/relationships"><Relationship Id="rId1" Type="http://schemas.openxmlformats.org/officeDocument/2006/relationships/hyperlink" Target="#Indice!A1"/></Relationships>
</file>

<file path=xl/drawings/_rels/drawing7.xml.rels><?xml version="1.0" encoding="UTF-8" standalone="yes"?>
<Relationships xmlns="http://schemas.openxmlformats.org/package/2006/relationships"><Relationship Id="rId1" Type="http://schemas.openxmlformats.org/officeDocument/2006/relationships/hyperlink" Target="#Indice!A1"/></Relationships>
</file>

<file path=xl/drawings/_rels/drawing8.xml.rels><?xml version="1.0" encoding="UTF-8" standalone="yes"?>
<Relationships xmlns="http://schemas.openxmlformats.org/package/2006/relationships"><Relationship Id="rId1" Type="http://schemas.openxmlformats.org/officeDocument/2006/relationships/hyperlink" Target="#Indice!A1"/></Relationships>
</file>

<file path=xl/drawings/_rels/drawing9.xml.rels><?xml version="1.0" encoding="UTF-8" standalone="yes"?>
<Relationships xmlns="http://schemas.openxmlformats.org/package/2006/relationships"><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190499</xdr:rowOff>
    </xdr:from>
    <xdr:to>
      <xdr:col>9</xdr:col>
      <xdr:colOff>457200</xdr:colOff>
      <xdr:row>46</xdr:row>
      <xdr:rowOff>59530</xdr:rowOff>
    </xdr:to>
    <xdr:pic>
      <xdr:nvPicPr>
        <xdr:cNvPr id="2" name="Imagen 1">
          <a:extLst>
            <a:ext uri="{FF2B5EF4-FFF2-40B4-BE49-F238E27FC236}">
              <a16:creationId xmlns:a16="http://schemas.microsoft.com/office/drawing/2014/main" id="{9AD531D9-F6D7-49F9-8325-33D26E0BD041}"/>
            </a:ext>
          </a:extLst>
        </xdr:cNvPr>
        <xdr:cNvPicPr>
          <a:picLocks noChangeAspect="1"/>
        </xdr:cNvPicPr>
      </xdr:nvPicPr>
      <xdr:blipFill>
        <a:blip xmlns:r="http://schemas.openxmlformats.org/officeDocument/2006/relationships" r:embed="rId1"/>
        <a:stretch>
          <a:fillRect/>
        </a:stretch>
      </xdr:blipFill>
      <xdr:spPr>
        <a:xfrm>
          <a:off x="762000" y="952499"/>
          <a:ext cx="6553200" cy="7870031"/>
        </a:xfrm>
        <a:prstGeom prst="rect">
          <a:avLst/>
        </a:prstGeom>
      </xdr:spPr>
    </xdr:pic>
    <xdr:clientData/>
  </xdr:twoCellAnchor>
  <xdr:twoCellAnchor editAs="oneCell">
    <xdr:from>
      <xdr:col>13</xdr:col>
      <xdr:colOff>714374</xdr:colOff>
      <xdr:row>6</xdr:row>
      <xdr:rowOff>76200</xdr:rowOff>
    </xdr:from>
    <xdr:to>
      <xdr:col>24</xdr:col>
      <xdr:colOff>226219</xdr:colOff>
      <xdr:row>45</xdr:row>
      <xdr:rowOff>166687</xdr:rowOff>
    </xdr:to>
    <xdr:pic>
      <xdr:nvPicPr>
        <xdr:cNvPr id="3" name="Imagen 2">
          <a:extLst>
            <a:ext uri="{FF2B5EF4-FFF2-40B4-BE49-F238E27FC236}">
              <a16:creationId xmlns:a16="http://schemas.microsoft.com/office/drawing/2014/main" id="{C29C92BD-59BC-400F-BC9C-F686608D1ACF}"/>
            </a:ext>
          </a:extLst>
        </xdr:cNvPr>
        <xdr:cNvPicPr>
          <a:picLocks noChangeAspect="1"/>
        </xdr:cNvPicPr>
      </xdr:nvPicPr>
      <xdr:blipFill>
        <a:blip xmlns:r="http://schemas.openxmlformats.org/officeDocument/2006/relationships" r:embed="rId2"/>
        <a:stretch>
          <a:fillRect/>
        </a:stretch>
      </xdr:blipFill>
      <xdr:spPr>
        <a:xfrm>
          <a:off x="10620374" y="1219200"/>
          <a:ext cx="7893845" cy="7519987"/>
        </a:xfrm>
        <a:prstGeom prst="rect">
          <a:avLst/>
        </a:prstGeom>
      </xdr:spPr>
    </xdr:pic>
    <xdr:clientData/>
  </xdr:twoCellAnchor>
  <xdr:twoCellAnchor editAs="oneCell">
    <xdr:from>
      <xdr:col>1</xdr:col>
      <xdr:colOff>514351</xdr:colOff>
      <xdr:row>49</xdr:row>
      <xdr:rowOff>190499</xdr:rowOff>
    </xdr:from>
    <xdr:to>
      <xdr:col>9</xdr:col>
      <xdr:colOff>266701</xdr:colOff>
      <xdr:row>84</xdr:row>
      <xdr:rowOff>133349</xdr:rowOff>
    </xdr:to>
    <xdr:pic>
      <xdr:nvPicPr>
        <xdr:cNvPr id="4" name="Imagen 3">
          <a:extLst>
            <a:ext uri="{FF2B5EF4-FFF2-40B4-BE49-F238E27FC236}">
              <a16:creationId xmlns:a16="http://schemas.microsoft.com/office/drawing/2014/main" id="{6286616A-E8D7-471C-A09A-CA001B2D07B9}"/>
            </a:ext>
          </a:extLst>
        </xdr:cNvPr>
        <xdr:cNvPicPr>
          <a:picLocks noChangeAspect="1"/>
        </xdr:cNvPicPr>
      </xdr:nvPicPr>
      <xdr:blipFill>
        <a:blip xmlns:r="http://schemas.openxmlformats.org/officeDocument/2006/relationships" r:embed="rId3"/>
        <a:stretch>
          <a:fillRect/>
        </a:stretch>
      </xdr:blipFill>
      <xdr:spPr>
        <a:xfrm>
          <a:off x="1276351" y="9524999"/>
          <a:ext cx="5848350" cy="6610350"/>
        </a:xfrm>
        <a:prstGeom prst="rect">
          <a:avLst/>
        </a:prstGeom>
      </xdr:spPr>
    </xdr:pic>
    <xdr:clientData/>
  </xdr:twoCellAnchor>
  <xdr:twoCellAnchor editAs="oneCell">
    <xdr:from>
      <xdr:col>14</xdr:col>
      <xdr:colOff>238124</xdr:colOff>
      <xdr:row>49</xdr:row>
      <xdr:rowOff>180975</xdr:rowOff>
    </xdr:from>
    <xdr:to>
      <xdr:col>22</xdr:col>
      <xdr:colOff>678655</xdr:colOff>
      <xdr:row>84</xdr:row>
      <xdr:rowOff>80962</xdr:rowOff>
    </xdr:to>
    <xdr:pic>
      <xdr:nvPicPr>
        <xdr:cNvPr id="5" name="Imagen 4">
          <a:extLst>
            <a:ext uri="{FF2B5EF4-FFF2-40B4-BE49-F238E27FC236}">
              <a16:creationId xmlns:a16="http://schemas.microsoft.com/office/drawing/2014/main" id="{686AA350-970B-4701-8C43-CEC780FF85EE}"/>
            </a:ext>
          </a:extLst>
        </xdr:cNvPr>
        <xdr:cNvPicPr>
          <a:picLocks noChangeAspect="1"/>
        </xdr:cNvPicPr>
      </xdr:nvPicPr>
      <xdr:blipFill>
        <a:blip xmlns:r="http://schemas.openxmlformats.org/officeDocument/2006/relationships" r:embed="rId4"/>
        <a:stretch>
          <a:fillRect/>
        </a:stretch>
      </xdr:blipFill>
      <xdr:spPr>
        <a:xfrm>
          <a:off x="10906124" y="9515475"/>
          <a:ext cx="6536531" cy="6567487"/>
        </a:xfrm>
        <a:prstGeom prst="rect">
          <a:avLst/>
        </a:prstGeom>
      </xdr:spPr>
    </xdr:pic>
    <xdr:clientData/>
  </xdr:twoCellAnchor>
  <xdr:twoCellAnchor editAs="oneCell">
    <xdr:from>
      <xdr:col>2</xdr:col>
      <xdr:colOff>0</xdr:colOff>
      <xdr:row>97</xdr:row>
      <xdr:rowOff>0</xdr:rowOff>
    </xdr:from>
    <xdr:to>
      <xdr:col>10</xdr:col>
      <xdr:colOff>257175</xdr:colOff>
      <xdr:row>119</xdr:row>
      <xdr:rowOff>143480</xdr:rowOff>
    </xdr:to>
    <xdr:pic>
      <xdr:nvPicPr>
        <xdr:cNvPr id="6" name="Imagen 5">
          <a:extLst>
            <a:ext uri="{FF2B5EF4-FFF2-40B4-BE49-F238E27FC236}">
              <a16:creationId xmlns:a16="http://schemas.microsoft.com/office/drawing/2014/main" id="{36F422A1-7BAE-410F-88D5-3688B1F07C03}"/>
            </a:ext>
          </a:extLst>
        </xdr:cNvPr>
        <xdr:cNvPicPr>
          <a:picLocks noChangeAspect="1"/>
        </xdr:cNvPicPr>
      </xdr:nvPicPr>
      <xdr:blipFill>
        <a:blip xmlns:r="http://schemas.openxmlformats.org/officeDocument/2006/relationships" r:embed="rId5"/>
        <a:stretch>
          <a:fillRect/>
        </a:stretch>
      </xdr:blipFill>
      <xdr:spPr>
        <a:xfrm>
          <a:off x="1524000" y="18478500"/>
          <a:ext cx="6353175" cy="43344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1309688</xdr:colOff>
      <xdr:row>5</xdr:row>
      <xdr:rowOff>66674</xdr:rowOff>
    </xdr:to>
    <xdr:sp macro="" textlink="">
      <xdr:nvSpPr>
        <xdr:cNvPr id="2" name="Flecha: a la derecha 3">
          <a:hlinkClick xmlns:r="http://schemas.openxmlformats.org/officeDocument/2006/relationships" r:id="rId1"/>
          <a:extLst>
            <a:ext uri="{FF2B5EF4-FFF2-40B4-BE49-F238E27FC236}">
              <a16:creationId xmlns:a16="http://schemas.microsoft.com/office/drawing/2014/main" id="{D1CBD26C-3DBB-4937-925B-A0821C7FD94D}"/>
            </a:ext>
          </a:extLst>
        </xdr:cNvPr>
        <xdr:cNvSpPr/>
      </xdr:nvSpPr>
      <xdr:spPr bwMode="auto">
        <a:xfrm flipH="1">
          <a:off x="762000" y="161925"/>
          <a:ext cx="1309688" cy="752474"/>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35718</xdr:colOff>
      <xdr:row>0</xdr:row>
      <xdr:rowOff>59530</xdr:rowOff>
    </xdr:from>
    <xdr:to>
      <xdr:col>1</xdr:col>
      <xdr:colOff>1345406</xdr:colOff>
      <xdr:row>4</xdr:row>
      <xdr:rowOff>107154</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DC86152A-9AC2-413C-A0B6-4DCC958217DD}"/>
            </a:ext>
          </a:extLst>
        </xdr:cNvPr>
        <xdr:cNvSpPr/>
      </xdr:nvSpPr>
      <xdr:spPr bwMode="auto">
        <a:xfrm flipH="1">
          <a:off x="35718" y="59530"/>
          <a:ext cx="1309688" cy="8191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40</xdr:row>
      <xdr:rowOff>0</xdr:rowOff>
    </xdr:from>
    <xdr:to>
      <xdr:col>15</xdr:col>
      <xdr:colOff>285749</xdr:colOff>
      <xdr:row>54</xdr:row>
      <xdr:rowOff>166687</xdr:rowOff>
    </xdr:to>
    <xdr:graphicFrame macro="">
      <xdr:nvGraphicFramePr>
        <xdr:cNvPr id="2" name="Gráfico 1">
          <a:extLst>
            <a:ext uri="{FF2B5EF4-FFF2-40B4-BE49-F238E27FC236}">
              <a16:creationId xmlns:a16="http://schemas.microsoft.com/office/drawing/2014/main" id="{532572E1-8599-404E-8A53-3821EC9D4B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40</xdr:row>
      <xdr:rowOff>0</xdr:rowOff>
    </xdr:from>
    <xdr:to>
      <xdr:col>24</xdr:col>
      <xdr:colOff>11905</xdr:colOff>
      <xdr:row>54</xdr:row>
      <xdr:rowOff>166687</xdr:rowOff>
    </xdr:to>
    <xdr:graphicFrame macro="">
      <xdr:nvGraphicFramePr>
        <xdr:cNvPr id="3" name="Gráfico 2">
          <a:extLst>
            <a:ext uri="{FF2B5EF4-FFF2-40B4-BE49-F238E27FC236}">
              <a16:creationId xmlns:a16="http://schemas.microsoft.com/office/drawing/2014/main" id="{0E059DC7-9FB6-4985-8072-937145D67F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57</xdr:row>
      <xdr:rowOff>0</xdr:rowOff>
    </xdr:from>
    <xdr:to>
      <xdr:col>15</xdr:col>
      <xdr:colOff>285749</xdr:colOff>
      <xdr:row>71</xdr:row>
      <xdr:rowOff>166687</xdr:rowOff>
    </xdr:to>
    <xdr:graphicFrame macro="">
      <xdr:nvGraphicFramePr>
        <xdr:cNvPr id="4" name="Gráfico 3">
          <a:extLst>
            <a:ext uri="{FF2B5EF4-FFF2-40B4-BE49-F238E27FC236}">
              <a16:creationId xmlns:a16="http://schemas.microsoft.com/office/drawing/2014/main" id="{8C7934DB-BC57-43AD-B97C-002E274DA6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57</xdr:row>
      <xdr:rowOff>0</xdr:rowOff>
    </xdr:from>
    <xdr:to>
      <xdr:col>24</xdr:col>
      <xdr:colOff>11905</xdr:colOff>
      <xdr:row>71</xdr:row>
      <xdr:rowOff>166687</xdr:rowOff>
    </xdr:to>
    <xdr:graphicFrame macro="">
      <xdr:nvGraphicFramePr>
        <xdr:cNvPr id="5" name="Gráfico 4">
          <a:extLst>
            <a:ext uri="{FF2B5EF4-FFF2-40B4-BE49-F238E27FC236}">
              <a16:creationId xmlns:a16="http://schemas.microsoft.com/office/drawing/2014/main" id="{CB223A07-05E4-44AB-BEC4-62C80C3DF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95254</xdr:colOff>
      <xdr:row>0</xdr:row>
      <xdr:rowOff>71439</xdr:rowOff>
    </xdr:from>
    <xdr:to>
      <xdr:col>0</xdr:col>
      <xdr:colOff>1404942</xdr:colOff>
      <xdr:row>4</xdr:row>
      <xdr:rowOff>47625</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A399B70D-1889-44F0-A780-7997FC55E7DB}"/>
            </a:ext>
          </a:extLst>
        </xdr:cNvPr>
        <xdr:cNvSpPr/>
      </xdr:nvSpPr>
      <xdr:spPr bwMode="auto">
        <a:xfrm flipH="1">
          <a:off x="95254" y="71439"/>
          <a:ext cx="1309688" cy="700086"/>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twoCellAnchor>
    <xdr:from>
      <xdr:col>1</xdr:col>
      <xdr:colOff>0</xdr:colOff>
      <xdr:row>1</xdr:row>
      <xdr:rowOff>0</xdr:rowOff>
    </xdr:from>
    <xdr:to>
      <xdr:col>1</xdr:col>
      <xdr:colOff>333375</xdr:colOff>
      <xdr:row>2</xdr:row>
      <xdr:rowOff>119063</xdr:rowOff>
    </xdr:to>
    <xdr:sp macro="" textlink="">
      <xdr:nvSpPr>
        <xdr:cNvPr id="3" name="Estrella: 5 puntas 2">
          <a:hlinkClick xmlns:r="http://schemas.openxmlformats.org/officeDocument/2006/relationships" r:id="rId2"/>
          <a:extLst>
            <a:ext uri="{FF2B5EF4-FFF2-40B4-BE49-F238E27FC236}">
              <a16:creationId xmlns:a16="http://schemas.microsoft.com/office/drawing/2014/main" id="{07B5AC3C-4825-4851-A61B-C6A055B6C844}"/>
            </a:ext>
          </a:extLst>
        </xdr:cNvPr>
        <xdr:cNvSpPr/>
      </xdr:nvSpPr>
      <xdr:spPr bwMode="auto">
        <a:xfrm>
          <a:off x="3000375" y="161925"/>
          <a:ext cx="333375" cy="280988"/>
        </a:xfrm>
        <a:prstGeom prst="star5">
          <a:avLst/>
        </a:prstGeom>
        <a:solidFill>
          <a:srgbClr val="00206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s-CL"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35718</xdr:colOff>
      <xdr:row>0</xdr:row>
      <xdr:rowOff>59530</xdr:rowOff>
    </xdr:from>
    <xdr:to>
      <xdr:col>0</xdr:col>
      <xdr:colOff>1345406</xdr:colOff>
      <xdr:row>4</xdr:row>
      <xdr:rowOff>107154</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4C56AB61-DE8F-4C9C-A640-951ED4E4CBB9}"/>
            </a:ext>
          </a:extLst>
        </xdr:cNvPr>
        <xdr:cNvSpPr/>
      </xdr:nvSpPr>
      <xdr:spPr bwMode="auto">
        <a:xfrm flipH="1">
          <a:off x="35718" y="59530"/>
          <a:ext cx="1309688"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83342</xdr:colOff>
      <xdr:row>0</xdr:row>
      <xdr:rowOff>107164</xdr:rowOff>
    </xdr:from>
    <xdr:to>
      <xdr:col>0</xdr:col>
      <xdr:colOff>1393030</xdr:colOff>
      <xdr:row>4</xdr:row>
      <xdr:rowOff>71444</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1B2D051A-2A45-4E42-8498-9D0BC5CCC300}"/>
            </a:ext>
          </a:extLst>
        </xdr:cNvPr>
        <xdr:cNvSpPr/>
      </xdr:nvSpPr>
      <xdr:spPr bwMode="auto">
        <a:xfrm flipH="1">
          <a:off x="83342" y="107164"/>
          <a:ext cx="1309688" cy="697705"/>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33</xdr:col>
      <xdr:colOff>333375</xdr:colOff>
      <xdr:row>2</xdr:row>
      <xdr:rowOff>47625</xdr:rowOff>
    </xdr:from>
    <xdr:to>
      <xdr:col>33</xdr:col>
      <xdr:colOff>750093</xdr:colOff>
      <xdr:row>3</xdr:row>
      <xdr:rowOff>178593</xdr:rowOff>
    </xdr:to>
    <xdr:sp macro="" textlink="">
      <xdr:nvSpPr>
        <xdr:cNvPr id="2" name="Flecha derecha 5">
          <a:hlinkClick xmlns:r="http://schemas.openxmlformats.org/officeDocument/2006/relationships" r:id="rId1"/>
          <a:extLst>
            <a:ext uri="{FF2B5EF4-FFF2-40B4-BE49-F238E27FC236}">
              <a16:creationId xmlns:a16="http://schemas.microsoft.com/office/drawing/2014/main" id="{3A986170-AE6B-4D36-BC0C-304A05BDB85A}"/>
            </a:ext>
          </a:extLst>
        </xdr:cNvPr>
        <xdr:cNvSpPr/>
      </xdr:nvSpPr>
      <xdr:spPr bwMode="auto">
        <a:xfrm rot="10800000">
          <a:off x="38404800" y="371475"/>
          <a:ext cx="416718" cy="292893"/>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25</xdr:col>
      <xdr:colOff>0</xdr:colOff>
      <xdr:row>3</xdr:row>
      <xdr:rowOff>0</xdr:rowOff>
    </xdr:from>
    <xdr:to>
      <xdr:col>25</xdr:col>
      <xdr:colOff>416718</xdr:colOff>
      <xdr:row>4</xdr:row>
      <xdr:rowOff>59531</xdr:rowOff>
    </xdr:to>
    <xdr:sp macro="" textlink="">
      <xdr:nvSpPr>
        <xdr:cNvPr id="3" name="Flecha derecha 6">
          <a:hlinkClick xmlns:r="http://schemas.openxmlformats.org/officeDocument/2006/relationships" r:id="rId1"/>
          <a:extLst>
            <a:ext uri="{FF2B5EF4-FFF2-40B4-BE49-F238E27FC236}">
              <a16:creationId xmlns:a16="http://schemas.microsoft.com/office/drawing/2014/main" id="{F8A0424B-7240-4A88-B966-E0481F7DC169}"/>
            </a:ext>
          </a:extLst>
        </xdr:cNvPr>
        <xdr:cNvSpPr/>
      </xdr:nvSpPr>
      <xdr:spPr bwMode="auto">
        <a:xfrm rot="10800000">
          <a:off x="30841950" y="485775"/>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21</xdr:col>
      <xdr:colOff>0</xdr:colOff>
      <xdr:row>3</xdr:row>
      <xdr:rowOff>0</xdr:rowOff>
    </xdr:from>
    <xdr:to>
      <xdr:col>21</xdr:col>
      <xdr:colOff>416718</xdr:colOff>
      <xdr:row>4</xdr:row>
      <xdr:rowOff>59531</xdr:rowOff>
    </xdr:to>
    <xdr:sp macro="" textlink="">
      <xdr:nvSpPr>
        <xdr:cNvPr id="4" name="Flecha derecha 7">
          <a:hlinkClick xmlns:r="http://schemas.openxmlformats.org/officeDocument/2006/relationships" r:id="rId1"/>
          <a:extLst>
            <a:ext uri="{FF2B5EF4-FFF2-40B4-BE49-F238E27FC236}">
              <a16:creationId xmlns:a16="http://schemas.microsoft.com/office/drawing/2014/main" id="{FFD4CE6A-300C-4359-A99F-DDE507E03691}"/>
            </a:ext>
          </a:extLst>
        </xdr:cNvPr>
        <xdr:cNvSpPr/>
      </xdr:nvSpPr>
      <xdr:spPr bwMode="auto">
        <a:xfrm rot="10800000">
          <a:off x="24441150" y="485775"/>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12</xdr:col>
      <xdr:colOff>369094</xdr:colOff>
      <xdr:row>3</xdr:row>
      <xdr:rowOff>23813</xdr:rowOff>
    </xdr:from>
    <xdr:to>
      <xdr:col>12</xdr:col>
      <xdr:colOff>785812</xdr:colOff>
      <xdr:row>4</xdr:row>
      <xdr:rowOff>83344</xdr:rowOff>
    </xdr:to>
    <xdr:sp macro="" textlink="">
      <xdr:nvSpPr>
        <xdr:cNvPr id="5" name="Flecha derecha 8">
          <a:hlinkClick xmlns:r="http://schemas.openxmlformats.org/officeDocument/2006/relationships" r:id="rId1"/>
          <a:extLst>
            <a:ext uri="{FF2B5EF4-FFF2-40B4-BE49-F238E27FC236}">
              <a16:creationId xmlns:a16="http://schemas.microsoft.com/office/drawing/2014/main" id="{3DAB65DF-F078-43D9-87BC-56432620D65F}"/>
            </a:ext>
          </a:extLst>
        </xdr:cNvPr>
        <xdr:cNvSpPr/>
      </xdr:nvSpPr>
      <xdr:spPr bwMode="auto">
        <a:xfrm rot="10800000">
          <a:off x="15656719" y="509588"/>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40</xdr:col>
      <xdr:colOff>0</xdr:colOff>
      <xdr:row>3</xdr:row>
      <xdr:rowOff>0</xdr:rowOff>
    </xdr:from>
    <xdr:to>
      <xdr:col>40</xdr:col>
      <xdr:colOff>416718</xdr:colOff>
      <xdr:row>4</xdr:row>
      <xdr:rowOff>59531</xdr:rowOff>
    </xdr:to>
    <xdr:sp macro="" textlink="">
      <xdr:nvSpPr>
        <xdr:cNvPr id="6" name="Flecha derecha 10">
          <a:hlinkClick xmlns:r="http://schemas.openxmlformats.org/officeDocument/2006/relationships" r:id="rId1"/>
          <a:extLst>
            <a:ext uri="{FF2B5EF4-FFF2-40B4-BE49-F238E27FC236}">
              <a16:creationId xmlns:a16="http://schemas.microsoft.com/office/drawing/2014/main" id="{F5FDB742-6A0B-4A62-A655-72B89E7796C5}"/>
            </a:ext>
          </a:extLst>
        </xdr:cNvPr>
        <xdr:cNvSpPr/>
      </xdr:nvSpPr>
      <xdr:spPr bwMode="auto">
        <a:xfrm rot="10800000">
          <a:off x="44548425" y="485775"/>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0</xdr:col>
      <xdr:colOff>0</xdr:colOff>
      <xdr:row>0</xdr:row>
      <xdr:rowOff>0</xdr:rowOff>
    </xdr:from>
    <xdr:to>
      <xdr:col>1</xdr:col>
      <xdr:colOff>828675</xdr:colOff>
      <xdr:row>4</xdr:row>
      <xdr:rowOff>57150</xdr:rowOff>
    </xdr:to>
    <xdr:sp macro="" textlink="">
      <xdr:nvSpPr>
        <xdr:cNvPr id="7" name="Flecha: a la derecha 1">
          <a:hlinkClick xmlns:r="http://schemas.openxmlformats.org/officeDocument/2006/relationships" r:id="rId2"/>
          <a:extLst>
            <a:ext uri="{FF2B5EF4-FFF2-40B4-BE49-F238E27FC236}">
              <a16:creationId xmlns:a16="http://schemas.microsoft.com/office/drawing/2014/main" id="{B7C001E8-1C12-4666-B677-AFB88BBF8A8A}"/>
            </a:ext>
          </a:extLst>
        </xdr:cNvPr>
        <xdr:cNvSpPr/>
      </xdr:nvSpPr>
      <xdr:spPr bwMode="auto">
        <a:xfrm flipH="1">
          <a:off x="0" y="0"/>
          <a:ext cx="1524000" cy="781050"/>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twoCellAnchor>
    <xdr:from>
      <xdr:col>33</xdr:col>
      <xdr:colOff>333375</xdr:colOff>
      <xdr:row>2</xdr:row>
      <xdr:rowOff>47625</xdr:rowOff>
    </xdr:from>
    <xdr:to>
      <xdr:col>33</xdr:col>
      <xdr:colOff>750093</xdr:colOff>
      <xdr:row>3</xdr:row>
      <xdr:rowOff>178593</xdr:rowOff>
    </xdr:to>
    <xdr:sp macro="" textlink="">
      <xdr:nvSpPr>
        <xdr:cNvPr id="8" name="Flecha derecha 5">
          <a:hlinkClick xmlns:r="http://schemas.openxmlformats.org/officeDocument/2006/relationships" r:id="rId1"/>
          <a:extLst>
            <a:ext uri="{FF2B5EF4-FFF2-40B4-BE49-F238E27FC236}">
              <a16:creationId xmlns:a16="http://schemas.microsoft.com/office/drawing/2014/main" id="{2330DEE3-59BF-44D4-9F1C-D884269C9834}"/>
            </a:ext>
          </a:extLst>
        </xdr:cNvPr>
        <xdr:cNvSpPr/>
      </xdr:nvSpPr>
      <xdr:spPr bwMode="auto">
        <a:xfrm rot="10800000">
          <a:off x="38461950" y="428625"/>
          <a:ext cx="416718" cy="321468"/>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25</xdr:col>
      <xdr:colOff>0</xdr:colOff>
      <xdr:row>3</xdr:row>
      <xdr:rowOff>0</xdr:rowOff>
    </xdr:from>
    <xdr:to>
      <xdr:col>25</xdr:col>
      <xdr:colOff>416718</xdr:colOff>
      <xdr:row>4</xdr:row>
      <xdr:rowOff>59531</xdr:rowOff>
    </xdr:to>
    <xdr:sp macro="" textlink="">
      <xdr:nvSpPr>
        <xdr:cNvPr id="9" name="Flecha derecha 6">
          <a:hlinkClick xmlns:r="http://schemas.openxmlformats.org/officeDocument/2006/relationships" r:id="rId1"/>
          <a:extLst>
            <a:ext uri="{FF2B5EF4-FFF2-40B4-BE49-F238E27FC236}">
              <a16:creationId xmlns:a16="http://schemas.microsoft.com/office/drawing/2014/main" id="{FAF2C6A1-07A1-4682-B1A6-F6FF48884699}"/>
            </a:ext>
          </a:extLst>
        </xdr:cNvPr>
        <xdr:cNvSpPr/>
      </xdr:nvSpPr>
      <xdr:spPr bwMode="auto">
        <a:xfrm rot="10800000">
          <a:off x="30899100" y="571500"/>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21</xdr:col>
      <xdr:colOff>0</xdr:colOff>
      <xdr:row>3</xdr:row>
      <xdr:rowOff>0</xdr:rowOff>
    </xdr:from>
    <xdr:to>
      <xdr:col>21</xdr:col>
      <xdr:colOff>416718</xdr:colOff>
      <xdr:row>4</xdr:row>
      <xdr:rowOff>59531</xdr:rowOff>
    </xdr:to>
    <xdr:sp macro="" textlink="">
      <xdr:nvSpPr>
        <xdr:cNvPr id="10" name="Flecha derecha 7">
          <a:hlinkClick xmlns:r="http://schemas.openxmlformats.org/officeDocument/2006/relationships" r:id="rId1"/>
          <a:extLst>
            <a:ext uri="{FF2B5EF4-FFF2-40B4-BE49-F238E27FC236}">
              <a16:creationId xmlns:a16="http://schemas.microsoft.com/office/drawing/2014/main" id="{4A06AED6-E054-4B68-AC30-C63CF15787E9}"/>
            </a:ext>
          </a:extLst>
        </xdr:cNvPr>
        <xdr:cNvSpPr/>
      </xdr:nvSpPr>
      <xdr:spPr bwMode="auto">
        <a:xfrm rot="10800000">
          <a:off x="24498300" y="571500"/>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12</xdr:col>
      <xdr:colOff>369094</xdr:colOff>
      <xdr:row>3</xdr:row>
      <xdr:rowOff>23813</xdr:rowOff>
    </xdr:from>
    <xdr:to>
      <xdr:col>12</xdr:col>
      <xdr:colOff>785812</xdr:colOff>
      <xdr:row>4</xdr:row>
      <xdr:rowOff>83344</xdr:rowOff>
    </xdr:to>
    <xdr:sp macro="" textlink="">
      <xdr:nvSpPr>
        <xdr:cNvPr id="11" name="Flecha derecha 8">
          <a:hlinkClick xmlns:r="http://schemas.openxmlformats.org/officeDocument/2006/relationships" r:id="rId1"/>
          <a:extLst>
            <a:ext uri="{FF2B5EF4-FFF2-40B4-BE49-F238E27FC236}">
              <a16:creationId xmlns:a16="http://schemas.microsoft.com/office/drawing/2014/main" id="{7893380F-2701-484B-B7B8-DADC54B7B899}"/>
            </a:ext>
          </a:extLst>
        </xdr:cNvPr>
        <xdr:cNvSpPr/>
      </xdr:nvSpPr>
      <xdr:spPr bwMode="auto">
        <a:xfrm rot="10800000">
          <a:off x="15713869" y="595313"/>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40</xdr:col>
      <xdr:colOff>0</xdr:colOff>
      <xdr:row>3</xdr:row>
      <xdr:rowOff>0</xdr:rowOff>
    </xdr:from>
    <xdr:to>
      <xdr:col>40</xdr:col>
      <xdr:colOff>416718</xdr:colOff>
      <xdr:row>4</xdr:row>
      <xdr:rowOff>59531</xdr:rowOff>
    </xdr:to>
    <xdr:sp macro="" textlink="">
      <xdr:nvSpPr>
        <xdr:cNvPr id="12" name="Flecha derecha 10">
          <a:hlinkClick xmlns:r="http://schemas.openxmlformats.org/officeDocument/2006/relationships" r:id="rId1"/>
          <a:extLst>
            <a:ext uri="{FF2B5EF4-FFF2-40B4-BE49-F238E27FC236}">
              <a16:creationId xmlns:a16="http://schemas.microsoft.com/office/drawing/2014/main" id="{26A3A22B-FB45-4BA5-B01D-AA3A52880181}"/>
            </a:ext>
          </a:extLst>
        </xdr:cNvPr>
        <xdr:cNvSpPr/>
      </xdr:nvSpPr>
      <xdr:spPr bwMode="auto">
        <a:xfrm rot="10800000">
          <a:off x="44605575" y="571500"/>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0</xdr:col>
      <xdr:colOff>0</xdr:colOff>
      <xdr:row>0</xdr:row>
      <xdr:rowOff>0</xdr:rowOff>
    </xdr:from>
    <xdr:to>
      <xdr:col>1</xdr:col>
      <xdr:colOff>828675</xdr:colOff>
      <xdr:row>4</xdr:row>
      <xdr:rowOff>57150</xdr:rowOff>
    </xdr:to>
    <xdr:sp macro="" textlink="">
      <xdr:nvSpPr>
        <xdr:cNvPr id="13" name="Flecha: a la derecha 1">
          <a:hlinkClick xmlns:r="http://schemas.openxmlformats.org/officeDocument/2006/relationships" r:id="rId2"/>
          <a:extLst>
            <a:ext uri="{FF2B5EF4-FFF2-40B4-BE49-F238E27FC236}">
              <a16:creationId xmlns:a16="http://schemas.microsoft.com/office/drawing/2014/main" id="{9DEC23BE-0664-4F38-A84C-E91449D6DA47}"/>
            </a:ext>
          </a:extLst>
        </xdr:cNvPr>
        <xdr:cNvSpPr/>
      </xdr:nvSpPr>
      <xdr:spPr bwMode="auto">
        <a:xfrm flipH="1">
          <a:off x="0" y="0"/>
          <a:ext cx="1524000" cy="828675"/>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95248</xdr:colOff>
      <xdr:row>0</xdr:row>
      <xdr:rowOff>130970</xdr:rowOff>
    </xdr:from>
    <xdr:to>
      <xdr:col>0</xdr:col>
      <xdr:colOff>1404936</xdr:colOff>
      <xdr:row>4</xdr:row>
      <xdr:rowOff>130969</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70F779EC-88F9-4829-AA5E-0784820BE72F}"/>
            </a:ext>
          </a:extLst>
        </xdr:cNvPr>
        <xdr:cNvSpPr/>
      </xdr:nvSpPr>
      <xdr:spPr bwMode="auto">
        <a:xfrm flipH="1">
          <a:off x="95248" y="130970"/>
          <a:ext cx="1309688"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1309688</xdr:colOff>
      <xdr:row>4</xdr:row>
      <xdr:rowOff>142874</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62DDCB2D-3BE6-4791-A99D-AAB83C5F0336}"/>
            </a:ext>
          </a:extLst>
        </xdr:cNvPr>
        <xdr:cNvSpPr/>
      </xdr:nvSpPr>
      <xdr:spPr bwMode="auto">
        <a:xfrm flipH="1">
          <a:off x="476250" y="161925"/>
          <a:ext cx="1309688"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59530</xdr:colOff>
      <xdr:row>1</xdr:row>
      <xdr:rowOff>0</xdr:rowOff>
    </xdr:from>
    <xdr:to>
      <xdr:col>0</xdr:col>
      <xdr:colOff>1369218</xdr:colOff>
      <xdr:row>4</xdr:row>
      <xdr:rowOff>142874</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05817CC4-09CE-42A8-B518-524135CA00AF}"/>
            </a:ext>
          </a:extLst>
        </xdr:cNvPr>
        <xdr:cNvSpPr/>
      </xdr:nvSpPr>
      <xdr:spPr bwMode="auto">
        <a:xfrm flipH="1">
          <a:off x="59530" y="161925"/>
          <a:ext cx="1309688"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547688</xdr:colOff>
      <xdr:row>5</xdr:row>
      <xdr:rowOff>-1</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38C5930A-C1FE-4B2C-8586-9ABADB8BAF3A}"/>
            </a:ext>
          </a:extLst>
        </xdr:cNvPr>
        <xdr:cNvSpPr/>
      </xdr:nvSpPr>
      <xdr:spPr bwMode="auto">
        <a:xfrm flipH="1">
          <a:off x="323850" y="161925"/>
          <a:ext cx="1766888" cy="695324"/>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196187308\Desktop\Tablas%20Antiguas\7000%20BIENMAG%20TARIFA%202022%20A.%20RECREATIV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03%20PUBLICO\300%20PUBLICO%20ASISTENCIAS\ASISTENCIA%20RECREATIVA\JOAQUIN%20RODRIGO\8000%20DELBIENWILL%20TARIFA%202022%20A.%20RECREATIVA%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
      <sheetName val="Indice Tablas"/>
      <sheetName val="A) Resumen Ingresos y Egresos"/>
      <sheetName val="B) Reajuste Tarifa y Ocupación"/>
      <sheetName val="C) Estimación Costos Directos"/>
      <sheetName val="D) Costos Indirectos"/>
      <sheetName val="E) Resumen Tarifado "/>
      <sheetName val="F) Remuneraciones"/>
      <sheetName val="G) Comparación Mercado"/>
      <sheetName val="H) Detalle Datos"/>
      <sheetName val="I) Costo Desayuno"/>
      <sheetName val="J)Estructura Económica Mensual"/>
    </sheetNames>
    <sheetDataSet>
      <sheetData sheetId="0"/>
      <sheetData sheetId="1"/>
      <sheetData sheetId="2">
        <row r="4">
          <cell r="E4" t="str">
            <v>BIENMAG</v>
          </cell>
        </row>
      </sheetData>
      <sheetData sheetId="3">
        <row r="5">
          <cell r="F5" t="str">
            <v>BIENMAG</v>
          </cell>
        </row>
      </sheetData>
      <sheetData sheetId="4">
        <row r="13">
          <cell r="D13">
            <v>80292630.711999997</v>
          </cell>
        </row>
      </sheetData>
      <sheetData sheetId="5">
        <row r="15">
          <cell r="AO15">
            <v>85533854.185500622</v>
          </cell>
        </row>
      </sheetData>
      <sheetData sheetId="6"/>
      <sheetData sheetId="7">
        <row r="11">
          <cell r="M11">
            <v>80292630.711999997</v>
          </cell>
        </row>
      </sheetData>
      <sheetData sheetId="8"/>
      <sheetData sheetId="9"/>
      <sheetData sheetId="10">
        <row r="29">
          <cell r="E29">
            <v>2400</v>
          </cell>
        </row>
      </sheetData>
      <sheetData sheetId="11">
        <row r="15">
          <cell r="C15">
            <v>0.10894933153564769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Índice Tablas "/>
      <sheetName val="A) Resumen Ingresos"/>
      <sheetName val="Resumen Ingresos y Egresos"/>
      <sheetName val="B) Reajuste Tarifas y Ocupación"/>
      <sheetName val="C) Estimación Costos Directos"/>
      <sheetName val="D) Costos Indirectos"/>
      <sheetName val="m"/>
      <sheetName val="E) Resumen Tarifado "/>
      <sheetName val="F) Remuneraciones"/>
      <sheetName val="G) Comparación Mercado"/>
      <sheetName val="H) Detalle Datos"/>
      <sheetName val="I) Costo Desayuno"/>
      <sheetName val="J) Estructura Económica Mensual"/>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7">
          <cell r="B37" t="str">
            <v>ENERO</v>
          </cell>
          <cell r="D37" t="str">
            <v>FEBRERO</v>
          </cell>
          <cell r="F37" t="str">
            <v>MARZO</v>
          </cell>
          <cell r="H37" t="str">
            <v>ABRIL</v>
          </cell>
          <cell r="J37" t="str">
            <v>MAYO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0014A-38BB-46D8-AA7A-FBC2AD580980}">
  <dimension ref="M2:N135"/>
  <sheetViews>
    <sheetView topLeftCell="O70" workbookViewId="0">
      <selection activeCell="O4" sqref="O4"/>
    </sheetView>
  </sheetViews>
  <sheetFormatPr baseColWidth="10" defaultColWidth="11.453125" defaultRowHeight="14.5" x14ac:dyDescent="0.35"/>
  <cols>
    <col min="1" max="16384" width="11.453125" style="143"/>
  </cols>
  <sheetData>
    <row r="2" spans="13:14" x14ac:dyDescent="0.35">
      <c r="N2" s="143" t="s">
        <v>384</v>
      </c>
    </row>
    <row r="8" spans="13:14" x14ac:dyDescent="0.35">
      <c r="M8" s="596"/>
    </row>
    <row r="9" spans="13:14" x14ac:dyDescent="0.35">
      <c r="M9" s="596"/>
    </row>
    <row r="10" spans="13:14" x14ac:dyDescent="0.35">
      <c r="M10" s="596"/>
    </row>
    <row r="11" spans="13:14" x14ac:dyDescent="0.35">
      <c r="M11" s="596"/>
    </row>
    <row r="12" spans="13:14" x14ac:dyDescent="0.35">
      <c r="M12" s="596"/>
    </row>
    <row r="13" spans="13:14" x14ac:dyDescent="0.35">
      <c r="M13" s="596"/>
    </row>
    <row r="14" spans="13:14" x14ac:dyDescent="0.35">
      <c r="M14" s="596"/>
    </row>
    <row r="15" spans="13:14" x14ac:dyDescent="0.35">
      <c r="M15" s="596"/>
    </row>
    <row r="16" spans="13:14" x14ac:dyDescent="0.35">
      <c r="M16" s="596"/>
    </row>
    <row r="17" spans="13:13" x14ac:dyDescent="0.35">
      <c r="M17" s="596"/>
    </row>
    <row r="18" spans="13:13" x14ac:dyDescent="0.35">
      <c r="M18" s="596"/>
    </row>
    <row r="19" spans="13:13" x14ac:dyDescent="0.35">
      <c r="M19" s="596"/>
    </row>
    <row r="20" spans="13:13" x14ac:dyDescent="0.35">
      <c r="M20" s="596"/>
    </row>
    <row r="21" spans="13:13" x14ac:dyDescent="0.35">
      <c r="M21" s="596"/>
    </row>
    <row r="22" spans="13:13" x14ac:dyDescent="0.35">
      <c r="M22" s="596"/>
    </row>
    <row r="23" spans="13:13" x14ac:dyDescent="0.35">
      <c r="M23" s="596"/>
    </row>
    <row r="24" spans="13:13" x14ac:dyDescent="0.35">
      <c r="M24" s="596"/>
    </row>
    <row r="25" spans="13:13" x14ac:dyDescent="0.35">
      <c r="M25" s="596"/>
    </row>
    <row r="26" spans="13:13" x14ac:dyDescent="0.35">
      <c r="M26" s="596"/>
    </row>
    <row r="27" spans="13:13" x14ac:dyDescent="0.35">
      <c r="M27" s="596"/>
    </row>
    <row r="28" spans="13:13" x14ac:dyDescent="0.35">
      <c r="M28" s="596"/>
    </row>
    <row r="29" spans="13:13" x14ac:dyDescent="0.35">
      <c r="M29" s="596"/>
    </row>
    <row r="30" spans="13:13" x14ac:dyDescent="0.35">
      <c r="M30" s="596"/>
    </row>
    <row r="31" spans="13:13" x14ac:dyDescent="0.35">
      <c r="M31" s="596"/>
    </row>
    <row r="32" spans="13:13" x14ac:dyDescent="0.35">
      <c r="M32" s="596"/>
    </row>
    <row r="33" spans="13:13" x14ac:dyDescent="0.35">
      <c r="M33" s="596"/>
    </row>
    <row r="34" spans="13:13" x14ac:dyDescent="0.35">
      <c r="M34" s="596"/>
    </row>
    <row r="35" spans="13:13" x14ac:dyDescent="0.35">
      <c r="M35" s="596"/>
    </row>
    <row r="36" spans="13:13" x14ac:dyDescent="0.35">
      <c r="M36" s="596"/>
    </row>
    <row r="37" spans="13:13" x14ac:dyDescent="0.35">
      <c r="M37" s="596"/>
    </row>
    <row r="38" spans="13:13" x14ac:dyDescent="0.35">
      <c r="M38" s="596"/>
    </row>
    <row r="39" spans="13:13" x14ac:dyDescent="0.35">
      <c r="M39" s="596"/>
    </row>
    <row r="40" spans="13:13" x14ac:dyDescent="0.35">
      <c r="M40" s="596"/>
    </row>
    <row r="41" spans="13:13" x14ac:dyDescent="0.35">
      <c r="M41" s="596"/>
    </row>
    <row r="42" spans="13:13" x14ac:dyDescent="0.35">
      <c r="M42" s="596"/>
    </row>
    <row r="43" spans="13:13" x14ac:dyDescent="0.35">
      <c r="M43" s="596"/>
    </row>
    <row r="44" spans="13:13" x14ac:dyDescent="0.35">
      <c r="M44" s="596"/>
    </row>
    <row r="45" spans="13:13" x14ac:dyDescent="0.35">
      <c r="M45" s="596"/>
    </row>
    <row r="46" spans="13:13" x14ac:dyDescent="0.35">
      <c r="M46" s="596"/>
    </row>
    <row r="47" spans="13:13" x14ac:dyDescent="0.35">
      <c r="M47" s="596"/>
    </row>
    <row r="48" spans="13:13" s="597" customFormat="1" x14ac:dyDescent="0.35">
      <c r="M48" s="598"/>
    </row>
    <row r="49" spans="13:13" x14ac:dyDescent="0.35">
      <c r="M49" s="596"/>
    </row>
    <row r="50" spans="13:13" x14ac:dyDescent="0.35">
      <c r="M50" s="596"/>
    </row>
    <row r="51" spans="13:13" x14ac:dyDescent="0.35">
      <c r="M51" s="596"/>
    </row>
    <row r="52" spans="13:13" x14ac:dyDescent="0.35">
      <c r="M52" s="596"/>
    </row>
    <row r="53" spans="13:13" x14ac:dyDescent="0.35">
      <c r="M53" s="596"/>
    </row>
    <row r="54" spans="13:13" x14ac:dyDescent="0.35">
      <c r="M54" s="596"/>
    </row>
    <row r="55" spans="13:13" x14ac:dyDescent="0.35">
      <c r="M55" s="596"/>
    </row>
    <row r="56" spans="13:13" x14ac:dyDescent="0.35">
      <c r="M56" s="596"/>
    </row>
    <row r="57" spans="13:13" x14ac:dyDescent="0.35">
      <c r="M57" s="596"/>
    </row>
    <row r="58" spans="13:13" x14ac:dyDescent="0.35">
      <c r="M58" s="596"/>
    </row>
    <row r="59" spans="13:13" x14ac:dyDescent="0.35">
      <c r="M59" s="596"/>
    </row>
    <row r="60" spans="13:13" x14ac:dyDescent="0.35">
      <c r="M60" s="596"/>
    </row>
    <row r="61" spans="13:13" x14ac:dyDescent="0.35">
      <c r="M61" s="596"/>
    </row>
    <row r="62" spans="13:13" x14ac:dyDescent="0.35">
      <c r="M62" s="596"/>
    </row>
    <row r="63" spans="13:13" x14ac:dyDescent="0.35">
      <c r="M63" s="596"/>
    </row>
    <row r="64" spans="13:13" x14ac:dyDescent="0.35">
      <c r="M64" s="596"/>
    </row>
    <row r="65" spans="13:13" x14ac:dyDescent="0.35">
      <c r="M65" s="596"/>
    </row>
    <row r="66" spans="13:13" x14ac:dyDescent="0.35">
      <c r="M66" s="596"/>
    </row>
    <row r="67" spans="13:13" x14ac:dyDescent="0.35">
      <c r="M67" s="596"/>
    </row>
    <row r="68" spans="13:13" x14ac:dyDescent="0.35">
      <c r="M68" s="596"/>
    </row>
    <row r="69" spans="13:13" x14ac:dyDescent="0.35">
      <c r="M69" s="596"/>
    </row>
    <row r="70" spans="13:13" x14ac:dyDescent="0.35">
      <c r="M70" s="596"/>
    </row>
    <row r="71" spans="13:13" x14ac:dyDescent="0.35">
      <c r="M71" s="596"/>
    </row>
    <row r="72" spans="13:13" x14ac:dyDescent="0.35">
      <c r="M72" s="596"/>
    </row>
    <row r="73" spans="13:13" x14ac:dyDescent="0.35">
      <c r="M73" s="596"/>
    </row>
    <row r="74" spans="13:13" x14ac:dyDescent="0.35">
      <c r="M74" s="596"/>
    </row>
    <row r="75" spans="13:13" x14ac:dyDescent="0.35">
      <c r="M75" s="596"/>
    </row>
    <row r="76" spans="13:13" x14ac:dyDescent="0.35">
      <c r="M76" s="596"/>
    </row>
    <row r="77" spans="13:13" x14ac:dyDescent="0.35">
      <c r="M77" s="596"/>
    </row>
    <row r="78" spans="13:13" x14ac:dyDescent="0.35">
      <c r="M78" s="596"/>
    </row>
    <row r="79" spans="13:13" x14ac:dyDescent="0.35">
      <c r="M79" s="596"/>
    </row>
    <row r="80" spans="13:13" x14ac:dyDescent="0.35">
      <c r="M80" s="596"/>
    </row>
    <row r="81" spans="13:13" x14ac:dyDescent="0.35">
      <c r="M81" s="596"/>
    </row>
    <row r="82" spans="13:13" x14ac:dyDescent="0.35">
      <c r="M82" s="596"/>
    </row>
    <row r="83" spans="13:13" x14ac:dyDescent="0.35">
      <c r="M83" s="596"/>
    </row>
    <row r="84" spans="13:13" x14ac:dyDescent="0.35">
      <c r="M84" s="596"/>
    </row>
    <row r="85" spans="13:13" x14ac:dyDescent="0.35">
      <c r="M85" s="596"/>
    </row>
    <row r="86" spans="13:13" x14ac:dyDescent="0.35">
      <c r="M86" s="596"/>
    </row>
    <row r="87" spans="13:13" x14ac:dyDescent="0.35">
      <c r="M87" s="596"/>
    </row>
    <row r="88" spans="13:13" x14ac:dyDescent="0.35">
      <c r="M88" s="596"/>
    </row>
    <row r="89" spans="13:13" x14ac:dyDescent="0.35">
      <c r="M89" s="596"/>
    </row>
    <row r="90" spans="13:13" x14ac:dyDescent="0.35">
      <c r="M90" s="596"/>
    </row>
    <row r="91" spans="13:13" x14ac:dyDescent="0.35">
      <c r="M91" s="596"/>
    </row>
    <row r="92" spans="13:13" x14ac:dyDescent="0.35">
      <c r="M92" s="596"/>
    </row>
    <row r="93" spans="13:13" x14ac:dyDescent="0.35">
      <c r="M93" s="596"/>
    </row>
    <row r="94" spans="13:13" s="597" customFormat="1" x14ac:dyDescent="0.35">
      <c r="M94" s="598"/>
    </row>
    <row r="95" spans="13:13" x14ac:dyDescent="0.35">
      <c r="M95" s="596"/>
    </row>
    <row r="96" spans="13:13" x14ac:dyDescent="0.35">
      <c r="M96" s="596"/>
    </row>
    <row r="97" spans="13:13" x14ac:dyDescent="0.35">
      <c r="M97" s="596"/>
    </row>
    <row r="98" spans="13:13" x14ac:dyDescent="0.35">
      <c r="M98" s="596"/>
    </row>
    <row r="99" spans="13:13" x14ac:dyDescent="0.35">
      <c r="M99" s="596"/>
    </row>
    <row r="100" spans="13:13" x14ac:dyDescent="0.35">
      <c r="M100" s="596"/>
    </row>
    <row r="101" spans="13:13" x14ac:dyDescent="0.35">
      <c r="M101" s="596"/>
    </row>
    <row r="102" spans="13:13" x14ac:dyDescent="0.35">
      <c r="M102" s="596"/>
    </row>
    <row r="103" spans="13:13" x14ac:dyDescent="0.35">
      <c r="M103" s="596"/>
    </row>
    <row r="104" spans="13:13" x14ac:dyDescent="0.35">
      <c r="M104" s="596"/>
    </row>
    <row r="105" spans="13:13" x14ac:dyDescent="0.35">
      <c r="M105" s="596"/>
    </row>
    <row r="106" spans="13:13" x14ac:dyDescent="0.35">
      <c r="M106" s="596"/>
    </row>
    <row r="107" spans="13:13" x14ac:dyDescent="0.35">
      <c r="M107" s="596"/>
    </row>
    <row r="108" spans="13:13" x14ac:dyDescent="0.35">
      <c r="M108" s="596"/>
    </row>
    <row r="109" spans="13:13" x14ac:dyDescent="0.35">
      <c r="M109" s="596"/>
    </row>
    <row r="110" spans="13:13" x14ac:dyDescent="0.35">
      <c r="M110" s="596"/>
    </row>
    <row r="111" spans="13:13" x14ac:dyDescent="0.35">
      <c r="M111" s="596"/>
    </row>
    <row r="112" spans="13:13" x14ac:dyDescent="0.35">
      <c r="M112" s="596"/>
    </row>
    <row r="113" spans="13:13" x14ac:dyDescent="0.35">
      <c r="M113" s="596"/>
    </row>
    <row r="114" spans="13:13" x14ac:dyDescent="0.35">
      <c r="M114" s="596"/>
    </row>
    <row r="115" spans="13:13" x14ac:dyDescent="0.35">
      <c r="M115" s="596"/>
    </row>
    <row r="116" spans="13:13" x14ac:dyDescent="0.35">
      <c r="M116" s="596"/>
    </row>
    <row r="117" spans="13:13" x14ac:dyDescent="0.35">
      <c r="M117" s="596"/>
    </row>
    <row r="118" spans="13:13" x14ac:dyDescent="0.35">
      <c r="M118" s="596"/>
    </row>
    <row r="119" spans="13:13" x14ac:dyDescent="0.35">
      <c r="M119" s="596"/>
    </row>
    <row r="120" spans="13:13" x14ac:dyDescent="0.35">
      <c r="M120" s="596"/>
    </row>
    <row r="121" spans="13:13" x14ac:dyDescent="0.35">
      <c r="M121" s="596"/>
    </row>
    <row r="122" spans="13:13" x14ac:dyDescent="0.35">
      <c r="M122" s="596"/>
    </row>
    <row r="123" spans="13:13" x14ac:dyDescent="0.35">
      <c r="M123" s="596"/>
    </row>
    <row r="124" spans="13:13" x14ac:dyDescent="0.35">
      <c r="M124" s="596"/>
    </row>
    <row r="125" spans="13:13" x14ac:dyDescent="0.35">
      <c r="M125" s="596"/>
    </row>
    <row r="126" spans="13:13" x14ac:dyDescent="0.35">
      <c r="M126" s="596"/>
    </row>
    <row r="127" spans="13:13" x14ac:dyDescent="0.35">
      <c r="M127" s="596"/>
    </row>
    <row r="128" spans="13:13" x14ac:dyDescent="0.35">
      <c r="M128" s="596"/>
    </row>
    <row r="129" spans="13:13" x14ac:dyDescent="0.35">
      <c r="M129" s="596"/>
    </row>
    <row r="130" spans="13:13" x14ac:dyDescent="0.35">
      <c r="M130" s="596"/>
    </row>
    <row r="131" spans="13:13" x14ac:dyDescent="0.35">
      <c r="M131" s="596"/>
    </row>
    <row r="132" spans="13:13" x14ac:dyDescent="0.35">
      <c r="M132" s="596"/>
    </row>
    <row r="133" spans="13:13" x14ac:dyDescent="0.35">
      <c r="M133" s="596"/>
    </row>
    <row r="134" spans="13:13" x14ac:dyDescent="0.35">
      <c r="M134" s="596"/>
    </row>
    <row r="135" spans="13:13" x14ac:dyDescent="0.35">
      <c r="M135" s="596"/>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249977111117893"/>
  </sheetPr>
  <dimension ref="A1:M42"/>
  <sheetViews>
    <sheetView showGridLines="0" zoomScale="80" zoomScaleNormal="80" workbookViewId="0">
      <selection activeCell="C17" sqref="C17"/>
    </sheetView>
  </sheetViews>
  <sheetFormatPr baseColWidth="10" defaultRowHeight="14.5" x14ac:dyDescent="0.35"/>
  <cols>
    <col min="1" max="1" width="26.7265625" style="5" customWidth="1"/>
    <col min="2" max="2" width="48.453125" style="5" customWidth="1"/>
    <col min="3" max="7" width="14.7265625" style="5" customWidth="1"/>
    <col min="8" max="8" width="16.26953125" style="5" customWidth="1"/>
    <col min="9" max="9" width="32.26953125" style="5" customWidth="1"/>
    <col min="10" max="10" width="14.7265625" style="5" customWidth="1"/>
    <col min="11" max="11" width="32.81640625" style="5" bestFit="1" customWidth="1"/>
    <col min="12" max="12" width="11.26953125" style="5" bestFit="1" customWidth="1"/>
    <col min="13" max="13" width="14.26953125" style="5" customWidth="1"/>
  </cols>
  <sheetData>
    <row r="1" spans="1:13" x14ac:dyDescent="0.35">
      <c r="B1" s="3"/>
      <c r="C1" s="3"/>
      <c r="D1" s="3"/>
      <c r="E1" s="3"/>
      <c r="F1" s="3"/>
      <c r="G1" s="3"/>
      <c r="H1" s="3"/>
      <c r="I1" s="3"/>
      <c r="J1" s="3"/>
      <c r="L1" s="3"/>
    </row>
    <row r="2" spans="1:13" x14ac:dyDescent="0.35">
      <c r="B2" s="3"/>
      <c r="C2" s="3"/>
      <c r="D2" s="3" t="s">
        <v>176</v>
      </c>
      <c r="E2" s="3"/>
      <c r="F2" s="3"/>
      <c r="G2" s="3"/>
      <c r="H2" s="3"/>
      <c r="I2" s="3"/>
      <c r="J2" s="3"/>
      <c r="L2" s="3"/>
    </row>
    <row r="3" spans="1:13" x14ac:dyDescent="0.35">
      <c r="C3" s="2"/>
      <c r="D3" s="2"/>
      <c r="E3" s="2"/>
      <c r="F3" s="2"/>
      <c r="G3" s="2"/>
      <c r="H3" s="2"/>
      <c r="J3" s="2"/>
      <c r="L3" s="2"/>
    </row>
    <row r="4" spans="1:13" ht="15.5" x14ac:dyDescent="0.35">
      <c r="C4" s="187" t="s">
        <v>1</v>
      </c>
      <c r="D4" s="1494" t="str">
        <f>+'[1]B) Reajuste Tarifa y Ocupación'!F5</f>
        <v>BIENMAG</v>
      </c>
      <c r="E4" s="1495"/>
      <c r="F4" s="3"/>
      <c r="G4" s="3"/>
      <c r="H4" s="3"/>
      <c r="J4" s="3"/>
      <c r="L4" s="3"/>
    </row>
    <row r="5" spans="1:13" x14ac:dyDescent="0.35">
      <c r="A5" s="8"/>
      <c r="B5" s="8"/>
      <c r="C5" s="3"/>
      <c r="D5" s="3"/>
      <c r="E5" s="3"/>
      <c r="F5" s="3"/>
      <c r="G5" s="3"/>
      <c r="H5" s="3"/>
      <c r="I5" s="3"/>
      <c r="J5" s="3"/>
      <c r="L5" s="3"/>
    </row>
    <row r="6" spans="1:13" x14ac:dyDescent="0.35">
      <c r="A6" s="8"/>
      <c r="B6" s="8"/>
      <c r="C6" s="3"/>
      <c r="D6" s="3"/>
      <c r="E6" s="3"/>
      <c r="F6" s="3"/>
      <c r="G6" s="3"/>
      <c r="H6" s="3"/>
      <c r="I6" s="3"/>
      <c r="J6" s="3"/>
      <c r="L6" s="3"/>
    </row>
    <row r="7" spans="1:13" x14ac:dyDescent="0.35">
      <c r="A7" s="1496" t="s">
        <v>177</v>
      </c>
      <c r="B7" s="1497"/>
      <c r="C7" s="1497"/>
      <c r="D7" s="1497"/>
      <c r="E7" s="1497"/>
      <c r="F7" s="1497"/>
      <c r="G7" s="1497"/>
      <c r="H7" s="1497"/>
      <c r="I7" s="1497"/>
      <c r="J7" s="1497"/>
      <c r="K7" s="1497"/>
      <c r="L7" s="1498"/>
    </row>
    <row r="8" spans="1:13" x14ac:dyDescent="0.35">
      <c r="A8" s="1499"/>
      <c r="B8" s="1500"/>
      <c r="C8" s="1500"/>
      <c r="D8" s="1500"/>
      <c r="E8" s="1500"/>
      <c r="F8" s="1500"/>
      <c r="G8" s="1500"/>
      <c r="H8" s="1500"/>
      <c r="I8" s="1500"/>
      <c r="J8" s="1500"/>
      <c r="K8" s="1500"/>
      <c r="L8" s="1501"/>
    </row>
    <row r="9" spans="1:13" x14ac:dyDescent="0.35">
      <c r="A9" s="1499"/>
      <c r="B9" s="1500"/>
      <c r="C9" s="1500"/>
      <c r="D9" s="1500"/>
      <c r="E9" s="1500"/>
      <c r="F9" s="1500"/>
      <c r="G9" s="1500"/>
      <c r="H9" s="1500"/>
      <c r="I9" s="1500"/>
      <c r="J9" s="1500"/>
      <c r="K9" s="1500"/>
      <c r="L9" s="1501"/>
    </row>
    <row r="10" spans="1:13" x14ac:dyDescent="0.35">
      <c r="A10" s="1502"/>
      <c r="B10" s="1503"/>
      <c r="C10" s="1503"/>
      <c r="D10" s="1503"/>
      <c r="E10" s="1503"/>
      <c r="F10" s="1503"/>
      <c r="G10" s="1503"/>
      <c r="H10" s="1503"/>
      <c r="I10" s="1503"/>
      <c r="J10" s="1503"/>
      <c r="K10" s="1503"/>
      <c r="L10" s="1504"/>
    </row>
    <row r="11" spans="1:13" x14ac:dyDescent="0.35">
      <c r="A11" s="188"/>
      <c r="B11" s="188"/>
      <c r="C11" s="188"/>
      <c r="D11" s="188"/>
      <c r="E11" s="188"/>
      <c r="F11" s="188"/>
      <c r="G11" s="188"/>
      <c r="H11" s="188"/>
      <c r="I11" s="188"/>
      <c r="J11" s="188"/>
      <c r="K11" s="188"/>
      <c r="L11" s="188"/>
    </row>
    <row r="12" spans="1:13" x14ac:dyDescent="0.35">
      <c r="A12" s="188"/>
      <c r="B12" s="188"/>
      <c r="C12" s="188"/>
      <c r="D12" s="188"/>
      <c r="E12" s="188"/>
      <c r="H12" s="188"/>
      <c r="I12" s="188"/>
      <c r="J12" s="188"/>
      <c r="K12" s="188"/>
      <c r="L12" s="188"/>
    </row>
    <row r="13" spans="1:13" ht="15.5" x14ac:dyDescent="0.35">
      <c r="A13" s="1193" t="s">
        <v>285</v>
      </c>
      <c r="B13" s="1193"/>
      <c r="C13" s="1193"/>
      <c r="D13" s="1193"/>
      <c r="E13" s="188"/>
      <c r="F13" s="189"/>
      <c r="G13" s="129" t="s">
        <v>178</v>
      </c>
      <c r="H13" s="188"/>
      <c r="I13" s="1505"/>
      <c r="J13" s="1505"/>
      <c r="K13" s="1505"/>
      <c r="L13" s="1505"/>
      <c r="M13" s="1505"/>
    </row>
    <row r="14" spans="1:13" ht="15" thickBot="1" x14ac:dyDescent="0.4">
      <c r="A14" s="8"/>
      <c r="B14" s="8"/>
      <c r="C14" s="3"/>
      <c r="D14" s="3"/>
      <c r="E14" s="3"/>
      <c r="F14" s="3"/>
      <c r="G14" s="3"/>
      <c r="H14" s="3"/>
      <c r="I14" s="3"/>
      <c r="J14" s="3"/>
      <c r="L14" s="3"/>
    </row>
    <row r="15" spans="1:13" ht="15.5" x14ac:dyDescent="0.35">
      <c r="A15" s="1461" t="s">
        <v>4</v>
      </c>
      <c r="B15" s="1463" t="s">
        <v>23</v>
      </c>
      <c r="C15" s="1508" t="s">
        <v>373</v>
      </c>
      <c r="D15" s="1509"/>
      <c r="E15" s="1510"/>
      <c r="F15" s="1511" t="s">
        <v>179</v>
      </c>
      <c r="G15" s="1512"/>
      <c r="H15" s="1513"/>
      <c r="I15" s="1514" t="s">
        <v>180</v>
      </c>
      <c r="J15" s="1515"/>
      <c r="K15" s="1516" t="s">
        <v>181</v>
      </c>
      <c r="L15" s="1515"/>
      <c r="M15" s="1517" t="s">
        <v>182</v>
      </c>
    </row>
    <row r="16" spans="1:13" ht="25.5" customHeight="1" thickBot="1" x14ac:dyDescent="0.4">
      <c r="A16" s="1506"/>
      <c r="B16" s="1507"/>
      <c r="C16" s="303" t="s">
        <v>167</v>
      </c>
      <c r="D16" s="304" t="s">
        <v>168</v>
      </c>
      <c r="E16" s="305" t="s">
        <v>169</v>
      </c>
      <c r="F16" s="288" t="s">
        <v>167</v>
      </c>
      <c r="G16" s="289" t="s">
        <v>168</v>
      </c>
      <c r="H16" s="273" t="s">
        <v>169</v>
      </c>
      <c r="I16" s="271" t="s">
        <v>183</v>
      </c>
      <c r="J16" s="273" t="s">
        <v>184</v>
      </c>
      <c r="K16" s="272" t="s">
        <v>183</v>
      </c>
      <c r="L16" s="273" t="s">
        <v>184</v>
      </c>
      <c r="M16" s="1518"/>
    </row>
    <row r="17" spans="1:13" x14ac:dyDescent="0.35">
      <c r="A17" s="1491" t="str">
        <f>+'B) Reajuste Tarifa y Ocupación'!A12</f>
        <v>C.H. OFICIALES "FARO EVANGELISTAS"</v>
      </c>
      <c r="B17" s="300" t="str">
        <f>+'B) Reajuste Tarifa y Ocupación'!B12</f>
        <v>SINGLE</v>
      </c>
      <c r="C17" s="306">
        <f>+'B) Reajuste Tarifa y Ocupación'!K12</f>
        <v>50800</v>
      </c>
      <c r="D17" s="278">
        <f>+'B) Reajuste Tarifa y Ocupación'!L12</f>
        <v>60500</v>
      </c>
      <c r="E17" s="307">
        <f>+'B) Reajuste Tarifa y Ocupación'!M12</f>
        <v>63300</v>
      </c>
      <c r="F17" s="290">
        <f>IFERROR(C17/$M17,0)</f>
        <v>0.52533609100310241</v>
      </c>
      <c r="G17" s="279">
        <f t="shared" ref="G17:H32" si="0">IFERROR(D17/$M17,0)</f>
        <v>0.6256463288521199</v>
      </c>
      <c r="H17" s="291">
        <f t="shared" si="0"/>
        <v>0.65460186142709409</v>
      </c>
      <c r="I17" s="975" t="s">
        <v>302</v>
      </c>
      <c r="J17" s="987">
        <v>135900</v>
      </c>
      <c r="K17" s="540" t="s">
        <v>303</v>
      </c>
      <c r="L17" s="280">
        <v>57500</v>
      </c>
      <c r="M17" s="267">
        <f>AVERAGE(J17,L17)</f>
        <v>96700</v>
      </c>
    </row>
    <row r="18" spans="1:13" x14ac:dyDescent="0.35">
      <c r="A18" s="1492"/>
      <c r="B18" s="301" t="str">
        <f>+'B) Reajuste Tarifa y Ocupación'!B13</f>
        <v>DOBLE - MATRIMONIAL</v>
      </c>
      <c r="C18" s="308">
        <f>+'B) Reajuste Tarifa y Ocupación'!K13</f>
        <v>66900</v>
      </c>
      <c r="D18" s="274">
        <f>+'B) Reajuste Tarifa y Ocupación'!L13</f>
        <v>79600</v>
      </c>
      <c r="E18" s="309">
        <f>+'B) Reajuste Tarifa y Ocupación'!M13</f>
        <v>83400</v>
      </c>
      <c r="F18" s="292">
        <f t="shared" ref="F18:H41" si="1">IFERROR(C18/$M18,0)</f>
        <v>0.60379061371841158</v>
      </c>
      <c r="G18" s="275">
        <f t="shared" si="0"/>
        <v>0.71841155234657039</v>
      </c>
      <c r="H18" s="293">
        <f t="shared" si="0"/>
        <v>0.75270758122743686</v>
      </c>
      <c r="I18" s="976" t="s">
        <v>302</v>
      </c>
      <c r="J18" s="989">
        <v>150500</v>
      </c>
      <c r="K18" s="976" t="s">
        <v>303</v>
      </c>
      <c r="L18" s="977">
        <v>71100</v>
      </c>
      <c r="M18" s="268">
        <f t="shared" ref="M18:M42" si="2">AVERAGE(J18,L18)</f>
        <v>110800</v>
      </c>
    </row>
    <row r="19" spans="1:13" x14ac:dyDescent="0.35">
      <c r="A19" s="1492"/>
      <c r="B19" s="301" t="str">
        <f>+'B) Reajuste Tarifa y Ocupación'!B14</f>
        <v>TRIPLE</v>
      </c>
      <c r="C19" s="308">
        <f>+'B) Reajuste Tarifa y Ocupación'!K14</f>
        <v>83000</v>
      </c>
      <c r="D19" s="274">
        <f>+'B) Reajuste Tarifa y Ocupación'!L14</f>
        <v>98800</v>
      </c>
      <c r="E19" s="309">
        <f>+'B) Reajuste Tarifa y Ocupación'!M14</f>
        <v>103500</v>
      </c>
      <c r="F19" s="292">
        <f t="shared" si="1"/>
        <v>0.63919907585675784</v>
      </c>
      <c r="G19" s="275">
        <f t="shared" si="0"/>
        <v>0.76087793608009247</v>
      </c>
      <c r="H19" s="293">
        <f t="shared" si="0"/>
        <v>0.79707354639969197</v>
      </c>
      <c r="I19" s="976" t="s">
        <v>302</v>
      </c>
      <c r="J19" s="988">
        <v>168100</v>
      </c>
      <c r="K19" s="978" t="s">
        <v>303</v>
      </c>
      <c r="L19" s="977">
        <v>91600</v>
      </c>
      <c r="M19" s="268">
        <f t="shared" si="2"/>
        <v>129850</v>
      </c>
    </row>
    <row r="20" spans="1:13" x14ac:dyDescent="0.35">
      <c r="A20" s="1492"/>
      <c r="B20" s="301" t="str">
        <f>+'B) Reajuste Tarifa y Ocupación'!B15</f>
        <v>SUPERIOR MATRIMONIAL</v>
      </c>
      <c r="C20" s="308">
        <f>+'B) Reajuste Tarifa y Ocupación'!K15</f>
        <v>79700</v>
      </c>
      <c r="D20" s="274">
        <f>+'B) Reajuste Tarifa y Ocupación'!L15</f>
        <v>94700</v>
      </c>
      <c r="E20" s="309">
        <f>+'B) Reajuste Tarifa y Ocupación'!M15</f>
        <v>99300</v>
      </c>
      <c r="F20" s="292">
        <f t="shared" si="1"/>
        <v>0</v>
      </c>
      <c r="G20" s="275">
        <f t="shared" si="0"/>
        <v>0</v>
      </c>
      <c r="H20" s="293">
        <f t="shared" si="0"/>
        <v>0</v>
      </c>
      <c r="I20" s="976"/>
      <c r="J20" s="977">
        <v>0</v>
      </c>
      <c r="K20" s="978"/>
      <c r="L20" s="977">
        <v>0</v>
      </c>
      <c r="M20" s="268">
        <f t="shared" si="2"/>
        <v>0</v>
      </c>
    </row>
    <row r="21" spans="1:13" x14ac:dyDescent="0.35">
      <c r="A21" s="1492"/>
      <c r="B21" s="301" t="str">
        <f>+'B) Reajuste Tarifa y Ocupación'!B16</f>
        <v>CAMA ADICIONAL</v>
      </c>
      <c r="C21" s="308">
        <f>+'B) Reajuste Tarifa y Ocupación'!K16</f>
        <v>19600</v>
      </c>
      <c r="D21" s="274">
        <f>+'B) Reajuste Tarifa y Ocupación'!L16</f>
        <v>23400</v>
      </c>
      <c r="E21" s="309">
        <f>+'B) Reajuste Tarifa y Ocupación'!M16</f>
        <v>24500</v>
      </c>
      <c r="F21" s="292">
        <f t="shared" si="1"/>
        <v>0</v>
      </c>
      <c r="G21" s="275">
        <f t="shared" si="0"/>
        <v>0</v>
      </c>
      <c r="H21" s="293">
        <f t="shared" si="0"/>
        <v>0</v>
      </c>
      <c r="I21" s="976"/>
      <c r="J21" s="977">
        <v>0</v>
      </c>
      <c r="K21" s="978"/>
      <c r="L21" s="977">
        <v>0</v>
      </c>
      <c r="M21" s="268">
        <f t="shared" si="2"/>
        <v>0</v>
      </c>
    </row>
    <row r="22" spans="1:13" x14ac:dyDescent="0.35">
      <c r="A22" s="1492"/>
      <c r="B22" s="301" t="str">
        <f>+'B) Reajuste Tarifa y Ocupación'!B17</f>
        <v>Early check-in/Late check-out o uso por transito</v>
      </c>
      <c r="C22" s="310"/>
      <c r="D22" s="276"/>
      <c r="E22" s="311"/>
      <c r="F22" s="294"/>
      <c r="G22" s="277"/>
      <c r="H22" s="295"/>
      <c r="I22" s="979"/>
      <c r="J22" s="980"/>
      <c r="K22" s="981"/>
      <c r="L22" s="980"/>
      <c r="M22" s="269"/>
    </row>
    <row r="23" spans="1:13" x14ac:dyDescent="0.35">
      <c r="A23" s="1492"/>
      <c r="B23" s="302" t="str">
        <f>+'B) Reajuste Tarifa y Ocupación'!B18</f>
        <v>SINGLE</v>
      </c>
      <c r="C23" s="308">
        <f>+'B) Reajuste Tarifa y Ocupación'!K18</f>
        <v>15300</v>
      </c>
      <c r="D23" s="274">
        <f>+'B) Reajuste Tarifa y Ocupación'!L18</f>
        <v>18200</v>
      </c>
      <c r="E23" s="309">
        <f>+'B) Reajuste Tarifa y Ocupación'!M18</f>
        <v>19000</v>
      </c>
      <c r="F23" s="292">
        <f t="shared" si="1"/>
        <v>0</v>
      </c>
      <c r="G23" s="275">
        <f t="shared" si="0"/>
        <v>0</v>
      </c>
      <c r="H23" s="293">
        <f t="shared" si="0"/>
        <v>0</v>
      </c>
      <c r="I23" s="976"/>
      <c r="J23" s="977">
        <v>0</v>
      </c>
      <c r="K23" s="978"/>
      <c r="L23" s="977">
        <v>0</v>
      </c>
      <c r="M23" s="268">
        <f t="shared" si="2"/>
        <v>0</v>
      </c>
    </row>
    <row r="24" spans="1:13" x14ac:dyDescent="0.35">
      <c r="A24" s="1492"/>
      <c r="B24" s="302" t="str">
        <f>+'B) Reajuste Tarifa y Ocupación'!B19</f>
        <v>DOBLE - MATRIMONIAL</v>
      </c>
      <c r="C24" s="308">
        <f>+'B) Reajuste Tarifa y Ocupación'!K19</f>
        <v>20100</v>
      </c>
      <c r="D24" s="274">
        <f>+'B) Reajuste Tarifa y Ocupación'!L19</f>
        <v>23900</v>
      </c>
      <c r="E24" s="309">
        <f>+'B) Reajuste Tarifa y Ocupación'!M19</f>
        <v>25100</v>
      </c>
      <c r="F24" s="292">
        <f t="shared" si="1"/>
        <v>0</v>
      </c>
      <c r="G24" s="275">
        <f t="shared" si="0"/>
        <v>0</v>
      </c>
      <c r="H24" s="293">
        <f t="shared" si="0"/>
        <v>0</v>
      </c>
      <c r="I24" s="976"/>
      <c r="J24" s="977">
        <v>0</v>
      </c>
      <c r="K24" s="978"/>
      <c r="L24" s="977">
        <v>0</v>
      </c>
      <c r="M24" s="268">
        <f t="shared" si="2"/>
        <v>0</v>
      </c>
    </row>
    <row r="25" spans="1:13" x14ac:dyDescent="0.35">
      <c r="A25" s="1492"/>
      <c r="B25" s="302" t="str">
        <f>+'B) Reajuste Tarifa y Ocupación'!B20</f>
        <v>TRIPLE</v>
      </c>
      <c r="C25" s="308">
        <f>+'B) Reajuste Tarifa y Ocupación'!K20</f>
        <v>24900</v>
      </c>
      <c r="D25" s="274">
        <f>+'B) Reajuste Tarifa y Ocupación'!L20</f>
        <v>29700</v>
      </c>
      <c r="E25" s="309">
        <f>+'B) Reajuste Tarifa y Ocupación'!M20</f>
        <v>31100</v>
      </c>
      <c r="F25" s="292">
        <f t="shared" ref="F25" si="3">IFERROR(C25/$M25,0)</f>
        <v>0</v>
      </c>
      <c r="G25" s="275">
        <f t="shared" ref="G25" si="4">IFERROR(D25/$M25,0)</f>
        <v>0</v>
      </c>
      <c r="H25" s="293">
        <f t="shared" ref="H25" si="5">IFERROR(E25/$M25,0)</f>
        <v>0</v>
      </c>
      <c r="I25" s="976"/>
      <c r="J25" s="977">
        <v>0</v>
      </c>
      <c r="K25" s="978"/>
      <c r="L25" s="977">
        <v>0</v>
      </c>
      <c r="M25" s="268">
        <f t="shared" si="2"/>
        <v>0</v>
      </c>
    </row>
    <row r="26" spans="1:13" ht="15" thickBot="1" x14ac:dyDescent="0.4">
      <c r="A26" s="1493"/>
      <c r="B26" s="257" t="str">
        <f>+'B) Reajuste Tarifa y Ocupación'!B21</f>
        <v>SUPERIOR MATRIMONIAL</v>
      </c>
      <c r="C26" s="312">
        <f>+'B) Reajuste Tarifa y Ocupación'!K21</f>
        <v>24000</v>
      </c>
      <c r="D26" s="253">
        <f>+'B) Reajuste Tarifa y Ocupación'!L21</f>
        <v>28500</v>
      </c>
      <c r="E26" s="160">
        <f>+'B) Reajuste Tarifa y Ocupación'!M21</f>
        <v>29800</v>
      </c>
      <c r="F26" s="296">
        <f t="shared" si="1"/>
        <v>0</v>
      </c>
      <c r="G26" s="190">
        <f t="shared" si="0"/>
        <v>0</v>
      </c>
      <c r="H26" s="297">
        <f t="shared" si="0"/>
        <v>0</v>
      </c>
      <c r="I26" s="982"/>
      <c r="J26" s="983">
        <v>0</v>
      </c>
      <c r="K26" s="984"/>
      <c r="L26" s="983">
        <v>0</v>
      </c>
      <c r="M26" s="270">
        <f t="shared" si="2"/>
        <v>0</v>
      </c>
    </row>
    <row r="27" spans="1:13" ht="28.5" thickBot="1" x14ac:dyDescent="0.4">
      <c r="A27" s="281" t="str">
        <f>+'B) Reajuste Tarifa y Ocupación'!A22</f>
        <v>CABAÑAS TORRES DEL PAINE</v>
      </c>
      <c r="B27" s="259" t="str">
        <f>+'B) Reajuste Tarifa y Ocupación'!B22</f>
        <v>CABAÑA (6 PERS.)</v>
      </c>
      <c r="C27" s="254">
        <f>+'B) Reajuste Tarifa y Ocupación'!K22</f>
        <v>96900</v>
      </c>
      <c r="D27" s="255">
        <f>+'B) Reajuste Tarifa y Ocupación'!L22</f>
        <v>144200</v>
      </c>
      <c r="E27" s="256">
        <f>+'B) Reajuste Tarifa y Ocupación'!M22</f>
        <v>230700</v>
      </c>
      <c r="F27" s="298">
        <f t="shared" si="1"/>
        <v>0.20355004726394285</v>
      </c>
      <c r="G27" s="282">
        <f t="shared" si="0"/>
        <v>0.30290935826068688</v>
      </c>
      <c r="H27" s="299">
        <f t="shared" si="0"/>
        <v>0.48461296082344291</v>
      </c>
      <c r="I27" s="283" t="s">
        <v>304</v>
      </c>
      <c r="J27" s="284">
        <v>239500</v>
      </c>
      <c r="K27" s="285" t="s">
        <v>388</v>
      </c>
      <c r="L27" s="284">
        <v>712600</v>
      </c>
      <c r="M27" s="286">
        <f t="shared" si="2"/>
        <v>476050</v>
      </c>
    </row>
    <row r="28" spans="1:13" x14ac:dyDescent="0.35">
      <c r="A28" s="1491" t="str">
        <f>+'B) Reajuste Tarifa y Ocupación'!A23</f>
        <v>C.H. GENTE DE MAR "FARO DUNGENESS"</v>
      </c>
      <c r="B28" s="300" t="str">
        <f>+'B) Reajuste Tarifa y Ocupación'!B23</f>
        <v>SINGLE</v>
      </c>
      <c r="C28" s="306">
        <f>+'B) Reajuste Tarifa y Ocupación'!K23</f>
        <v>41300</v>
      </c>
      <c r="D28" s="278">
        <f>+'B) Reajuste Tarifa y Ocupación'!L23</f>
        <v>49200</v>
      </c>
      <c r="E28" s="307">
        <f>+'B) Reajuste Tarifa y Ocupación'!M23</f>
        <v>51600</v>
      </c>
      <c r="F28" s="290">
        <f t="shared" si="1"/>
        <v>0.29927536231884055</v>
      </c>
      <c r="G28" s="279">
        <f t="shared" si="0"/>
        <v>0.35652173913043478</v>
      </c>
      <c r="H28" s="291">
        <f t="shared" si="0"/>
        <v>0.37391304347826088</v>
      </c>
      <c r="I28" s="975" t="s">
        <v>305</v>
      </c>
      <c r="J28" s="280">
        <v>110300</v>
      </c>
      <c r="K28" s="975" t="s">
        <v>306</v>
      </c>
      <c r="L28" s="280">
        <v>0</v>
      </c>
      <c r="M28" s="267">
        <v>138000</v>
      </c>
    </row>
    <row r="29" spans="1:13" x14ac:dyDescent="0.35">
      <c r="A29" s="1492"/>
      <c r="B29" s="301" t="str">
        <f>+'B) Reajuste Tarifa y Ocupación'!B24</f>
        <v>DOBLE - MATRIMONIAL</v>
      </c>
      <c r="C29" s="308">
        <f>+'B) Reajuste Tarifa y Ocupación'!K24</f>
        <v>56600</v>
      </c>
      <c r="D29" s="274">
        <f>+'B) Reajuste Tarifa y Ocupación'!L24</f>
        <v>67300</v>
      </c>
      <c r="E29" s="309">
        <f>+'B) Reajuste Tarifa y Ocupación'!M24</f>
        <v>70600</v>
      </c>
      <c r="F29" s="292">
        <f t="shared" si="1"/>
        <v>0.35709779179810724</v>
      </c>
      <c r="G29" s="275">
        <f t="shared" si="0"/>
        <v>0.42460567823343848</v>
      </c>
      <c r="H29" s="293">
        <f t="shared" si="0"/>
        <v>0.44542586750788643</v>
      </c>
      <c r="I29" s="976" t="s">
        <v>305</v>
      </c>
      <c r="J29" s="977">
        <v>145000</v>
      </c>
      <c r="K29" s="976" t="s">
        <v>306</v>
      </c>
      <c r="L29" s="977">
        <v>172000</v>
      </c>
      <c r="M29" s="268">
        <f t="shared" si="2"/>
        <v>158500</v>
      </c>
    </row>
    <row r="30" spans="1:13" x14ac:dyDescent="0.35">
      <c r="A30" s="1492"/>
      <c r="B30" s="301" t="str">
        <f>+'B) Reajuste Tarifa y Ocupación'!B25</f>
        <v>TRIPLE</v>
      </c>
      <c r="C30" s="308">
        <f>+'B) Reajuste Tarifa y Ocupación'!K25</f>
        <v>71700</v>
      </c>
      <c r="D30" s="274">
        <f>+'B) Reajuste Tarifa y Ocupación'!L25</f>
        <v>85300</v>
      </c>
      <c r="E30" s="309">
        <f>+'B) Reajuste Tarifa y Ocupación'!M25</f>
        <v>89400</v>
      </c>
      <c r="F30" s="292">
        <f t="shared" si="1"/>
        <v>0.35760598503740648</v>
      </c>
      <c r="G30" s="275">
        <f t="shared" si="0"/>
        <v>0.42543640897755614</v>
      </c>
      <c r="H30" s="293">
        <f t="shared" si="0"/>
        <v>0.4458852867830424</v>
      </c>
      <c r="I30" s="976" t="s">
        <v>305</v>
      </c>
      <c r="J30" s="977">
        <v>170700</v>
      </c>
      <c r="K30" s="976" t="s">
        <v>306</v>
      </c>
      <c r="L30" s="977">
        <v>230300</v>
      </c>
      <c r="M30" s="268">
        <f t="shared" si="2"/>
        <v>200500</v>
      </c>
    </row>
    <row r="31" spans="1:13" x14ac:dyDescent="0.35">
      <c r="A31" s="1492"/>
      <c r="B31" s="301" t="str">
        <f>+'B) Reajuste Tarifa y Ocupación'!B26</f>
        <v>CUADRUPLE</v>
      </c>
      <c r="C31" s="308">
        <f>+'B) Reajuste Tarifa y Ocupación'!K26</f>
        <v>87000</v>
      </c>
      <c r="D31" s="274">
        <f>+'B) Reajuste Tarifa y Ocupación'!L26</f>
        <v>103500</v>
      </c>
      <c r="E31" s="309">
        <f>+'B) Reajuste Tarifa y Ocupación'!M26</f>
        <v>108400</v>
      </c>
      <c r="F31" s="292">
        <f t="shared" si="1"/>
        <v>0.32706766917293234</v>
      </c>
      <c r="G31" s="275">
        <f t="shared" si="0"/>
        <v>0.38909774436090228</v>
      </c>
      <c r="H31" s="293">
        <f t="shared" si="0"/>
        <v>0.40751879699248122</v>
      </c>
      <c r="I31" s="976" t="s">
        <v>305</v>
      </c>
      <c r="J31" s="977">
        <v>259000</v>
      </c>
      <c r="K31" s="976" t="s">
        <v>306</v>
      </c>
      <c r="L31" s="977">
        <v>273000</v>
      </c>
      <c r="M31" s="268">
        <f t="shared" si="2"/>
        <v>266000</v>
      </c>
    </row>
    <row r="32" spans="1:13" x14ac:dyDescent="0.35">
      <c r="A32" s="1492"/>
      <c r="B32" s="301" t="str">
        <f>+'B) Reajuste Tarifa y Ocupación'!B27</f>
        <v>CAMA / PERSONA ADICIONAL</v>
      </c>
      <c r="C32" s="308">
        <f>+'B) Reajuste Tarifa y Ocupación'!K27</f>
        <v>15700</v>
      </c>
      <c r="D32" s="274">
        <f>+'B) Reajuste Tarifa y Ocupación'!L27</f>
        <v>18700</v>
      </c>
      <c r="E32" s="309">
        <f>+'B) Reajuste Tarifa y Ocupación'!M27</f>
        <v>19500</v>
      </c>
      <c r="F32" s="292">
        <f t="shared" si="1"/>
        <v>0</v>
      </c>
      <c r="G32" s="275">
        <f t="shared" si="0"/>
        <v>0</v>
      </c>
      <c r="H32" s="293">
        <f t="shared" si="0"/>
        <v>0</v>
      </c>
      <c r="I32" s="976"/>
      <c r="J32" s="977">
        <v>0</v>
      </c>
      <c r="K32" s="985"/>
      <c r="L32" s="986">
        <v>0</v>
      </c>
      <c r="M32" s="268">
        <f t="shared" si="2"/>
        <v>0</v>
      </c>
    </row>
    <row r="33" spans="1:13" x14ac:dyDescent="0.35">
      <c r="A33" s="1492"/>
      <c r="B33" s="301" t="str">
        <f>+'B) Reajuste Tarifa y Ocupación'!B28</f>
        <v>Early check-in/Late check-out o uso por transito</v>
      </c>
      <c r="C33" s="310"/>
      <c r="D33" s="276"/>
      <c r="E33" s="311"/>
      <c r="F33" s="294"/>
      <c r="G33" s="277"/>
      <c r="H33" s="295"/>
      <c r="I33" s="979"/>
      <c r="J33" s="980"/>
      <c r="K33" s="981"/>
      <c r="L33" s="980"/>
      <c r="M33" s="269"/>
    </row>
    <row r="34" spans="1:13" x14ac:dyDescent="0.35">
      <c r="A34" s="1492"/>
      <c r="B34" s="302" t="str">
        <f>+'B) Reajuste Tarifa y Ocupación'!B29</f>
        <v>SINGLE</v>
      </c>
      <c r="C34" s="308">
        <f>+'B) Reajuste Tarifa y Ocupación'!K29</f>
        <v>12400</v>
      </c>
      <c r="D34" s="274">
        <f>+'B) Reajuste Tarifa y Ocupación'!L29</f>
        <v>14800</v>
      </c>
      <c r="E34" s="309">
        <f>+'B) Reajuste Tarifa y Ocupación'!M29</f>
        <v>15500</v>
      </c>
      <c r="F34" s="292">
        <f t="shared" si="1"/>
        <v>0</v>
      </c>
      <c r="G34" s="275">
        <f t="shared" si="1"/>
        <v>0</v>
      </c>
      <c r="H34" s="293">
        <f t="shared" si="1"/>
        <v>0</v>
      </c>
      <c r="I34" s="976"/>
      <c r="J34" s="977">
        <v>0</v>
      </c>
      <c r="K34" s="978"/>
      <c r="L34" s="977">
        <v>0</v>
      </c>
      <c r="M34" s="268">
        <f t="shared" si="2"/>
        <v>0</v>
      </c>
    </row>
    <row r="35" spans="1:13" x14ac:dyDescent="0.35">
      <c r="A35" s="1492"/>
      <c r="B35" s="302" t="str">
        <f>+'B) Reajuste Tarifa y Ocupación'!B30</f>
        <v>DOBLE - MATRIMONIAL</v>
      </c>
      <c r="C35" s="308">
        <f>+'B) Reajuste Tarifa y Ocupación'!K30</f>
        <v>17000</v>
      </c>
      <c r="D35" s="274">
        <f>+'B) Reajuste Tarifa y Ocupación'!L30</f>
        <v>20200</v>
      </c>
      <c r="E35" s="309">
        <f>+'B) Reajuste Tarifa y Ocupación'!M30</f>
        <v>21200</v>
      </c>
      <c r="F35" s="292">
        <f t="shared" si="1"/>
        <v>0</v>
      </c>
      <c r="G35" s="275">
        <f t="shared" si="1"/>
        <v>0</v>
      </c>
      <c r="H35" s="293">
        <f t="shared" si="1"/>
        <v>0</v>
      </c>
      <c r="I35" s="976"/>
      <c r="J35" s="977">
        <v>0</v>
      </c>
      <c r="K35" s="978"/>
      <c r="L35" s="977">
        <v>0</v>
      </c>
      <c r="M35" s="268">
        <f t="shared" si="2"/>
        <v>0</v>
      </c>
    </row>
    <row r="36" spans="1:13" x14ac:dyDescent="0.35">
      <c r="A36" s="1492"/>
      <c r="B36" s="302" t="str">
        <f>+'B) Reajuste Tarifa y Ocupación'!B31</f>
        <v>TRIPLE</v>
      </c>
      <c r="C36" s="308">
        <f>+'B) Reajuste Tarifa y Ocupación'!K31</f>
        <v>21600</v>
      </c>
      <c r="D36" s="274">
        <f>+'B) Reajuste Tarifa y Ocupación'!L31</f>
        <v>25600</v>
      </c>
      <c r="E36" s="309">
        <f>+'B) Reajuste Tarifa y Ocupación'!M31</f>
        <v>26900</v>
      </c>
      <c r="F36" s="292">
        <f t="shared" si="1"/>
        <v>0</v>
      </c>
      <c r="G36" s="275">
        <f t="shared" si="1"/>
        <v>0</v>
      </c>
      <c r="H36" s="293">
        <f t="shared" si="1"/>
        <v>0</v>
      </c>
      <c r="I36" s="976"/>
      <c r="J36" s="977">
        <v>0</v>
      </c>
      <c r="K36" s="978"/>
      <c r="L36" s="977">
        <v>0</v>
      </c>
      <c r="M36" s="268">
        <f t="shared" si="2"/>
        <v>0</v>
      </c>
    </row>
    <row r="37" spans="1:13" ht="15" thickBot="1" x14ac:dyDescent="0.4">
      <c r="A37" s="1493"/>
      <c r="B37" s="257" t="str">
        <f>+'B) Reajuste Tarifa y Ocupación'!B32</f>
        <v>CUADRUPLE</v>
      </c>
      <c r="C37" s="312">
        <f>+'B) Reajuste Tarifa y Ocupación'!K32</f>
        <v>26100</v>
      </c>
      <c r="D37" s="253">
        <f>+'B) Reajuste Tarifa y Ocupación'!L32</f>
        <v>31100</v>
      </c>
      <c r="E37" s="160">
        <f>+'B) Reajuste Tarifa y Ocupación'!M32</f>
        <v>32600</v>
      </c>
      <c r="F37" s="296">
        <f t="shared" si="1"/>
        <v>0</v>
      </c>
      <c r="G37" s="190">
        <f t="shared" si="1"/>
        <v>0</v>
      </c>
      <c r="H37" s="297">
        <f t="shared" si="1"/>
        <v>0</v>
      </c>
      <c r="I37" s="982"/>
      <c r="J37" s="983">
        <v>0</v>
      </c>
      <c r="K37" s="984"/>
      <c r="L37" s="983">
        <v>0</v>
      </c>
      <c r="M37" s="270">
        <f t="shared" si="2"/>
        <v>0</v>
      </c>
    </row>
    <row r="38" spans="1:13" ht="15" thickBot="1" x14ac:dyDescent="0.4">
      <c r="A38" s="586" t="str">
        <f>+'B) Reajuste Tarifa y Ocupación'!A33</f>
        <v>CABAÑAS RIO SAN JUAN</v>
      </c>
      <c r="B38" s="300" t="str">
        <f>+'B) Reajuste Tarifa y Ocupación'!B33</f>
        <v>CABAÑA (6 PERS.)</v>
      </c>
      <c r="C38" s="306">
        <f>+'B) Reajuste Tarifa y Ocupación'!K33</f>
        <v>50700</v>
      </c>
      <c r="D38" s="278">
        <f>+'B) Reajuste Tarifa y Ocupación'!L33</f>
        <v>75500</v>
      </c>
      <c r="E38" s="307">
        <f>+'B) Reajuste Tarifa y Ocupación'!M33</f>
        <v>120700</v>
      </c>
      <c r="F38" s="290">
        <f t="shared" si="1"/>
        <v>0</v>
      </c>
      <c r="G38" s="279">
        <f t="shared" si="1"/>
        <v>0</v>
      </c>
      <c r="H38" s="291">
        <f t="shared" si="1"/>
        <v>0</v>
      </c>
      <c r="I38" s="975" t="s">
        <v>307</v>
      </c>
      <c r="J38" s="280">
        <v>0</v>
      </c>
      <c r="K38" s="540" t="s">
        <v>307</v>
      </c>
      <c r="L38" s="280">
        <v>0</v>
      </c>
      <c r="M38" s="267">
        <f t="shared" si="2"/>
        <v>0</v>
      </c>
    </row>
    <row r="39" spans="1:13" x14ac:dyDescent="0.35">
      <c r="A39" s="1491" t="str">
        <f>+'B) Reajuste Tarifa y Ocupación'!A34</f>
        <v>CENTRO RECREATIVO</v>
      </c>
      <c r="B39" s="300" t="str">
        <f>+'B) Reajuste Tarifa y Ocupación'!B34</f>
        <v>QUINCHO 20 PERS.</v>
      </c>
      <c r="C39" s="306">
        <f>+'B) Reajuste Tarifa y Ocupación'!K34</f>
        <v>44400</v>
      </c>
      <c r="D39" s="278">
        <f>+'B) Reajuste Tarifa y Ocupación'!L34</f>
        <v>68600</v>
      </c>
      <c r="E39" s="307">
        <f>+'B) Reajuste Tarifa y Ocupación'!M34</f>
        <v>109700</v>
      </c>
      <c r="F39" s="290">
        <f t="shared" si="1"/>
        <v>0.39466666666666667</v>
      </c>
      <c r="G39" s="279">
        <f t="shared" si="1"/>
        <v>0.60977777777777775</v>
      </c>
      <c r="H39" s="291">
        <f t="shared" si="1"/>
        <v>0.97511111111111115</v>
      </c>
      <c r="I39" s="975" t="s">
        <v>308</v>
      </c>
      <c r="J39" s="280">
        <v>100000</v>
      </c>
      <c r="K39" s="540" t="s">
        <v>309</v>
      </c>
      <c r="L39" s="280">
        <v>125000</v>
      </c>
      <c r="M39" s="267">
        <f t="shared" si="2"/>
        <v>112500</v>
      </c>
    </row>
    <row r="40" spans="1:13" x14ac:dyDescent="0.35">
      <c r="A40" s="1492"/>
      <c r="B40" s="301" t="str">
        <f>+'B) Reajuste Tarifa y Ocupación'!B35</f>
        <v>QUINCHO 40 PERS.</v>
      </c>
      <c r="C40" s="308">
        <f>+'B) Reajuste Tarifa y Ocupación'!K35</f>
        <v>69500</v>
      </c>
      <c r="D40" s="274">
        <f>+'B) Reajuste Tarifa y Ocupación'!L35</f>
        <v>103000</v>
      </c>
      <c r="E40" s="309">
        <f>+'B) Reajuste Tarifa y Ocupación'!M35</f>
        <v>164700</v>
      </c>
      <c r="F40" s="292">
        <f t="shared" si="1"/>
        <v>0.43167701863354035</v>
      </c>
      <c r="G40" s="275">
        <f t="shared" si="1"/>
        <v>0.63975155279503104</v>
      </c>
      <c r="H40" s="293">
        <f t="shared" si="1"/>
        <v>1.0229813664596272</v>
      </c>
      <c r="I40" s="976" t="s">
        <v>310</v>
      </c>
      <c r="J40" s="977">
        <v>142000</v>
      </c>
      <c r="K40" s="978" t="s">
        <v>311</v>
      </c>
      <c r="L40" s="977">
        <v>180000</v>
      </c>
      <c r="M40" s="268">
        <f t="shared" si="2"/>
        <v>161000</v>
      </c>
    </row>
    <row r="41" spans="1:13" ht="15" thickBot="1" x14ac:dyDescent="0.4">
      <c r="A41" s="1493"/>
      <c r="B41" s="258" t="str">
        <f>+'B) Reajuste Tarifa y Ocupación'!B36</f>
        <v>QUINCHO 80 PERS.</v>
      </c>
      <c r="C41" s="312">
        <f>+'B) Reajuste Tarifa y Ocupación'!K36</f>
        <v>107400</v>
      </c>
      <c r="D41" s="253">
        <f>+'B) Reajuste Tarifa y Ocupación'!L36</f>
        <v>171500</v>
      </c>
      <c r="E41" s="160">
        <f>+'B) Reajuste Tarifa y Ocupación'!M36</f>
        <v>274500</v>
      </c>
      <c r="F41" s="296">
        <f t="shared" si="1"/>
        <v>0.42117647058823532</v>
      </c>
      <c r="G41" s="190">
        <f t="shared" si="1"/>
        <v>0.67254901960784319</v>
      </c>
      <c r="H41" s="297">
        <f t="shared" si="1"/>
        <v>1.0764705882352941</v>
      </c>
      <c r="I41" s="982" t="s">
        <v>312</v>
      </c>
      <c r="J41" s="983">
        <v>250000</v>
      </c>
      <c r="K41" s="984" t="s">
        <v>313</v>
      </c>
      <c r="L41" s="983">
        <v>260000</v>
      </c>
      <c r="M41" s="270">
        <f t="shared" si="2"/>
        <v>255000</v>
      </c>
    </row>
    <row r="42" spans="1:13" ht="28.5" thickBot="1" x14ac:dyDescent="0.4">
      <c r="A42" s="287" t="str">
        <f>+'B) Reajuste Tarifa y Ocupación'!A37</f>
        <v>SALA EVENTOS - QUINCHO BERMUDEZ</v>
      </c>
      <c r="B42" s="259" t="str">
        <f>+'B) Reajuste Tarifa y Ocupación'!B37</f>
        <v>SALA - QUINCHO 40 PERS.</v>
      </c>
      <c r="C42" s="254">
        <f>+'B) Reajuste Tarifa y Ocupación'!K37</f>
        <v>58400</v>
      </c>
      <c r="D42" s="527">
        <f>+'B) Reajuste Tarifa y Ocupación'!L37</f>
        <v>0</v>
      </c>
      <c r="E42" s="528">
        <f>+'B) Reajuste Tarifa y Ocupación'!M37</f>
        <v>0</v>
      </c>
      <c r="F42" s="298">
        <f t="shared" ref="F42:H42" si="6">IFERROR(C42/$M42,0)</f>
        <v>0.51911111111111108</v>
      </c>
      <c r="G42" s="282">
        <f t="shared" si="6"/>
        <v>0</v>
      </c>
      <c r="H42" s="299">
        <f t="shared" si="6"/>
        <v>0</v>
      </c>
      <c r="I42" s="283" t="s">
        <v>308</v>
      </c>
      <c r="J42" s="284">
        <v>100000</v>
      </c>
      <c r="K42" s="285" t="s">
        <v>309</v>
      </c>
      <c r="L42" s="284">
        <v>125000</v>
      </c>
      <c r="M42" s="286">
        <f t="shared" si="2"/>
        <v>112500</v>
      </c>
    </row>
  </sheetData>
  <sheetProtection algorithmName="SHA-512" hashValue="r6k5/LY6dBsCRm7bmzt31aMmTvkyMNVv4GtK/sAyJLy1FgWbBLCGBIiIw4FYOYJYwpudDUrryx+x57qtYYrKbw==" saltValue="yBkzf1dYVN2c6s9KA/coQg==" spinCount="100000" sheet="1" objects="1" scenarios="1"/>
  <mergeCells count="14">
    <mergeCell ref="A17:A26"/>
    <mergeCell ref="A28:A37"/>
    <mergeCell ref="A39:A41"/>
    <mergeCell ref="D4:E4"/>
    <mergeCell ref="A7:L10"/>
    <mergeCell ref="A13:D13"/>
    <mergeCell ref="I13:M13"/>
    <mergeCell ref="A15:A16"/>
    <mergeCell ref="B15:B16"/>
    <mergeCell ref="C15:E15"/>
    <mergeCell ref="F15:H15"/>
    <mergeCell ref="I15:J15"/>
    <mergeCell ref="K15:L15"/>
    <mergeCell ref="M15:M16"/>
  </mergeCells>
  <conditionalFormatting sqref="F17:F42">
    <cfRule type="expression" dxfId="14" priority="3">
      <formula>OR(F17&lt;70%,F17&gt;80%)</formula>
    </cfRule>
  </conditionalFormatting>
  <conditionalFormatting sqref="G17:G42">
    <cfRule type="expression" dxfId="13" priority="2">
      <formula>OR(G17&lt;80%,G17&gt;90%)</formula>
    </cfRule>
  </conditionalFormatting>
  <conditionalFormatting sqref="H17:H42">
    <cfRule type="expression" dxfId="12" priority="1">
      <formula>OR(H17&lt;100%,H17&gt;150%)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A3:V268"/>
  <sheetViews>
    <sheetView showGridLines="0" zoomScale="80" zoomScaleNormal="80" workbookViewId="0">
      <selection activeCell="D4" sqref="D4"/>
    </sheetView>
  </sheetViews>
  <sheetFormatPr baseColWidth="10" defaultRowHeight="14.5" x14ac:dyDescent="0.35"/>
  <cols>
    <col min="1" max="1" width="2.7265625" style="191" customWidth="1"/>
    <col min="2" max="2" width="19" style="191" customWidth="1"/>
    <col min="3" max="3" width="12.7265625" style="191" customWidth="1"/>
    <col min="4" max="7" width="14.7265625" style="191" customWidth="1"/>
    <col min="8" max="8" width="11.1796875" style="191" customWidth="1"/>
    <col min="9" max="12" width="14.7265625" style="191" customWidth="1"/>
    <col min="13" max="13" width="11.453125" style="191" customWidth="1"/>
    <col min="14" max="18" width="14.7265625" style="191" customWidth="1"/>
    <col min="19" max="19" width="11.7265625" style="191" customWidth="1"/>
    <col min="20" max="20" width="12.453125" style="191" customWidth="1"/>
    <col min="21" max="22" width="11.453125" style="191"/>
  </cols>
  <sheetData>
    <row r="3" spans="1:21" ht="15.5" x14ac:dyDescent="0.35">
      <c r="D3" s="1525" t="s">
        <v>531</v>
      </c>
      <c r="E3" s="1526"/>
      <c r="F3" s="1526"/>
      <c r="G3" s="1527"/>
      <c r="H3" s="1142"/>
      <c r="I3" s="1531" t="s">
        <v>533</v>
      </c>
      <c r="J3" s="1532"/>
      <c r="K3" s="1532"/>
      <c r="L3" s="1533"/>
      <c r="M3" s="1142"/>
      <c r="N3" s="1528" t="s">
        <v>534</v>
      </c>
      <c r="O3" s="1529"/>
      <c r="P3" s="1529"/>
      <c r="Q3" s="1530"/>
    </row>
    <row r="4" spans="1:21" ht="20.25" customHeight="1" x14ac:dyDescent="0.35">
      <c r="D4" s="1134" t="s">
        <v>44</v>
      </c>
      <c r="E4" s="1135" t="s">
        <v>462</v>
      </c>
      <c r="F4" s="1135" t="s">
        <v>525</v>
      </c>
      <c r="G4" s="1135" t="s">
        <v>526</v>
      </c>
      <c r="I4" s="1140" t="s">
        <v>44</v>
      </c>
      <c r="J4" s="1141" t="s">
        <v>462</v>
      </c>
      <c r="K4" s="1141" t="s">
        <v>525</v>
      </c>
      <c r="L4" s="1141" t="s">
        <v>526</v>
      </c>
      <c r="N4" s="1136" t="s">
        <v>44</v>
      </c>
      <c r="O4" s="1137" t="s">
        <v>462</v>
      </c>
      <c r="P4" s="1137" t="s">
        <v>525</v>
      </c>
      <c r="Q4" s="1138" t="s">
        <v>526</v>
      </c>
    </row>
    <row r="5" spans="1:21" x14ac:dyDescent="0.35">
      <c r="D5" s="1143" t="s">
        <v>468</v>
      </c>
      <c r="E5" s="1143" t="s">
        <v>464</v>
      </c>
      <c r="F5" s="1144" t="s">
        <v>462</v>
      </c>
      <c r="G5" s="1144" t="s">
        <v>462</v>
      </c>
      <c r="H5" s="1145"/>
      <c r="I5" s="1143" t="s">
        <v>468</v>
      </c>
      <c r="J5" s="1143" t="s">
        <v>464</v>
      </c>
      <c r="K5" s="1144" t="s">
        <v>462</v>
      </c>
      <c r="L5" s="1144" t="s">
        <v>462</v>
      </c>
      <c r="M5" s="1145"/>
      <c r="N5" s="1146" t="s">
        <v>468</v>
      </c>
      <c r="O5" s="1146" t="s">
        <v>464</v>
      </c>
      <c r="P5" s="1147" t="s">
        <v>462</v>
      </c>
      <c r="Q5" s="1147" t="s">
        <v>462</v>
      </c>
      <c r="R5" s="601"/>
    </row>
    <row r="6" spans="1:21" x14ac:dyDescent="0.35">
      <c r="A6" s="5"/>
      <c r="B6" s="5"/>
      <c r="C6" s="5"/>
      <c r="D6" s="1148">
        <v>0.35</v>
      </c>
      <c r="E6" s="1149" t="s">
        <v>465</v>
      </c>
      <c r="F6" s="1150" t="s">
        <v>463</v>
      </c>
      <c r="G6" s="1150" t="s">
        <v>527</v>
      </c>
      <c r="H6" s="956"/>
      <c r="I6" s="1148">
        <v>0.35</v>
      </c>
      <c r="J6" s="1149" t="s">
        <v>465</v>
      </c>
      <c r="K6" s="1150" t="s">
        <v>530</v>
      </c>
      <c r="L6" s="1150" t="s">
        <v>463</v>
      </c>
      <c r="M6" s="1145"/>
      <c r="N6" s="1148">
        <v>0.35</v>
      </c>
      <c r="O6" s="1149" t="s">
        <v>465</v>
      </c>
      <c r="P6" s="1150" t="s">
        <v>466</v>
      </c>
      <c r="Q6" s="1150" t="s">
        <v>467</v>
      </c>
      <c r="R6" s="601"/>
    </row>
    <row r="7" spans="1:21" ht="11.25" customHeight="1" x14ac:dyDescent="0.35">
      <c r="A7" s="129"/>
      <c r="B7" s="129"/>
      <c r="C7" s="129"/>
      <c r="D7" s="129"/>
      <c r="E7" s="129"/>
      <c r="F7" s="129"/>
      <c r="G7" s="129"/>
      <c r="H7" s="129"/>
      <c r="I7" s="129"/>
      <c r="J7" s="601"/>
      <c r="K7" s="601"/>
      <c r="L7" s="601"/>
      <c r="M7" s="601"/>
      <c r="N7" s="601"/>
      <c r="O7" s="601"/>
      <c r="P7" s="601"/>
      <c r="Q7" s="601"/>
      <c r="R7" s="601"/>
    </row>
    <row r="8" spans="1:21" x14ac:dyDescent="0.35">
      <c r="A8" s="129"/>
      <c r="B8" s="129"/>
      <c r="C8" s="129"/>
      <c r="H8" s="129"/>
      <c r="I8" s="129"/>
    </row>
    <row r="9" spans="1:21" ht="21" x14ac:dyDescent="0.5">
      <c r="A9" s="129"/>
      <c r="B9" s="950" t="s">
        <v>459</v>
      </c>
      <c r="C9" s="129"/>
      <c r="D9" s="129"/>
      <c r="E9" s="129"/>
      <c r="F9" s="129"/>
      <c r="G9" s="129"/>
      <c r="H9" s="129"/>
      <c r="I9" s="129"/>
    </row>
    <row r="10" spans="1:21" ht="15.5" x14ac:dyDescent="0.35">
      <c r="A10" s="129"/>
      <c r="B10" s="1522" t="s">
        <v>425</v>
      </c>
      <c r="C10" s="1523"/>
      <c r="D10" s="1523"/>
      <c r="E10" s="1523"/>
      <c r="F10" s="1524"/>
      <c r="G10"/>
      <c r="H10" s="129"/>
    </row>
    <row r="11" spans="1:21" x14ac:dyDescent="0.35">
      <c r="A11" s="129"/>
      <c r="B11" s="1519" t="s">
        <v>426</v>
      </c>
      <c r="C11" s="1520"/>
      <c r="D11" s="1520"/>
      <c r="E11" s="1520"/>
      <c r="F11" s="1521"/>
      <c r="G11" s="960"/>
      <c r="H11" s="1537" t="s">
        <v>535</v>
      </c>
      <c r="I11" s="1538"/>
      <c r="J11" s="1538"/>
      <c r="K11" s="1539"/>
      <c r="M11" s="1535" t="s">
        <v>427</v>
      </c>
      <c r="N11" s="1536"/>
      <c r="O11" s="1534" t="s">
        <v>428</v>
      </c>
      <c r="P11" s="1534"/>
      <c r="Q11" s="1534" t="s">
        <v>429</v>
      </c>
      <c r="R11" s="1534"/>
    </row>
    <row r="12" spans="1:21" x14ac:dyDescent="0.35">
      <c r="A12" s="129"/>
      <c r="B12" s="1151"/>
      <c r="C12" s="1152" t="s">
        <v>44</v>
      </c>
      <c r="D12" s="1153" t="s">
        <v>430</v>
      </c>
      <c r="E12" s="1154" t="s">
        <v>431</v>
      </c>
      <c r="F12" s="1155" t="s">
        <v>432</v>
      </c>
      <c r="H12" s="991" t="s">
        <v>433</v>
      </c>
      <c r="I12" s="994" t="s">
        <v>434</v>
      </c>
      <c r="J12" s="995" t="s">
        <v>435</v>
      </c>
      <c r="K12" s="995" t="s">
        <v>436</v>
      </c>
      <c r="M12" s="991" t="s">
        <v>433</v>
      </c>
      <c r="N12" s="991" t="s">
        <v>437</v>
      </c>
      <c r="O12" s="991" t="s">
        <v>438</v>
      </c>
      <c r="P12" s="991" t="s">
        <v>439</v>
      </c>
      <c r="Q12" s="991" t="s">
        <v>438</v>
      </c>
      <c r="R12" s="991" t="s">
        <v>439</v>
      </c>
    </row>
    <row r="13" spans="1:21" x14ac:dyDescent="0.35">
      <c r="A13" s="129"/>
      <c r="B13" s="996" t="s">
        <v>46</v>
      </c>
      <c r="C13" s="997">
        <v>2095</v>
      </c>
      <c r="D13" s="998">
        <v>984</v>
      </c>
      <c r="E13" s="999">
        <v>158</v>
      </c>
      <c r="F13" s="1000">
        <v>32</v>
      </c>
      <c r="G13" s="1021">
        <f>SUM(C13:F13)</f>
        <v>3269</v>
      </c>
      <c r="H13" s="991" t="s">
        <v>46</v>
      </c>
      <c r="I13" s="1001">
        <f>G13</f>
        <v>3269</v>
      </c>
      <c r="J13" s="995">
        <v>1</v>
      </c>
      <c r="K13" s="995">
        <f>I13*J13</f>
        <v>3269</v>
      </c>
      <c r="M13" s="996" t="s">
        <v>46</v>
      </c>
      <c r="N13" s="1002">
        <f>G13</f>
        <v>3269</v>
      </c>
      <c r="O13" s="991">
        <v>2</v>
      </c>
      <c r="P13" s="991">
        <f>N13*O13</f>
        <v>6538</v>
      </c>
      <c r="Q13" s="991">
        <v>1</v>
      </c>
      <c r="R13" s="991">
        <f>N13*Q13</f>
        <v>3269</v>
      </c>
    </row>
    <row r="14" spans="1:21" x14ac:dyDescent="0.35">
      <c r="A14" s="129"/>
      <c r="B14" s="996" t="s">
        <v>440</v>
      </c>
      <c r="C14" s="997">
        <v>842</v>
      </c>
      <c r="D14" s="998">
        <v>297</v>
      </c>
      <c r="E14" s="999">
        <v>71</v>
      </c>
      <c r="F14" s="1000">
        <v>18</v>
      </c>
      <c r="G14" s="1021">
        <f t="shared" ref="G14:G16" si="0">SUM(C14:F14)</f>
        <v>1228</v>
      </c>
      <c r="H14" s="991" t="s">
        <v>440</v>
      </c>
      <c r="I14" s="1001">
        <f>G14</f>
        <v>1228</v>
      </c>
      <c r="J14" s="995">
        <v>2</v>
      </c>
      <c r="K14" s="995">
        <f t="shared" ref="K14:K16" si="1">I14*J14</f>
        <v>2456</v>
      </c>
      <c r="M14" s="996" t="s">
        <v>440</v>
      </c>
      <c r="N14" s="1002">
        <f>G14</f>
        <v>1228</v>
      </c>
      <c r="O14" s="991">
        <v>2</v>
      </c>
      <c r="P14" s="991">
        <f>N14*O14</f>
        <v>2456</v>
      </c>
      <c r="Q14" s="991">
        <v>2</v>
      </c>
      <c r="R14" s="991">
        <f>N14*Q14</f>
        <v>2456</v>
      </c>
    </row>
    <row r="15" spans="1:21" x14ac:dyDescent="0.35">
      <c r="A15" s="129"/>
      <c r="B15" s="996" t="s">
        <v>48</v>
      </c>
      <c r="C15" s="997">
        <v>268</v>
      </c>
      <c r="D15" s="998">
        <v>104</v>
      </c>
      <c r="E15" s="999">
        <v>24</v>
      </c>
      <c r="F15" s="1000">
        <v>4</v>
      </c>
      <c r="G15" s="1021">
        <f t="shared" si="0"/>
        <v>400</v>
      </c>
      <c r="H15" s="991" t="s">
        <v>48</v>
      </c>
      <c r="I15" s="1001">
        <f>G15</f>
        <v>400</v>
      </c>
      <c r="J15" s="995">
        <v>3</v>
      </c>
      <c r="K15" s="995">
        <f t="shared" si="1"/>
        <v>1200</v>
      </c>
      <c r="M15" s="996" t="s">
        <v>48</v>
      </c>
      <c r="N15" s="1002">
        <f>G15</f>
        <v>400</v>
      </c>
      <c r="O15" s="991">
        <v>3</v>
      </c>
      <c r="P15" s="991">
        <f>N15*O15</f>
        <v>1200</v>
      </c>
      <c r="Q15" s="991">
        <v>3</v>
      </c>
      <c r="R15" s="991">
        <f>N15*Q15</f>
        <v>1200</v>
      </c>
    </row>
    <row r="16" spans="1:21" x14ac:dyDescent="0.35">
      <c r="A16" s="250"/>
      <c r="B16" s="996" t="s">
        <v>441</v>
      </c>
      <c r="C16" s="997">
        <v>293</v>
      </c>
      <c r="D16" s="998">
        <v>58</v>
      </c>
      <c r="E16" s="999">
        <v>49</v>
      </c>
      <c r="F16" s="1000">
        <v>0</v>
      </c>
      <c r="G16" s="1021">
        <f t="shared" si="0"/>
        <v>400</v>
      </c>
      <c r="H16" s="991" t="s">
        <v>441</v>
      </c>
      <c r="I16" s="1001">
        <f>G16</f>
        <v>400</v>
      </c>
      <c r="J16" s="995">
        <v>1</v>
      </c>
      <c r="K16" s="995">
        <f t="shared" si="1"/>
        <v>400</v>
      </c>
      <c r="M16" s="996" t="s">
        <v>441</v>
      </c>
      <c r="N16" s="1002">
        <f>G16</f>
        <v>400</v>
      </c>
      <c r="O16" s="991">
        <v>2</v>
      </c>
      <c r="P16" s="991">
        <f>N16*O16</f>
        <v>800</v>
      </c>
      <c r="Q16" s="991">
        <v>2</v>
      </c>
      <c r="R16" s="991">
        <f>N16*Q16</f>
        <v>800</v>
      </c>
      <c r="U16" s="602"/>
    </row>
    <row r="17" spans="1:22" x14ac:dyDescent="0.35">
      <c r="A17" s="250"/>
      <c r="B17" s="957" t="s">
        <v>439</v>
      </c>
      <c r="C17" s="1003">
        <f>SUM(C13:C16)</f>
        <v>3498</v>
      </c>
      <c r="D17" s="1004">
        <f>SUM(D13:D16)</f>
        <v>1443</v>
      </c>
      <c r="E17" s="992">
        <f>SUM(E13:E16)</f>
        <v>302</v>
      </c>
      <c r="F17" s="993">
        <f>SUM(F13:F16)</f>
        <v>54</v>
      </c>
      <c r="G17" s="1021">
        <f>SUM(G13:G16)</f>
        <v>5297</v>
      </c>
      <c r="H17" s="584"/>
      <c r="I17" s="584">
        <f>G17</f>
        <v>5297</v>
      </c>
      <c r="J17" s="1005" t="s">
        <v>442</v>
      </c>
      <c r="K17" s="1006">
        <f>SUM(K13:K16)</f>
        <v>7325</v>
      </c>
      <c r="M17" s="954"/>
      <c r="N17" s="954"/>
      <c r="O17" s="957" t="s">
        <v>442</v>
      </c>
      <c r="P17" s="991">
        <f>SUM(P13:P16)</f>
        <v>10994</v>
      </c>
      <c r="Q17" s="957" t="s">
        <v>442</v>
      </c>
      <c r="R17" s="991">
        <f>SUM(R13:R16)</f>
        <v>7725</v>
      </c>
      <c r="U17"/>
    </row>
    <row r="18" spans="1:22" x14ac:dyDescent="0.35">
      <c r="A18" s="250"/>
      <c r="B18" s="956"/>
      <c r="C18" s="26"/>
      <c r="D18" s="958"/>
      <c r="E18" s="26"/>
      <c r="F18" s="26"/>
      <c r="G18" s="961"/>
      <c r="H18" s="584"/>
      <c r="I18" s="584"/>
      <c r="J18" s="1007" t="s">
        <v>443</v>
      </c>
      <c r="K18" s="1008">
        <v>120</v>
      </c>
      <c r="M18" s="954"/>
      <c r="N18" s="954"/>
      <c r="O18" s="957" t="s">
        <v>443</v>
      </c>
      <c r="P18" s="991">
        <v>120</v>
      </c>
      <c r="Q18" s="957" t="s">
        <v>443</v>
      </c>
      <c r="R18" s="991">
        <v>120</v>
      </c>
      <c r="U18" s="602"/>
    </row>
    <row r="19" spans="1:22" ht="15" customHeight="1" x14ac:dyDescent="0.35">
      <c r="A19" s="250"/>
      <c r="B19" s="960" t="s">
        <v>522</v>
      </c>
      <c r="C19" s="960"/>
      <c r="D19" s="960"/>
      <c r="E19" s="605">
        <v>5297</v>
      </c>
      <c r="F19" s="1009">
        <f>E19/E20</f>
        <v>0.4668605676009166</v>
      </c>
      <c r="H19" s="584"/>
      <c r="I19" s="584"/>
      <c r="J19" s="1005" t="s">
        <v>439</v>
      </c>
      <c r="K19" s="1010">
        <f>SUM(K17:K18)</f>
        <v>7445</v>
      </c>
      <c r="M19" s="954"/>
      <c r="N19" s="954"/>
      <c r="O19" s="957" t="s">
        <v>439</v>
      </c>
      <c r="P19" s="1011">
        <f>SUM(P17:P18)</f>
        <v>11114</v>
      </c>
      <c r="Q19" s="957" t="s">
        <v>439</v>
      </c>
      <c r="R19" s="1011">
        <f>SUM(R17:R18)</f>
        <v>7845</v>
      </c>
      <c r="U19"/>
      <c r="V19" s="603"/>
    </row>
    <row r="20" spans="1:22" ht="15" customHeight="1" x14ac:dyDescent="0.35">
      <c r="A20" s="250"/>
      <c r="C20"/>
      <c r="D20" s="962" t="s">
        <v>445</v>
      </c>
      <c r="E20" s="605">
        <v>11346</v>
      </c>
      <c r="F20" s="1009"/>
      <c r="H20" s="584"/>
      <c r="I20" s="584"/>
      <c r="J20" s="1007" t="s">
        <v>446</v>
      </c>
      <c r="K20" s="1012">
        <v>4250</v>
      </c>
      <c r="M20" s="954"/>
      <c r="N20" s="954"/>
      <c r="O20" s="957" t="s">
        <v>447</v>
      </c>
      <c r="P20" s="1013">
        <v>232</v>
      </c>
      <c r="Q20" s="957" t="s">
        <v>447</v>
      </c>
      <c r="R20" s="1014">
        <v>268</v>
      </c>
      <c r="V20" s="604"/>
    </row>
    <row r="21" spans="1:22" ht="15" customHeight="1" x14ac:dyDescent="0.35">
      <c r="A21" s="250"/>
      <c r="H21" s="584"/>
      <c r="I21" s="584"/>
      <c r="J21" s="1007" t="s">
        <v>439</v>
      </c>
      <c r="K21" s="1015">
        <f>K19*K20</f>
        <v>31641250</v>
      </c>
      <c r="M21" s="954"/>
      <c r="N21" s="954"/>
      <c r="O21" s="957" t="s">
        <v>439</v>
      </c>
      <c r="P21" s="1016">
        <f>P19*P20</f>
        <v>2578448</v>
      </c>
      <c r="Q21" s="957" t="s">
        <v>439</v>
      </c>
      <c r="R21" s="1016">
        <f>R19*R20</f>
        <v>2102460</v>
      </c>
      <c r="V21" s="602"/>
    </row>
    <row r="22" spans="1:22" ht="15" customHeight="1" x14ac:dyDescent="0.35">
      <c r="A22" s="250"/>
      <c r="M22" s="1007"/>
      <c r="N22" s="1007"/>
      <c r="O22" s="1007"/>
      <c r="P22" s="1007"/>
      <c r="Q22" s="1007"/>
      <c r="R22" s="1007"/>
    </row>
    <row r="23" spans="1:22" ht="15" customHeight="1" x14ac:dyDescent="0.35">
      <c r="A23" s="250"/>
      <c r="B23" s="1522" t="s">
        <v>448</v>
      </c>
      <c r="C23" s="1523"/>
      <c r="D23" s="1523"/>
      <c r="E23" s="1523"/>
      <c r="F23" s="1524"/>
      <c r="G23" s="606"/>
      <c r="J23" s="584"/>
      <c r="K23" s="584"/>
      <c r="L23" s="1007"/>
      <c r="M23" s="1007"/>
      <c r="N23" s="1007"/>
      <c r="O23" s="1007"/>
      <c r="P23" s="965" t="s">
        <v>439</v>
      </c>
      <c r="Q23" s="1016">
        <f>P21+R21</f>
        <v>4680908</v>
      </c>
      <c r="R23" s="1007"/>
    </row>
    <row r="24" spans="1:22" ht="15" customHeight="1" x14ac:dyDescent="0.35">
      <c r="A24" s="250"/>
      <c r="B24" s="1519" t="s">
        <v>426</v>
      </c>
      <c r="C24" s="1520"/>
      <c r="D24" s="1520"/>
      <c r="E24" s="1520"/>
      <c r="F24" s="1521"/>
      <c r="G24" s="5"/>
      <c r="J24" s="584"/>
      <c r="K24" s="584"/>
      <c r="L24" s="1007"/>
    </row>
    <row r="25" spans="1:22" ht="15" customHeight="1" x14ac:dyDescent="0.35">
      <c r="A25" s="250"/>
      <c r="B25" s="1156"/>
      <c r="C25" s="1152" t="s">
        <v>44</v>
      </c>
      <c r="D25" s="1153" t="s">
        <v>430</v>
      </c>
      <c r="E25" s="1154" t="s">
        <v>431</v>
      </c>
      <c r="F25" s="1155" t="s">
        <v>432</v>
      </c>
      <c r="G25" s="5"/>
    </row>
    <row r="26" spans="1:22" ht="15" customHeight="1" x14ac:dyDescent="0.35">
      <c r="A26" s="250"/>
      <c r="B26" s="996" t="s">
        <v>46</v>
      </c>
      <c r="C26" s="997">
        <v>1010</v>
      </c>
      <c r="D26" s="998">
        <v>102</v>
      </c>
      <c r="E26" s="999">
        <v>28</v>
      </c>
      <c r="F26" s="1000">
        <v>0</v>
      </c>
      <c r="G26" s="961">
        <f>SUM(C26:F26)</f>
        <v>1140</v>
      </c>
    </row>
    <row r="27" spans="1:22" ht="15" customHeight="1" x14ac:dyDescent="0.35">
      <c r="A27" s="250"/>
      <c r="B27" s="996" t="s">
        <v>440</v>
      </c>
      <c r="C27" s="997">
        <v>1168</v>
      </c>
      <c r="D27" s="998">
        <v>78</v>
      </c>
      <c r="E27" s="999">
        <v>13</v>
      </c>
      <c r="F27" s="1000">
        <v>0</v>
      </c>
      <c r="G27" s="961">
        <f>SUM(C27:F27)</f>
        <v>1259</v>
      </c>
    </row>
    <row r="28" spans="1:22" ht="15" customHeight="1" x14ac:dyDescent="0.35">
      <c r="A28" s="250"/>
      <c r="B28" s="996" t="s">
        <v>48</v>
      </c>
      <c r="C28" s="997">
        <v>432</v>
      </c>
      <c r="D28" s="998">
        <v>56</v>
      </c>
      <c r="E28" s="999">
        <v>8</v>
      </c>
      <c r="F28" s="1000">
        <v>0</v>
      </c>
      <c r="G28" s="961">
        <f>SUM(C28:F28)</f>
        <v>496</v>
      </c>
      <c r="H28" s="26"/>
    </row>
    <row r="29" spans="1:22" ht="15" customHeight="1" x14ac:dyDescent="0.35">
      <c r="A29" s="250"/>
      <c r="B29" s="996" t="s">
        <v>55</v>
      </c>
      <c r="C29" s="997">
        <v>224</v>
      </c>
      <c r="D29" s="998">
        <v>23</v>
      </c>
      <c r="E29" s="999">
        <v>0</v>
      </c>
      <c r="F29" s="1000">
        <v>0</v>
      </c>
      <c r="G29" s="961">
        <f>SUM(C29:F29)</f>
        <v>247</v>
      </c>
      <c r="H29" s="963"/>
    </row>
    <row r="30" spans="1:22" ht="15" customHeight="1" x14ac:dyDescent="0.35">
      <c r="A30" s="250"/>
      <c r="B30" s="957" t="s">
        <v>439</v>
      </c>
      <c r="C30" s="1003">
        <f>SUM(C26:C29)</f>
        <v>2834</v>
      </c>
      <c r="D30" s="1004">
        <f>SUM(D26:D29)</f>
        <v>259</v>
      </c>
      <c r="E30" s="992">
        <f>SUM(E26:E29)</f>
        <v>49</v>
      </c>
      <c r="F30" s="993">
        <f>SUM(F26:F29)</f>
        <v>0</v>
      </c>
      <c r="G30" s="961">
        <f>SUM(G26:G29)</f>
        <v>3142</v>
      </c>
      <c r="H30" s="606"/>
    </row>
    <row r="31" spans="1:22" ht="15" customHeight="1" x14ac:dyDescent="0.35">
      <c r="A31" s="250"/>
      <c r="B31" s="956"/>
      <c r="C31" s="26"/>
      <c r="D31" s="26"/>
      <c r="E31" s="26"/>
      <c r="F31" s="26"/>
      <c r="G31" s="26"/>
      <c r="H31" s="606"/>
    </row>
    <row r="32" spans="1:22" ht="15" customHeight="1" x14ac:dyDescent="0.35">
      <c r="A32" s="250"/>
      <c r="B32" s="960" t="s">
        <v>522</v>
      </c>
      <c r="C32" s="960"/>
      <c r="D32" s="960"/>
      <c r="E32" s="605">
        <v>3142</v>
      </c>
      <c r="F32" s="1009">
        <f>E32/E33</f>
        <v>0.40991519895629486</v>
      </c>
      <c r="H32" s="606"/>
    </row>
    <row r="33" spans="1:14" ht="15" customHeight="1" x14ac:dyDescent="0.35">
      <c r="A33" s="250"/>
      <c r="B33" s="953"/>
      <c r="C33"/>
      <c r="D33" s="968" t="s">
        <v>445</v>
      </c>
      <c r="E33" s="605">
        <v>7665</v>
      </c>
      <c r="F33" s="1009"/>
      <c r="H33" s="606"/>
    </row>
    <row r="34" spans="1:14" ht="15" customHeight="1" x14ac:dyDescent="0.35">
      <c r="A34" s="250"/>
      <c r="B34" s="953"/>
      <c r="C34"/>
      <c r="D34" s="968"/>
      <c r="E34" s="605"/>
      <c r="F34" s="1009"/>
      <c r="H34" s="606"/>
    </row>
    <row r="35" spans="1:14" ht="15" customHeight="1" x14ac:dyDescent="0.35">
      <c r="A35" s="250"/>
      <c r="H35" s="964"/>
      <c r="J35" s="584"/>
      <c r="K35" s="584"/>
      <c r="L35" s="1007"/>
      <c r="M35" s="1007"/>
      <c r="N35" s="584"/>
    </row>
    <row r="36" spans="1:14" ht="15" customHeight="1" x14ac:dyDescent="0.35">
      <c r="A36" s="250"/>
      <c r="B36" s="1522" t="s">
        <v>52</v>
      </c>
      <c r="C36" s="1523"/>
      <c r="D36" s="1523"/>
      <c r="E36" s="1523"/>
      <c r="F36" s="1524"/>
      <c r="H36" s="26"/>
      <c r="I36" s="1522" t="s">
        <v>453</v>
      </c>
      <c r="J36" s="1523"/>
      <c r="K36" s="1523"/>
      <c r="L36" s="1523"/>
      <c r="M36" s="1524"/>
      <c r="N36" s="129"/>
    </row>
    <row r="37" spans="1:14" ht="15" customHeight="1" x14ac:dyDescent="0.35">
      <c r="A37" s="250"/>
      <c r="B37" s="1519" t="s">
        <v>449</v>
      </c>
      <c r="C37" s="1520"/>
      <c r="D37" s="1520"/>
      <c r="E37" s="1520"/>
      <c r="F37" s="1521"/>
      <c r="H37" s="26"/>
      <c r="I37" s="1519" t="s">
        <v>449</v>
      </c>
      <c r="J37" s="1520"/>
      <c r="K37" s="1520"/>
      <c r="L37" s="1520"/>
      <c r="M37" s="1521"/>
      <c r="N37" s="961"/>
    </row>
    <row r="38" spans="1:14" ht="15" customHeight="1" x14ac:dyDescent="0.35">
      <c r="A38" s="250"/>
      <c r="B38" s="1157"/>
      <c r="C38" s="1152" t="s">
        <v>44</v>
      </c>
      <c r="D38" s="1153" t="s">
        <v>430</v>
      </c>
      <c r="E38" s="1154" t="s">
        <v>431</v>
      </c>
      <c r="F38" s="1155" t="s">
        <v>432</v>
      </c>
      <c r="H38" s="26"/>
      <c r="I38" s="1157"/>
      <c r="J38" s="1152" t="s">
        <v>44</v>
      </c>
      <c r="K38" s="1153" t="s">
        <v>430</v>
      </c>
      <c r="L38" s="1154" t="s">
        <v>431</v>
      </c>
      <c r="M38" s="1155" t="s">
        <v>432</v>
      </c>
      <c r="N38" s="129"/>
    </row>
    <row r="39" spans="1:14" ht="15" customHeight="1" x14ac:dyDescent="0.35">
      <c r="A39" s="250"/>
      <c r="B39" s="996" t="s">
        <v>450</v>
      </c>
      <c r="C39" s="1158">
        <v>522</v>
      </c>
      <c r="D39" s="1153">
        <v>22</v>
      </c>
      <c r="E39" s="1159">
        <v>6</v>
      </c>
      <c r="F39" s="1160">
        <v>0</v>
      </c>
      <c r="G39" s="955">
        <f>SUM(C39:F39)</f>
        <v>550</v>
      </c>
      <c r="H39" s="26"/>
      <c r="I39" s="996" t="s">
        <v>450</v>
      </c>
      <c r="J39" s="1158">
        <v>225</v>
      </c>
      <c r="K39" s="1153">
        <v>9</v>
      </c>
      <c r="L39" s="1159">
        <v>0</v>
      </c>
      <c r="M39" s="1160">
        <v>0</v>
      </c>
      <c r="N39" s="961">
        <f>SUM(J39:M39)</f>
        <v>234</v>
      </c>
    </row>
    <row r="40" spans="1:14" ht="15" customHeight="1" x14ac:dyDescent="0.35">
      <c r="A40" s="250"/>
      <c r="B40" s="956"/>
      <c r="C40" s="5"/>
      <c r="D40" s="5"/>
      <c r="E40" s="5"/>
      <c r="F40" s="5"/>
      <c r="G40" s="5"/>
      <c r="H40" s="26"/>
      <c r="I40" s="956"/>
      <c r="J40" s="5"/>
      <c r="K40" s="5"/>
      <c r="L40" s="5"/>
      <c r="M40" s="5"/>
      <c r="N40" s="5"/>
    </row>
    <row r="41" spans="1:14" ht="15" customHeight="1" x14ac:dyDescent="0.35">
      <c r="A41" s="250"/>
      <c r="B41" s="960" t="s">
        <v>523</v>
      </c>
      <c r="C41" s="960"/>
      <c r="D41" s="960"/>
      <c r="E41" s="605">
        <v>550</v>
      </c>
      <c r="F41" s="1009">
        <f>E41/E42</f>
        <v>0.56818181818181823</v>
      </c>
      <c r="H41" s="26"/>
      <c r="I41" s="960" t="s">
        <v>523</v>
      </c>
      <c r="J41" s="960"/>
      <c r="K41" s="960"/>
      <c r="L41" s="605">
        <v>234</v>
      </c>
      <c r="M41" s="1009">
        <f>L41/L42</f>
        <v>0.24173553719008264</v>
      </c>
      <c r="N41" s="129"/>
    </row>
    <row r="42" spans="1:14" ht="15" customHeight="1" x14ac:dyDescent="0.35">
      <c r="A42" s="250"/>
      <c r="B42" s="960" t="s">
        <v>451</v>
      </c>
      <c r="C42" s="960"/>
      <c r="D42" s="960"/>
      <c r="E42" s="605">
        <v>968</v>
      </c>
      <c r="F42" s="1009"/>
      <c r="H42" s="959"/>
      <c r="I42" s="960" t="s">
        <v>451</v>
      </c>
      <c r="J42" s="960"/>
      <c r="K42" s="960"/>
      <c r="L42" s="605">
        <v>968</v>
      </c>
      <c r="M42" s="1009"/>
      <c r="N42" s="129"/>
    </row>
    <row r="43" spans="1:14" ht="15" customHeight="1" x14ac:dyDescent="0.35">
      <c r="A43" s="250"/>
      <c r="B43" s="960" t="s">
        <v>524</v>
      </c>
      <c r="C43" s="960"/>
      <c r="D43" s="960"/>
      <c r="E43" s="970"/>
      <c r="H43" s="959"/>
      <c r="I43" s="960" t="s">
        <v>452</v>
      </c>
      <c r="J43" s="960"/>
      <c r="K43" s="960"/>
      <c r="L43" s="970"/>
      <c r="N43" s="970"/>
    </row>
    <row r="44" spans="1:14" ht="15" customHeight="1" x14ac:dyDescent="0.35">
      <c r="A44" s="250"/>
      <c r="B44" s="956"/>
      <c r="E44" s="968"/>
      <c r="F44" s="605"/>
      <c r="G44" s="129"/>
      <c r="H44" s="959"/>
      <c r="I44" s="969"/>
      <c r="N44" s="969"/>
    </row>
    <row r="45" spans="1:14" ht="15" customHeight="1" x14ac:dyDescent="0.35">
      <c r="H45" s="606"/>
      <c r="I45" s="966"/>
    </row>
    <row r="46" spans="1:14" ht="15" customHeight="1" x14ac:dyDescent="0.35">
      <c r="A46" s="250"/>
      <c r="B46" s="1522" t="s">
        <v>58</v>
      </c>
      <c r="C46" s="1523"/>
      <c r="D46" s="1523"/>
      <c r="E46" s="1523"/>
      <c r="F46" s="1524"/>
      <c r="G46" s="5"/>
      <c r="I46" s="1522" t="s">
        <v>59</v>
      </c>
      <c r="J46" s="1523"/>
      <c r="K46" s="1523"/>
      <c r="L46" s="1523"/>
      <c r="M46" s="1524"/>
    </row>
    <row r="47" spans="1:14" ht="15" customHeight="1" x14ac:dyDescent="0.35">
      <c r="A47" s="250"/>
      <c r="B47" s="1519" t="s">
        <v>454</v>
      </c>
      <c r="C47" s="1520"/>
      <c r="D47" s="1520"/>
      <c r="E47" s="1520"/>
      <c r="F47" s="1521"/>
      <c r="G47" s="5"/>
      <c r="I47" s="1519" t="s">
        <v>449</v>
      </c>
      <c r="J47" s="1520"/>
      <c r="K47" s="1520"/>
      <c r="L47" s="1520"/>
      <c r="M47" s="1521"/>
    </row>
    <row r="48" spans="1:14" ht="15" customHeight="1" x14ac:dyDescent="0.35">
      <c r="A48" s="250"/>
      <c r="B48" s="1157"/>
      <c r="C48" s="1161" t="s">
        <v>44</v>
      </c>
      <c r="D48" s="1153" t="s">
        <v>430</v>
      </c>
      <c r="E48" s="1154" t="s">
        <v>431</v>
      </c>
      <c r="F48" s="1155" t="s">
        <v>432</v>
      </c>
      <c r="I48" s="1157"/>
      <c r="J48" s="1161" t="s">
        <v>44</v>
      </c>
      <c r="K48" s="1153" t="s">
        <v>430</v>
      </c>
      <c r="L48" s="1166" t="s">
        <v>431</v>
      </c>
      <c r="M48" s="1166" t="s">
        <v>432</v>
      </c>
    </row>
    <row r="49" spans="1:20" ht="15" customHeight="1" x14ac:dyDescent="0.35">
      <c r="A49" s="250"/>
      <c r="B49" s="1019" t="s">
        <v>456</v>
      </c>
      <c r="C49" s="1162">
        <v>82</v>
      </c>
      <c r="D49" s="1163">
        <v>5</v>
      </c>
      <c r="E49" s="1164">
        <v>0</v>
      </c>
      <c r="F49" s="1165">
        <v>0</v>
      </c>
      <c r="I49" s="1167" t="s">
        <v>532</v>
      </c>
      <c r="J49" s="1162">
        <v>47</v>
      </c>
      <c r="K49" s="1153">
        <v>3</v>
      </c>
      <c r="L49" s="1168" t="s">
        <v>455</v>
      </c>
      <c r="M49" s="1169" t="s">
        <v>455</v>
      </c>
      <c r="N49" s="606">
        <v>50</v>
      </c>
    </row>
    <row r="50" spans="1:20" ht="15" customHeight="1" x14ac:dyDescent="0.35">
      <c r="A50" s="250"/>
      <c r="B50" s="1019" t="s">
        <v>457</v>
      </c>
      <c r="C50" s="1162">
        <v>61</v>
      </c>
      <c r="D50" s="1163">
        <v>8</v>
      </c>
      <c r="E50" s="1164">
        <v>0</v>
      </c>
      <c r="F50" s="1165">
        <v>0</v>
      </c>
    </row>
    <row r="51" spans="1:20" ht="15" customHeight="1" x14ac:dyDescent="0.35">
      <c r="A51" s="250"/>
      <c r="B51" s="1019" t="s">
        <v>458</v>
      </c>
      <c r="C51" s="1162">
        <v>58</v>
      </c>
      <c r="D51" s="1163">
        <v>7</v>
      </c>
      <c r="E51" s="1164">
        <v>0</v>
      </c>
      <c r="F51" s="1165">
        <v>0</v>
      </c>
      <c r="I51" s="960" t="s">
        <v>444</v>
      </c>
      <c r="J51" s="960"/>
      <c r="K51" s="960"/>
      <c r="L51" s="974">
        <v>50</v>
      </c>
      <c r="M51" s="1009">
        <f>L51/L52</f>
        <v>0.13698630136986301</v>
      </c>
    </row>
    <row r="52" spans="1:20" ht="15" customHeight="1" x14ac:dyDescent="0.35">
      <c r="A52" s="250"/>
      <c r="B52" s="957" t="s">
        <v>439</v>
      </c>
      <c r="C52" s="1121">
        <f>SUM(C49:C51)</f>
        <v>201</v>
      </c>
      <c r="D52" s="1020">
        <f>SUM(D49:D51)</f>
        <v>20</v>
      </c>
      <c r="E52" s="1017">
        <f>SUM(G47:G51)</f>
        <v>0</v>
      </c>
      <c r="F52" s="1018">
        <v>0</v>
      </c>
      <c r="G52" s="955">
        <f>SUM(C52:F52)</f>
        <v>221</v>
      </c>
      <c r="I52"/>
      <c r="J52"/>
      <c r="K52" s="951" t="s">
        <v>445</v>
      </c>
      <c r="L52" s="953">
        <v>365</v>
      </c>
      <c r="M52"/>
    </row>
    <row r="53" spans="1:20" ht="15" customHeight="1" x14ac:dyDescent="0.35">
      <c r="A53" s="250"/>
      <c r="B53" s="972"/>
      <c r="C53" s="973"/>
      <c r="D53" s="5"/>
      <c r="E53" s="5"/>
      <c r="F53" s="5"/>
      <c r="G53" s="5"/>
    </row>
    <row r="54" spans="1:20" ht="15" customHeight="1" x14ac:dyDescent="0.35">
      <c r="A54" s="250"/>
      <c r="B54" s="960" t="s">
        <v>522</v>
      </c>
      <c r="C54" s="960"/>
      <c r="E54" s="605">
        <v>221</v>
      </c>
      <c r="F54" s="1009">
        <f>E54/E55</f>
        <v>0.20127504553734063</v>
      </c>
      <c r="H54" s="26"/>
    </row>
    <row r="55" spans="1:20" ht="15" customHeight="1" x14ac:dyDescent="0.35">
      <c r="A55" s="250"/>
      <c r="B55" s="26"/>
      <c r="C55"/>
      <c r="D55" s="968" t="s">
        <v>445</v>
      </c>
      <c r="E55" s="605">
        <v>1098</v>
      </c>
      <c r="F55" s="26"/>
      <c r="H55" s="26"/>
    </row>
    <row r="56" spans="1:20" ht="15" customHeight="1" x14ac:dyDescent="0.35">
      <c r="A56" s="250"/>
      <c r="H56" s="26"/>
    </row>
    <row r="57" spans="1:20" ht="15" customHeight="1" x14ac:dyDescent="0.35">
      <c r="A57" s="250"/>
      <c r="H57" s="26"/>
    </row>
    <row r="58" spans="1:20" ht="15" customHeight="1" x14ac:dyDescent="0.35">
      <c r="A58" s="250"/>
      <c r="H58" s="26"/>
    </row>
    <row r="59" spans="1:20" ht="15" customHeight="1" x14ac:dyDescent="0.35">
      <c r="A59" s="250"/>
      <c r="H59" s="26"/>
      <c r="T59" s="250"/>
    </row>
    <row r="60" spans="1:20" ht="15" customHeight="1" x14ac:dyDescent="0.35">
      <c r="A60" s="250"/>
      <c r="H60" s="26"/>
      <c r="T60" s="250"/>
    </row>
    <row r="61" spans="1:20" ht="15" customHeight="1" x14ac:dyDescent="0.35">
      <c r="A61" s="250"/>
      <c r="H61" s="26"/>
      <c r="T61" s="250"/>
    </row>
    <row r="62" spans="1:20" ht="15" customHeight="1" x14ac:dyDescent="0.35">
      <c r="A62" s="250"/>
      <c r="H62" s="26"/>
      <c r="T62" s="250"/>
    </row>
    <row r="63" spans="1:20" ht="15" customHeight="1" x14ac:dyDescent="0.35">
      <c r="A63" s="250"/>
      <c r="H63" s="26"/>
      <c r="T63" s="250"/>
    </row>
    <row r="64" spans="1:20" ht="15" customHeight="1" x14ac:dyDescent="0.35">
      <c r="A64" s="250"/>
      <c r="H64" s="971"/>
      <c r="I64" s="967"/>
      <c r="T64" s="250"/>
    </row>
    <row r="65" spans="1:20" ht="15" customHeight="1" x14ac:dyDescent="0.35">
      <c r="A65" s="250"/>
      <c r="B65" s="960"/>
      <c r="C65" s="26"/>
      <c r="D65" s="26"/>
      <c r="E65" s="968"/>
      <c r="F65" s="605"/>
      <c r="G65" s="26"/>
      <c r="H65" s="971"/>
      <c r="T65" s="250"/>
    </row>
    <row r="66" spans="1:20" ht="15" customHeight="1" x14ac:dyDescent="0.35">
      <c r="A66" s="250"/>
      <c r="H66" s="26"/>
      <c r="T66" s="250"/>
    </row>
    <row r="67" spans="1:20" ht="15" customHeight="1" x14ac:dyDescent="0.35">
      <c r="A67" s="250"/>
      <c r="H67" s="952"/>
      <c r="I67" s="967"/>
      <c r="J67" s="967"/>
      <c r="T67" s="250"/>
    </row>
    <row r="68" spans="1:20" ht="15" customHeight="1" x14ac:dyDescent="0.35">
      <c r="A68" s="250"/>
      <c r="H68" s="26"/>
      <c r="T68" s="250"/>
    </row>
    <row r="69" spans="1:20" ht="15" customHeight="1" x14ac:dyDescent="0.35">
      <c r="A69" s="250"/>
      <c r="H69" s="26"/>
      <c r="T69" s="250"/>
    </row>
    <row r="70" spans="1:20" ht="15" customHeight="1" x14ac:dyDescent="0.35">
      <c r="A70" s="250"/>
      <c r="H70" s="26"/>
      <c r="T70" s="250"/>
    </row>
    <row r="71" spans="1:20" ht="15" customHeight="1" x14ac:dyDescent="0.35">
      <c r="A71" s="250"/>
      <c r="H71" s="26"/>
      <c r="T71" s="250"/>
    </row>
    <row r="72" spans="1:20" ht="15" customHeight="1" x14ac:dyDescent="0.35">
      <c r="A72" s="250"/>
      <c r="H72" s="26"/>
      <c r="T72" s="250"/>
    </row>
    <row r="73" spans="1:20" ht="15" customHeight="1" x14ac:dyDescent="0.35">
      <c r="A73" s="250"/>
      <c r="H73" s="26"/>
      <c r="T73" s="250"/>
    </row>
    <row r="74" spans="1:20" ht="15" customHeight="1" x14ac:dyDescent="0.35">
      <c r="A74" s="250"/>
      <c r="H74" s="26"/>
      <c r="T74" s="250"/>
    </row>
    <row r="75" spans="1:20" ht="15" customHeight="1" x14ac:dyDescent="0.35">
      <c r="A75" s="250"/>
      <c r="H75" s="26"/>
      <c r="T75" s="250"/>
    </row>
    <row r="76" spans="1:20" ht="15" customHeight="1" x14ac:dyDescent="0.35">
      <c r="A76" s="250"/>
      <c r="B76" s="584"/>
      <c r="C76" s="250"/>
      <c r="D76" s="250"/>
      <c r="E76" s="250"/>
      <c r="F76" s="250"/>
      <c r="G76" s="250"/>
      <c r="H76" s="26"/>
      <c r="J76" s="969"/>
      <c r="T76" s="250"/>
    </row>
    <row r="77" spans="1:20" ht="15" customHeight="1" x14ac:dyDescent="0.35">
      <c r="A77" s="250"/>
      <c r="B77" s="584"/>
      <c r="C77" s="250"/>
      <c r="D77" s="250"/>
      <c r="E77" s="250"/>
      <c r="F77" s="250"/>
      <c r="G77" s="250"/>
      <c r="H77" s="26"/>
      <c r="T77" s="250"/>
    </row>
    <row r="78" spans="1:20" ht="15" customHeight="1" x14ac:dyDescent="0.35">
      <c r="A78" s="250"/>
      <c r="H78" s="26"/>
      <c r="T78" s="250"/>
    </row>
    <row r="79" spans="1:20" ht="15" customHeight="1" x14ac:dyDescent="0.35">
      <c r="A79" s="250"/>
      <c r="H79" s="959"/>
      <c r="T79" s="250"/>
    </row>
    <row r="80" spans="1:20" ht="15" customHeight="1" x14ac:dyDescent="0.35">
      <c r="A80" s="250"/>
      <c r="H80" s="26"/>
      <c r="T80" s="250"/>
    </row>
    <row r="81" spans="1:20" ht="15" customHeight="1" x14ac:dyDescent="0.35">
      <c r="A81" s="250"/>
      <c r="H81" s="26"/>
      <c r="T81" s="250"/>
    </row>
    <row r="82" spans="1:20" ht="15" customHeight="1" x14ac:dyDescent="0.35">
      <c r="A82" s="250"/>
      <c r="B82" s="584"/>
      <c r="C82" s="250"/>
      <c r="D82" s="250"/>
      <c r="E82" s="250"/>
      <c r="F82" s="250"/>
      <c r="G82" s="250"/>
      <c r="T82" s="250"/>
    </row>
    <row r="83" spans="1:20" ht="15" customHeight="1" x14ac:dyDescent="0.35">
      <c r="A83" s="250"/>
      <c r="B83" s="584"/>
      <c r="C83" s="250"/>
      <c r="D83" s="250"/>
      <c r="E83" s="250"/>
      <c r="F83" s="250"/>
      <c r="G83" s="250"/>
      <c r="T83" s="250"/>
    </row>
    <row r="84" spans="1:20" ht="15" customHeight="1" x14ac:dyDescent="0.35">
      <c r="A84" s="250"/>
      <c r="B84" s="584"/>
      <c r="C84" s="250"/>
      <c r="D84" s="250"/>
      <c r="E84" s="250"/>
      <c r="F84" s="250"/>
      <c r="G84" s="250"/>
      <c r="T84" s="250"/>
    </row>
    <row r="85" spans="1:20" ht="15" customHeight="1" x14ac:dyDescent="0.35">
      <c r="A85" s="250"/>
      <c r="B85" s="584"/>
      <c r="C85" s="250"/>
      <c r="D85" s="250"/>
      <c r="E85" s="250"/>
      <c r="F85" s="250"/>
      <c r="G85" s="250"/>
      <c r="H85" s="26"/>
      <c r="T85" s="250"/>
    </row>
    <row r="86" spans="1:20" ht="15" customHeight="1" x14ac:dyDescent="0.35">
      <c r="A86" s="250"/>
      <c r="B86" s="584"/>
      <c r="C86" s="250"/>
      <c r="D86" s="250"/>
      <c r="E86" s="250"/>
      <c r="F86" s="250"/>
      <c r="G86" s="250"/>
      <c r="H86" s="26"/>
      <c r="T86" s="250"/>
    </row>
    <row r="87" spans="1:20" ht="15" customHeight="1" x14ac:dyDescent="0.35">
      <c r="A87" s="250"/>
      <c r="B87" s="584"/>
      <c r="C87" s="250"/>
      <c r="D87" s="250"/>
      <c r="E87" s="250"/>
      <c r="F87" s="250"/>
      <c r="G87" s="250"/>
      <c r="H87" s="959"/>
      <c r="T87" s="250"/>
    </row>
    <row r="88" spans="1:20" ht="15" customHeight="1" x14ac:dyDescent="0.35">
      <c r="A88" s="250"/>
      <c r="B88" s="584"/>
      <c r="C88" s="250"/>
      <c r="D88" s="250"/>
      <c r="E88" s="250"/>
      <c r="F88" s="250"/>
      <c r="G88" s="250"/>
      <c r="H88" s="607"/>
      <c r="T88" s="250"/>
    </row>
    <row r="89" spans="1:20" ht="15" customHeight="1" x14ac:dyDescent="0.35">
      <c r="A89" s="250"/>
      <c r="B89" s="584"/>
      <c r="C89" s="250"/>
      <c r="D89" s="250"/>
      <c r="E89" s="250"/>
      <c r="F89" s="250"/>
      <c r="G89" s="250"/>
      <c r="H89" s="607"/>
      <c r="T89" s="250"/>
    </row>
    <row r="90" spans="1:20" ht="15" customHeight="1" x14ac:dyDescent="0.35">
      <c r="A90" s="250"/>
      <c r="B90" s="584"/>
      <c r="C90" s="250"/>
      <c r="D90" s="250"/>
      <c r="E90" s="250"/>
      <c r="F90" s="250"/>
      <c r="G90" s="250"/>
      <c r="H90" s="607"/>
      <c r="T90" s="250"/>
    </row>
    <row r="91" spans="1:20" ht="15" customHeight="1" x14ac:dyDescent="0.35">
      <c r="A91" s="250"/>
      <c r="B91" s="584"/>
      <c r="C91" s="250"/>
      <c r="D91" s="250"/>
      <c r="E91" s="250"/>
      <c r="F91" s="250"/>
      <c r="G91" s="250"/>
      <c r="H91" s="607"/>
      <c r="T91" s="250"/>
    </row>
    <row r="92" spans="1:20" ht="15" customHeight="1" x14ac:dyDescent="0.35">
      <c r="A92" s="250"/>
      <c r="B92" s="584"/>
      <c r="C92" s="250"/>
      <c r="D92" s="250"/>
      <c r="E92" s="250"/>
      <c r="F92" s="250"/>
      <c r="G92" s="250"/>
      <c r="H92" s="607"/>
      <c r="T92" s="250"/>
    </row>
    <row r="93" spans="1:20" ht="15" customHeight="1" x14ac:dyDescent="0.35">
      <c r="A93" s="250"/>
      <c r="B93" s="584"/>
      <c r="C93" s="250"/>
      <c r="D93" s="250"/>
      <c r="E93" s="250"/>
      <c r="F93" s="250"/>
      <c r="G93" s="250"/>
      <c r="H93" s="607"/>
      <c r="T93" s="250"/>
    </row>
    <row r="94" spans="1:20" ht="15" customHeight="1" x14ac:dyDescent="0.35">
      <c r="A94" s="250"/>
      <c r="B94" s="584"/>
      <c r="C94" s="250"/>
      <c r="D94" s="250"/>
      <c r="E94" s="250"/>
      <c r="F94" s="250"/>
      <c r="G94" s="250"/>
      <c r="H94" s="607"/>
      <c r="T94" s="250"/>
    </row>
    <row r="95" spans="1:20" ht="15" customHeight="1" x14ac:dyDescent="0.35">
      <c r="A95" s="250"/>
      <c r="B95" s="584"/>
      <c r="C95" s="250"/>
      <c r="D95" s="250"/>
      <c r="E95" s="250"/>
      <c r="F95" s="250"/>
      <c r="G95" s="250"/>
      <c r="H95" s="607"/>
      <c r="T95" s="250"/>
    </row>
    <row r="96" spans="1:20" ht="15" customHeight="1" x14ac:dyDescent="0.35">
      <c r="A96" s="250"/>
      <c r="B96" s="584"/>
      <c r="C96" s="250"/>
      <c r="D96" s="250"/>
      <c r="E96" s="250"/>
      <c r="F96" s="250"/>
      <c r="G96" s="250"/>
      <c r="H96" s="607"/>
      <c r="T96" s="250"/>
    </row>
    <row r="97" spans="1:20" ht="15" customHeight="1" x14ac:dyDescent="0.35">
      <c r="A97" s="250"/>
      <c r="B97" s="584"/>
      <c r="C97" s="250"/>
      <c r="D97" s="250"/>
      <c r="E97" s="250"/>
      <c r="F97" s="250"/>
      <c r="G97" s="250"/>
      <c r="H97" s="607"/>
      <c r="T97" s="250"/>
    </row>
    <row r="98" spans="1:20" ht="15" customHeight="1" x14ac:dyDescent="0.35">
      <c r="A98" s="250"/>
      <c r="B98" s="584"/>
      <c r="C98" s="250"/>
      <c r="D98" s="250"/>
      <c r="E98" s="250"/>
      <c r="F98" s="250"/>
      <c r="G98" s="250"/>
      <c r="H98" s="607"/>
      <c r="T98" s="250"/>
    </row>
    <row r="99" spans="1:20" ht="15" customHeight="1" x14ac:dyDescent="0.35">
      <c r="A99" s="250"/>
      <c r="B99" s="584"/>
      <c r="C99" s="250"/>
      <c r="D99" s="250"/>
      <c r="E99" s="250"/>
      <c r="F99" s="250"/>
      <c r="G99" s="250"/>
      <c r="H99" s="607"/>
      <c r="T99" s="250"/>
    </row>
    <row r="100" spans="1:20" ht="15" customHeight="1" x14ac:dyDescent="0.35">
      <c r="A100" s="250"/>
      <c r="H100" s="607"/>
      <c r="T100" s="250"/>
    </row>
    <row r="101" spans="1:20" ht="15" customHeight="1" x14ac:dyDescent="0.35">
      <c r="A101" s="250"/>
      <c r="H101" s="607"/>
      <c r="T101" s="250"/>
    </row>
    <row r="102" spans="1:20" ht="15" customHeight="1" x14ac:dyDescent="0.35">
      <c r="A102" s="250"/>
      <c r="H102" s="607"/>
      <c r="T102" s="250"/>
    </row>
    <row r="103" spans="1:20" ht="15" customHeight="1" x14ac:dyDescent="0.35">
      <c r="A103" s="250"/>
      <c r="H103" s="607"/>
      <c r="T103" s="250"/>
    </row>
    <row r="104" spans="1:20" ht="15" customHeight="1" x14ac:dyDescent="0.35">
      <c r="A104" s="250"/>
      <c r="H104" s="607"/>
      <c r="T104" s="250"/>
    </row>
    <row r="105" spans="1:20" ht="15" customHeight="1" x14ac:dyDescent="0.35">
      <c r="A105" s="250"/>
      <c r="B105" s="584"/>
      <c r="C105" s="250"/>
      <c r="D105" s="250"/>
      <c r="E105" s="250"/>
      <c r="F105" s="250"/>
      <c r="G105" s="250"/>
      <c r="H105" s="607"/>
      <c r="T105" s="250"/>
    </row>
    <row r="106" spans="1:20" ht="15" customHeight="1" x14ac:dyDescent="0.35">
      <c r="A106" s="250"/>
      <c r="B106" s="584"/>
      <c r="C106" s="250"/>
      <c r="D106" s="250"/>
      <c r="E106" s="250"/>
      <c r="F106" s="250"/>
      <c r="G106" s="250"/>
      <c r="H106" s="607"/>
      <c r="T106" s="250"/>
    </row>
    <row r="107" spans="1:20" ht="15" customHeight="1" x14ac:dyDescent="0.35">
      <c r="A107" s="250"/>
      <c r="H107" s="607"/>
      <c r="T107" s="250"/>
    </row>
    <row r="108" spans="1:20" ht="15" customHeight="1" x14ac:dyDescent="0.35">
      <c r="A108" s="250"/>
      <c r="H108" s="607"/>
      <c r="T108" s="250"/>
    </row>
    <row r="109" spans="1:20" ht="15" customHeight="1" x14ac:dyDescent="0.35">
      <c r="A109" s="250"/>
      <c r="H109" s="607"/>
      <c r="T109" s="250"/>
    </row>
    <row r="110" spans="1:20" ht="15" customHeight="1" x14ac:dyDescent="0.35">
      <c r="A110" s="250"/>
      <c r="T110" s="250"/>
    </row>
    <row r="111" spans="1:20" ht="15" customHeight="1" x14ac:dyDescent="0.35">
      <c r="A111" s="250"/>
      <c r="F111" s="414"/>
      <c r="G111"/>
      <c r="T111" s="250"/>
    </row>
    <row r="112" spans="1:20" ht="15" customHeight="1" x14ac:dyDescent="0.35">
      <c r="A112" s="250"/>
      <c r="F112" s="879"/>
      <c r="G112" s="879"/>
      <c r="T112" s="250"/>
    </row>
    <row r="113" spans="1:20" ht="15" customHeight="1" x14ac:dyDescent="0.35">
      <c r="A113" s="250"/>
      <c r="F113" s="5"/>
      <c r="G113" s="879"/>
      <c r="T113" s="250"/>
    </row>
    <row r="114" spans="1:20" ht="15" customHeight="1" x14ac:dyDescent="0.35">
      <c r="A114" s="250"/>
      <c r="F114" s="879"/>
      <c r="G114" s="879"/>
      <c r="H114"/>
      <c r="I114"/>
      <c r="J114"/>
      <c r="T114" s="250"/>
    </row>
    <row r="115" spans="1:20" ht="15" customHeight="1" x14ac:dyDescent="0.35">
      <c r="A115" s="250"/>
      <c r="B115" s="584"/>
      <c r="C115" s="250"/>
      <c r="D115" s="250"/>
      <c r="E115" s="250"/>
      <c r="F115" s="250"/>
      <c r="G115" s="250"/>
      <c r="H115"/>
      <c r="I115"/>
      <c r="J115"/>
      <c r="T115" s="250"/>
    </row>
    <row r="116" spans="1:20" ht="15" customHeight="1" x14ac:dyDescent="0.35">
      <c r="A116" s="250"/>
      <c r="B116" s="584"/>
      <c r="C116" s="250"/>
      <c r="D116" s="250"/>
      <c r="E116" s="250"/>
      <c r="F116" s="250"/>
      <c r="G116" s="250"/>
      <c r="H116"/>
      <c r="I116"/>
      <c r="J116"/>
      <c r="T116" s="250"/>
    </row>
    <row r="117" spans="1:20" ht="15" customHeight="1" x14ac:dyDescent="0.35">
      <c r="A117" s="250"/>
      <c r="B117" s="584"/>
      <c r="C117" s="250"/>
      <c r="D117" s="250"/>
      <c r="E117" s="250"/>
      <c r="F117" s="250"/>
      <c r="G117" s="250"/>
      <c r="H117" s="879"/>
      <c r="I117" s="879"/>
      <c r="J117" s="879"/>
      <c r="T117" s="250"/>
    </row>
    <row r="118" spans="1:20" ht="15" customHeight="1" x14ac:dyDescent="0.35">
      <c r="A118" s="250"/>
      <c r="B118" s="584"/>
      <c r="C118" s="250"/>
      <c r="D118" s="250"/>
      <c r="E118" s="250"/>
      <c r="F118" s="250"/>
      <c r="G118" s="250"/>
      <c r="H118" s="607"/>
      <c r="T118" s="250"/>
    </row>
    <row r="119" spans="1:20" ht="15" customHeight="1" x14ac:dyDescent="0.35">
      <c r="A119" s="250"/>
      <c r="B119" s="584"/>
      <c r="C119" s="250"/>
      <c r="D119" s="250"/>
      <c r="E119" s="250"/>
      <c r="F119" s="250"/>
      <c r="G119" s="250"/>
      <c r="H119" s="607"/>
      <c r="T119" s="250"/>
    </row>
    <row r="120" spans="1:20" ht="15" customHeight="1" x14ac:dyDescent="0.35">
      <c r="A120" s="250"/>
      <c r="B120" s="584"/>
      <c r="C120" s="250"/>
      <c r="D120" s="250"/>
      <c r="E120" s="250"/>
      <c r="F120" s="250"/>
      <c r="G120" s="250"/>
      <c r="H120" s="607"/>
      <c r="T120" s="250"/>
    </row>
    <row r="121" spans="1:20" ht="15" customHeight="1" x14ac:dyDescent="0.35">
      <c r="A121" s="250"/>
      <c r="B121" s="584"/>
      <c r="C121" s="250"/>
      <c r="D121" s="250"/>
      <c r="E121" s="250"/>
      <c r="F121" s="250"/>
      <c r="G121" s="250"/>
      <c r="H121" s="607"/>
      <c r="T121" s="250"/>
    </row>
    <row r="122" spans="1:20" ht="15" customHeight="1" x14ac:dyDescent="0.35">
      <c r="A122" s="250"/>
      <c r="B122" s="584"/>
      <c r="C122" s="250"/>
      <c r="D122" s="250"/>
      <c r="E122" s="250"/>
      <c r="F122" s="250"/>
      <c r="G122" s="250"/>
      <c r="H122" s="607"/>
      <c r="T122" s="250"/>
    </row>
    <row r="123" spans="1:20" ht="15" customHeight="1" x14ac:dyDescent="0.35">
      <c r="A123" s="250"/>
      <c r="B123" s="584"/>
      <c r="C123" s="250"/>
      <c r="D123" s="250"/>
      <c r="E123" s="250"/>
      <c r="F123" s="250"/>
      <c r="G123" s="250"/>
      <c r="H123" s="607"/>
      <c r="T123" s="250"/>
    </row>
    <row r="124" spans="1:20" ht="15" customHeight="1" x14ac:dyDescent="0.35">
      <c r="A124" s="250"/>
      <c r="B124" s="584"/>
      <c r="C124" s="250"/>
      <c r="D124" s="250"/>
      <c r="E124" s="250"/>
      <c r="F124" s="250"/>
      <c r="G124" s="250"/>
      <c r="H124" s="607"/>
      <c r="T124" s="250"/>
    </row>
    <row r="125" spans="1:20" ht="15" customHeight="1" x14ac:dyDescent="0.35">
      <c r="A125" s="250"/>
      <c r="B125" s="584"/>
      <c r="C125" s="250"/>
      <c r="D125" s="250"/>
      <c r="E125" s="250"/>
      <c r="F125" s="250"/>
      <c r="G125" s="250"/>
      <c r="H125" s="607"/>
      <c r="T125" s="250"/>
    </row>
    <row r="126" spans="1:20" ht="15" customHeight="1" x14ac:dyDescent="0.35">
      <c r="A126" s="250"/>
      <c r="B126" s="584"/>
      <c r="C126" s="250"/>
      <c r="D126" s="250"/>
      <c r="E126" s="250"/>
      <c r="F126" s="250"/>
      <c r="G126" s="250"/>
      <c r="H126" s="607"/>
      <c r="T126" s="250"/>
    </row>
    <row r="127" spans="1:20" ht="15" customHeight="1" x14ac:dyDescent="0.35">
      <c r="A127" s="250"/>
      <c r="H127" s="607"/>
      <c r="T127" s="250"/>
    </row>
    <row r="128" spans="1:20" ht="15" customHeight="1" x14ac:dyDescent="0.35">
      <c r="A128" s="250"/>
      <c r="B128" s="584"/>
      <c r="C128" s="250"/>
      <c r="D128" s="250"/>
      <c r="E128" s="250"/>
      <c r="F128" s="250"/>
      <c r="G128" s="250"/>
      <c r="H128" s="607"/>
      <c r="T128" s="250"/>
    </row>
    <row r="129" spans="1:20" ht="15" customHeight="1" x14ac:dyDescent="0.35">
      <c r="A129" s="250"/>
      <c r="B129" s="584"/>
      <c r="C129" s="250"/>
      <c r="D129" s="250"/>
      <c r="E129" s="250"/>
      <c r="F129" s="250"/>
      <c r="G129" s="250"/>
      <c r="H129" s="607"/>
      <c r="T129" s="250"/>
    </row>
    <row r="130" spans="1:20" ht="15" customHeight="1" x14ac:dyDescent="0.35">
      <c r="A130" s="250"/>
      <c r="B130" s="584"/>
      <c r="C130" s="250"/>
      <c r="D130" s="250"/>
      <c r="E130" s="250"/>
      <c r="F130" s="250"/>
      <c r="G130" s="250"/>
      <c r="H130" s="607"/>
      <c r="T130" s="250"/>
    </row>
    <row r="131" spans="1:20" ht="15" customHeight="1" x14ac:dyDescent="0.35">
      <c r="A131" s="250"/>
      <c r="B131" s="584"/>
      <c r="C131" s="250"/>
      <c r="D131" s="250"/>
      <c r="E131" s="250"/>
      <c r="F131" s="250"/>
      <c r="G131" s="250"/>
      <c r="H131" s="607"/>
      <c r="T131" s="250"/>
    </row>
    <row r="132" spans="1:20" ht="15" customHeight="1" x14ac:dyDescent="0.35">
      <c r="A132" s="250"/>
      <c r="B132" s="584"/>
      <c r="C132" s="250"/>
      <c r="D132" s="250"/>
      <c r="E132" s="250"/>
      <c r="F132" s="250"/>
      <c r="G132" s="250"/>
      <c r="H132" s="607"/>
      <c r="T132" s="250"/>
    </row>
    <row r="133" spans="1:20" ht="15" customHeight="1" x14ac:dyDescent="0.35">
      <c r="A133" s="250"/>
      <c r="B133" s="584"/>
      <c r="C133" s="250"/>
      <c r="D133" s="250"/>
      <c r="E133" s="250"/>
      <c r="F133" s="250"/>
      <c r="G133" s="250"/>
      <c r="H133" s="607"/>
      <c r="T133" s="250"/>
    </row>
    <row r="134" spans="1:20" ht="15" customHeight="1" x14ac:dyDescent="0.35">
      <c r="A134" s="250"/>
      <c r="B134" s="584"/>
      <c r="C134" s="250"/>
      <c r="D134" s="250"/>
      <c r="E134" s="250"/>
      <c r="F134" s="250"/>
      <c r="G134" s="250"/>
      <c r="H134" s="607"/>
      <c r="T134" s="250"/>
    </row>
    <row r="135" spans="1:20" ht="15" customHeight="1" x14ac:dyDescent="0.35">
      <c r="A135" s="250"/>
      <c r="B135" s="584"/>
      <c r="C135" s="250"/>
      <c r="D135" s="250"/>
      <c r="E135" s="250"/>
      <c r="F135" s="250"/>
      <c r="G135" s="250"/>
      <c r="H135" s="607"/>
      <c r="T135" s="250"/>
    </row>
    <row r="136" spans="1:20" ht="15" customHeight="1" x14ac:dyDescent="0.35">
      <c r="A136" s="250"/>
      <c r="B136" s="584"/>
      <c r="C136" s="250"/>
      <c r="D136" s="250"/>
      <c r="E136" s="250"/>
      <c r="F136" s="250"/>
      <c r="G136" s="250"/>
      <c r="H136" s="607"/>
      <c r="T136" s="250"/>
    </row>
    <row r="137" spans="1:20" ht="15" customHeight="1" x14ac:dyDescent="0.35">
      <c r="A137" s="250"/>
      <c r="B137" s="584"/>
      <c r="C137" s="250"/>
      <c r="D137" s="250"/>
      <c r="E137" s="250"/>
      <c r="F137" s="250"/>
      <c r="G137" s="250"/>
      <c r="H137" s="607"/>
      <c r="T137" s="250"/>
    </row>
    <row r="138" spans="1:20" ht="15" customHeight="1" x14ac:dyDescent="0.35">
      <c r="A138" s="250"/>
      <c r="B138" s="584"/>
      <c r="C138" s="250"/>
      <c r="D138" s="250"/>
      <c r="E138" s="250"/>
      <c r="F138" s="250"/>
      <c r="G138" s="250"/>
      <c r="H138" s="607"/>
      <c r="T138" s="250"/>
    </row>
    <row r="139" spans="1:20" ht="15" customHeight="1" x14ac:dyDescent="0.35">
      <c r="A139" s="250"/>
      <c r="B139" s="584"/>
      <c r="C139" s="250"/>
      <c r="D139" s="250"/>
      <c r="E139" s="250"/>
      <c r="F139" s="250"/>
      <c r="G139" s="250"/>
      <c r="H139" s="607"/>
      <c r="T139" s="250"/>
    </row>
    <row r="140" spans="1:20" ht="15" customHeight="1" x14ac:dyDescent="0.35">
      <c r="A140" s="250"/>
      <c r="B140" s="584"/>
      <c r="C140" s="250"/>
      <c r="D140" s="250"/>
      <c r="E140" s="250"/>
      <c r="F140" s="250"/>
      <c r="G140" s="250"/>
      <c r="H140" s="607"/>
      <c r="T140" s="250"/>
    </row>
    <row r="141" spans="1:20" ht="15" customHeight="1" x14ac:dyDescent="0.35">
      <c r="A141" s="250"/>
      <c r="B141" s="584"/>
      <c r="C141" s="250"/>
      <c r="D141" s="250"/>
      <c r="E141" s="250"/>
      <c r="F141" s="250"/>
      <c r="G141" s="250"/>
      <c r="H141" s="607"/>
      <c r="T141" s="250"/>
    </row>
    <row r="142" spans="1:20" ht="15" customHeight="1" x14ac:dyDescent="0.35">
      <c r="A142" s="250"/>
      <c r="B142" s="584"/>
      <c r="C142" s="250"/>
      <c r="D142" s="250"/>
      <c r="E142" s="250"/>
      <c r="F142" s="250"/>
      <c r="G142" s="250"/>
      <c r="H142" s="607"/>
      <c r="T142" s="250"/>
    </row>
    <row r="143" spans="1:20" ht="15" customHeight="1" x14ac:dyDescent="0.35">
      <c r="A143" s="250"/>
      <c r="B143" s="584"/>
      <c r="C143" s="250"/>
      <c r="D143" s="250"/>
      <c r="E143" s="250"/>
      <c r="F143" s="250"/>
      <c r="G143" s="250"/>
      <c r="H143" s="607"/>
      <c r="T143" s="250"/>
    </row>
    <row r="144" spans="1:20" ht="15" customHeight="1" x14ac:dyDescent="0.35">
      <c r="A144" s="250"/>
      <c r="B144" s="584"/>
      <c r="C144" s="250"/>
      <c r="D144" s="250"/>
      <c r="E144" s="250"/>
      <c r="F144" s="250"/>
      <c r="G144" s="250"/>
      <c r="H144" s="607"/>
      <c r="T144" s="250"/>
    </row>
    <row r="145" spans="1:20" ht="15" customHeight="1" x14ac:dyDescent="0.35">
      <c r="A145" s="250"/>
      <c r="B145" s="584"/>
      <c r="C145" s="250"/>
      <c r="D145" s="250"/>
      <c r="E145" s="250"/>
      <c r="F145" s="250"/>
      <c r="G145" s="250"/>
      <c r="H145" s="607"/>
      <c r="T145" s="250"/>
    </row>
    <row r="146" spans="1:20" ht="15" customHeight="1" x14ac:dyDescent="0.35">
      <c r="A146" s="250"/>
      <c r="B146" s="584"/>
      <c r="C146" s="250"/>
      <c r="D146" s="250"/>
      <c r="E146" s="250"/>
      <c r="F146" s="250"/>
      <c r="G146" s="250"/>
      <c r="H146" s="607"/>
      <c r="T146" s="250"/>
    </row>
    <row r="147" spans="1:20" ht="15" customHeight="1" x14ac:dyDescent="0.35">
      <c r="A147" s="250"/>
      <c r="B147" s="584"/>
      <c r="C147" s="250"/>
      <c r="D147" s="250"/>
      <c r="E147" s="250"/>
      <c r="F147" s="250"/>
      <c r="G147" s="250"/>
      <c r="H147" s="607"/>
      <c r="T147" s="250"/>
    </row>
    <row r="148" spans="1:20" ht="15" customHeight="1" x14ac:dyDescent="0.35">
      <c r="A148" s="250"/>
      <c r="B148" s="584"/>
      <c r="C148" s="250"/>
      <c r="D148" s="250"/>
      <c r="E148" s="250"/>
      <c r="F148" s="250"/>
      <c r="G148" s="250"/>
      <c r="H148" s="607"/>
      <c r="T148" s="250"/>
    </row>
    <row r="149" spans="1:20" ht="15" customHeight="1" x14ac:dyDescent="0.35">
      <c r="A149" s="250"/>
      <c r="B149" s="584"/>
      <c r="C149" s="250"/>
      <c r="D149" s="250"/>
      <c r="E149" s="250"/>
      <c r="F149" s="250"/>
      <c r="G149" s="250"/>
      <c r="H149" s="607"/>
      <c r="T149" s="250"/>
    </row>
    <row r="150" spans="1:20" ht="15" customHeight="1" x14ac:dyDescent="0.35">
      <c r="A150" s="250"/>
      <c r="B150" s="584"/>
      <c r="C150" s="250"/>
      <c r="D150" s="250"/>
      <c r="E150" s="250"/>
      <c r="F150" s="250"/>
      <c r="G150" s="250"/>
      <c r="H150" s="607"/>
      <c r="T150" s="250"/>
    </row>
    <row r="151" spans="1:20" ht="15" customHeight="1" x14ac:dyDescent="0.35">
      <c r="A151" s="250"/>
      <c r="B151" s="584"/>
      <c r="C151" s="250"/>
      <c r="D151" s="250"/>
      <c r="E151" s="250"/>
      <c r="F151" s="250"/>
      <c r="G151" s="250"/>
      <c r="H151" s="607"/>
      <c r="T151" s="250"/>
    </row>
    <row r="152" spans="1:20" ht="15" customHeight="1" x14ac:dyDescent="0.35">
      <c r="A152" s="250"/>
      <c r="B152" s="584"/>
      <c r="C152" s="250"/>
      <c r="D152" s="250"/>
      <c r="E152" s="250"/>
      <c r="F152" s="250"/>
      <c r="G152" s="250"/>
      <c r="H152" s="607"/>
      <c r="T152" s="250"/>
    </row>
    <row r="153" spans="1:20" ht="15" customHeight="1" x14ac:dyDescent="0.35">
      <c r="A153" s="250"/>
      <c r="B153" s="584"/>
      <c r="C153" s="250"/>
      <c r="D153" s="250"/>
      <c r="E153" s="250"/>
      <c r="F153" s="250"/>
      <c r="G153" s="250"/>
      <c r="H153" s="607"/>
      <c r="T153" s="250"/>
    </row>
    <row r="154" spans="1:20" ht="15" customHeight="1" x14ac:dyDescent="0.35">
      <c r="A154" s="250"/>
      <c r="B154" s="584"/>
      <c r="C154" s="250"/>
      <c r="D154" s="250"/>
      <c r="E154" s="250"/>
      <c r="F154" s="250"/>
      <c r="G154" s="250"/>
      <c r="H154" s="607"/>
      <c r="T154" s="250"/>
    </row>
    <row r="155" spans="1:20" ht="15" customHeight="1" x14ac:dyDescent="0.35">
      <c r="A155" s="250"/>
      <c r="B155" s="584"/>
      <c r="C155" s="250"/>
      <c r="D155" s="250"/>
      <c r="E155" s="250"/>
      <c r="F155" s="250"/>
      <c r="G155" s="250"/>
      <c r="H155" s="607"/>
      <c r="T155" s="250"/>
    </row>
    <row r="156" spans="1:20" ht="15" customHeight="1" x14ac:dyDescent="0.35">
      <c r="A156" s="250"/>
      <c r="B156" s="584"/>
      <c r="C156" s="250"/>
      <c r="D156" s="250"/>
      <c r="E156" s="250"/>
      <c r="F156" s="250"/>
      <c r="G156" s="250"/>
      <c r="H156" s="607"/>
      <c r="T156" s="250"/>
    </row>
    <row r="157" spans="1:20" ht="15" customHeight="1" x14ac:dyDescent="0.35">
      <c r="A157" s="250"/>
      <c r="B157" s="584"/>
      <c r="C157" s="250"/>
      <c r="D157" s="250"/>
      <c r="E157" s="250"/>
      <c r="F157" s="250"/>
      <c r="G157" s="250"/>
      <c r="H157" s="607"/>
      <c r="T157" s="250"/>
    </row>
    <row r="158" spans="1:20" ht="15" customHeight="1" x14ac:dyDescent="0.35">
      <c r="A158" s="250"/>
      <c r="B158" s="584"/>
      <c r="C158" s="250"/>
      <c r="D158" s="250"/>
      <c r="E158" s="250"/>
      <c r="F158" s="250"/>
      <c r="G158" s="250"/>
      <c r="H158" s="607"/>
      <c r="T158" s="250"/>
    </row>
    <row r="159" spans="1:20" ht="15" customHeight="1" x14ac:dyDescent="0.35">
      <c r="A159" s="250"/>
      <c r="B159" s="584"/>
      <c r="C159" s="250"/>
      <c r="D159" s="250"/>
      <c r="E159" s="250"/>
      <c r="F159" s="250"/>
      <c r="G159" s="250"/>
      <c r="H159" s="607"/>
      <c r="T159" s="250"/>
    </row>
    <row r="160" spans="1:20" ht="15" customHeight="1" x14ac:dyDescent="0.35">
      <c r="A160" s="250"/>
      <c r="B160" s="584"/>
      <c r="C160" s="250"/>
      <c r="D160" s="250"/>
      <c r="E160" s="250"/>
      <c r="F160" s="250"/>
      <c r="G160" s="250"/>
      <c r="H160" s="607"/>
      <c r="T160" s="250"/>
    </row>
    <row r="161" spans="1:20" ht="15" customHeight="1" x14ac:dyDescent="0.35">
      <c r="A161" s="250"/>
      <c r="B161" s="584"/>
      <c r="C161" s="250"/>
      <c r="D161" s="250"/>
      <c r="E161" s="250"/>
      <c r="F161" s="250"/>
      <c r="G161" s="250"/>
      <c r="H161" s="607"/>
      <c r="T161" s="250"/>
    </row>
    <row r="162" spans="1:20" ht="15" customHeight="1" x14ac:dyDescent="0.35">
      <c r="A162" s="250"/>
      <c r="B162" s="584"/>
      <c r="C162" s="250"/>
      <c r="D162" s="250"/>
      <c r="E162" s="250"/>
      <c r="F162" s="250"/>
      <c r="G162" s="250"/>
      <c r="H162" s="607"/>
      <c r="T162" s="250"/>
    </row>
    <row r="163" spans="1:20" ht="15" customHeight="1" x14ac:dyDescent="0.35">
      <c r="A163" s="250"/>
      <c r="B163" s="584"/>
      <c r="C163" s="250"/>
      <c r="D163" s="250"/>
      <c r="E163" s="250"/>
      <c r="F163" s="250"/>
      <c r="G163" s="250"/>
      <c r="H163" s="607"/>
      <c r="T163" s="250"/>
    </row>
    <row r="164" spans="1:20" ht="15" customHeight="1" x14ac:dyDescent="0.35">
      <c r="A164" s="250"/>
      <c r="B164" s="584"/>
      <c r="C164" s="250"/>
      <c r="D164" s="250"/>
      <c r="E164" s="250"/>
      <c r="F164" s="250"/>
      <c r="G164" s="250"/>
      <c r="H164" s="607"/>
      <c r="T164" s="250"/>
    </row>
    <row r="165" spans="1:20" ht="15" customHeight="1" x14ac:dyDescent="0.35">
      <c r="A165" s="250"/>
      <c r="B165" s="584"/>
      <c r="C165" s="250"/>
      <c r="D165" s="250"/>
      <c r="E165" s="250"/>
      <c r="F165" s="250"/>
      <c r="G165" s="250"/>
      <c r="H165" s="607"/>
      <c r="T165" s="250"/>
    </row>
    <row r="166" spans="1:20" ht="15" customHeight="1" x14ac:dyDescent="0.35">
      <c r="A166" s="250"/>
      <c r="B166" s="584"/>
      <c r="C166" s="250"/>
      <c r="D166" s="250"/>
      <c r="E166" s="250"/>
      <c r="F166" s="250"/>
      <c r="G166" s="250"/>
      <c r="H166" s="607"/>
      <c r="T166" s="250"/>
    </row>
    <row r="167" spans="1:20" ht="15" customHeight="1" x14ac:dyDescent="0.35">
      <c r="A167" s="250"/>
      <c r="B167" s="584"/>
      <c r="C167" s="250"/>
      <c r="D167" s="250"/>
      <c r="E167" s="250"/>
      <c r="F167" s="250"/>
      <c r="G167" s="250"/>
      <c r="H167" s="607"/>
      <c r="T167" s="250"/>
    </row>
    <row r="168" spans="1:20" ht="15" customHeight="1" x14ac:dyDescent="0.35">
      <c r="A168" s="250"/>
      <c r="B168" s="584"/>
      <c r="C168" s="250"/>
      <c r="D168" s="250"/>
      <c r="E168" s="250"/>
      <c r="F168" s="250"/>
      <c r="G168" s="250"/>
      <c r="H168" s="607"/>
      <c r="T168" s="250"/>
    </row>
    <row r="169" spans="1:20" ht="15" customHeight="1" x14ac:dyDescent="0.35">
      <c r="A169" s="250"/>
      <c r="B169" s="584"/>
      <c r="C169" s="250"/>
      <c r="D169" s="250"/>
      <c r="E169" s="250"/>
      <c r="F169" s="250"/>
      <c r="G169" s="250"/>
      <c r="H169" s="607"/>
      <c r="T169" s="250"/>
    </row>
    <row r="170" spans="1:20" ht="15" customHeight="1" x14ac:dyDescent="0.35">
      <c r="A170" s="250"/>
      <c r="B170" s="584"/>
      <c r="C170" s="250"/>
      <c r="D170" s="250"/>
      <c r="E170" s="250"/>
      <c r="F170" s="250"/>
      <c r="G170" s="250"/>
      <c r="H170" s="607"/>
      <c r="T170" s="250"/>
    </row>
    <row r="171" spans="1:20" ht="15" customHeight="1" x14ac:dyDescent="0.35">
      <c r="A171" s="250"/>
      <c r="B171" s="584"/>
      <c r="C171" s="250"/>
      <c r="D171" s="250"/>
      <c r="E171" s="250"/>
      <c r="F171" s="250"/>
      <c r="G171" s="250"/>
      <c r="H171" s="607"/>
      <c r="T171" s="250"/>
    </row>
    <row r="172" spans="1:20" ht="15" customHeight="1" x14ac:dyDescent="0.35">
      <c r="A172" s="250"/>
      <c r="B172" s="584"/>
      <c r="C172" s="250"/>
      <c r="D172" s="250"/>
      <c r="E172" s="250"/>
      <c r="F172" s="250"/>
      <c r="G172" s="250"/>
      <c r="H172" s="607"/>
      <c r="T172" s="250"/>
    </row>
    <row r="173" spans="1:20" ht="15" customHeight="1" x14ac:dyDescent="0.35">
      <c r="A173" s="250"/>
      <c r="B173" s="584"/>
      <c r="C173" s="250"/>
      <c r="D173" s="250"/>
      <c r="E173" s="250"/>
      <c r="F173" s="250"/>
      <c r="G173" s="250"/>
      <c r="H173" s="607"/>
      <c r="T173" s="250"/>
    </row>
    <row r="174" spans="1:20" ht="15" customHeight="1" x14ac:dyDescent="0.35">
      <c r="A174" s="250"/>
      <c r="B174" s="584"/>
      <c r="C174" s="250"/>
      <c r="D174" s="250"/>
      <c r="E174" s="250"/>
      <c r="F174" s="250"/>
      <c r="G174" s="250"/>
      <c r="H174" s="607"/>
      <c r="T174" s="250"/>
    </row>
    <row r="175" spans="1:20" ht="15" customHeight="1" x14ac:dyDescent="0.35">
      <c r="A175" s="250"/>
      <c r="B175" s="584"/>
      <c r="C175" s="250"/>
      <c r="D175" s="250"/>
      <c r="E175" s="250"/>
      <c r="F175" s="250"/>
      <c r="G175" s="250"/>
      <c r="H175" s="607"/>
      <c r="T175" s="250"/>
    </row>
    <row r="176" spans="1:20" ht="15" customHeight="1" x14ac:dyDescent="0.35">
      <c r="A176" s="250"/>
      <c r="B176" s="584"/>
      <c r="C176" s="250"/>
      <c r="D176" s="250"/>
      <c r="E176" s="250"/>
      <c r="F176" s="250"/>
      <c r="G176" s="250"/>
      <c r="H176" s="607"/>
      <c r="T176" s="250"/>
    </row>
    <row r="177" spans="1:20" ht="15" customHeight="1" x14ac:dyDescent="0.35">
      <c r="A177" s="250"/>
      <c r="B177" s="584"/>
      <c r="C177" s="250"/>
      <c r="D177" s="250"/>
      <c r="E177" s="250"/>
      <c r="F177" s="250"/>
      <c r="G177" s="250"/>
      <c r="H177" s="607"/>
      <c r="T177" s="250"/>
    </row>
    <row r="178" spans="1:20" ht="15" customHeight="1" x14ac:dyDescent="0.35">
      <c r="A178" s="250"/>
      <c r="B178" s="584"/>
      <c r="C178" s="250"/>
      <c r="D178" s="250"/>
      <c r="E178" s="250"/>
      <c r="F178" s="250"/>
      <c r="G178" s="250"/>
      <c r="H178" s="607"/>
      <c r="T178" s="250"/>
    </row>
    <row r="179" spans="1:20" ht="15" customHeight="1" x14ac:dyDescent="0.35">
      <c r="A179" s="250"/>
      <c r="B179" s="584"/>
      <c r="C179" s="250"/>
      <c r="D179" s="250"/>
      <c r="E179" s="250"/>
      <c r="F179" s="250"/>
      <c r="G179" s="250"/>
      <c r="H179" s="607"/>
      <c r="T179" s="250"/>
    </row>
    <row r="180" spans="1:20" ht="15" customHeight="1" x14ac:dyDescent="0.35">
      <c r="A180" s="250"/>
      <c r="B180" s="584"/>
      <c r="C180" s="250"/>
      <c r="D180" s="250"/>
      <c r="E180" s="250"/>
      <c r="F180" s="250"/>
      <c r="G180" s="250"/>
      <c r="H180" s="607"/>
      <c r="T180" s="250"/>
    </row>
    <row r="181" spans="1:20" ht="15" customHeight="1" x14ac:dyDescent="0.35">
      <c r="A181" s="250"/>
      <c r="B181" s="584"/>
      <c r="C181" s="250"/>
      <c r="D181" s="250"/>
      <c r="E181" s="250"/>
      <c r="F181" s="250"/>
      <c r="G181" s="250"/>
      <c r="H181" s="607"/>
      <c r="T181" s="250"/>
    </row>
    <row r="182" spans="1:20" ht="15" customHeight="1" x14ac:dyDescent="0.35">
      <c r="A182" s="250"/>
      <c r="B182" s="584"/>
      <c r="C182" s="250"/>
      <c r="D182" s="250"/>
      <c r="E182" s="250"/>
      <c r="F182" s="250"/>
      <c r="G182" s="250"/>
      <c r="H182" s="607"/>
      <c r="T182" s="250"/>
    </row>
    <row r="183" spans="1:20" ht="15" customHeight="1" x14ac:dyDescent="0.35">
      <c r="A183" s="250"/>
      <c r="B183" s="584"/>
      <c r="H183" s="607"/>
      <c r="T183" s="250"/>
    </row>
    <row r="184" spans="1:20" ht="15" customHeight="1" x14ac:dyDescent="0.35">
      <c r="A184" s="250"/>
      <c r="B184" s="584"/>
      <c r="C184" s="250"/>
      <c r="D184" s="250"/>
      <c r="E184" s="250"/>
      <c r="F184" s="250"/>
      <c r="G184" s="250"/>
      <c r="H184" s="607"/>
      <c r="T184" s="250"/>
    </row>
    <row r="185" spans="1:20" ht="15" customHeight="1" x14ac:dyDescent="0.35">
      <c r="A185" s="250"/>
      <c r="B185" s="584"/>
      <c r="C185" s="250"/>
      <c r="D185" s="250"/>
      <c r="E185" s="250"/>
      <c r="F185" s="250"/>
      <c r="G185" s="250"/>
      <c r="H185" s="606"/>
      <c r="T185" s="250"/>
    </row>
    <row r="186" spans="1:20" ht="15" customHeight="1" x14ac:dyDescent="0.35">
      <c r="A186" s="250"/>
      <c r="B186" s="584"/>
      <c r="C186" s="250"/>
      <c r="D186" s="250"/>
      <c r="E186" s="250"/>
      <c r="F186" s="250"/>
      <c r="G186" s="250"/>
      <c r="H186" s="607"/>
      <c r="T186" s="250"/>
    </row>
    <row r="187" spans="1:20" ht="15" customHeight="1" x14ac:dyDescent="0.35">
      <c r="A187" s="250"/>
      <c r="B187" s="584"/>
      <c r="C187" s="250"/>
      <c r="D187" s="250"/>
      <c r="E187" s="250"/>
      <c r="F187" s="250"/>
      <c r="G187" s="250"/>
      <c r="H187" s="607"/>
      <c r="T187" s="250"/>
    </row>
    <row r="188" spans="1:20" ht="15" customHeight="1" x14ac:dyDescent="0.35">
      <c r="A188" s="250"/>
      <c r="B188" s="600"/>
      <c r="H188" s="607"/>
      <c r="T188" s="250"/>
    </row>
    <row r="189" spans="1:20" ht="15" customHeight="1" x14ac:dyDescent="0.35">
      <c r="A189" s="250"/>
      <c r="B189" s="600"/>
      <c r="H189" s="607"/>
      <c r="T189" s="250"/>
    </row>
    <row r="190" spans="1:20" ht="15" customHeight="1" x14ac:dyDescent="0.35">
      <c r="A190" s="250"/>
      <c r="B190" s="600"/>
      <c r="H190" s="606"/>
    </row>
    <row r="191" spans="1:20" ht="15" customHeight="1" x14ac:dyDescent="0.35">
      <c r="A191" s="250"/>
      <c r="B191" s="600"/>
      <c r="H191" s="606"/>
    </row>
    <row r="192" spans="1:20" ht="15" customHeight="1" x14ac:dyDescent="0.35">
      <c r="A192" s="250"/>
      <c r="B192" s="600"/>
      <c r="H192" s="606"/>
    </row>
    <row r="193" spans="1:21" ht="15" customHeight="1" x14ac:dyDescent="0.35">
      <c r="A193" s="250"/>
      <c r="B193" s="600"/>
      <c r="H193" s="606"/>
    </row>
    <row r="194" spans="1:21" ht="15" customHeight="1" x14ac:dyDescent="0.35">
      <c r="A194" s="250"/>
      <c r="B194" s="600"/>
      <c r="H194" s="606"/>
    </row>
    <row r="195" spans="1:21" ht="15" customHeight="1" x14ac:dyDescent="0.35">
      <c r="A195" s="250"/>
      <c r="B195" s="600"/>
      <c r="H195" s="606"/>
    </row>
    <row r="196" spans="1:21" ht="15" customHeight="1" x14ac:dyDescent="0.35">
      <c r="A196" s="250"/>
      <c r="B196" s="600"/>
      <c r="H196" s="606"/>
    </row>
    <row r="197" spans="1:21" ht="15" customHeight="1" x14ac:dyDescent="0.35">
      <c r="A197" s="250"/>
      <c r="B197" s="600"/>
      <c r="H197" s="606"/>
    </row>
    <row r="198" spans="1:21" ht="15" customHeight="1" x14ac:dyDescent="0.35">
      <c r="A198" s="250"/>
      <c r="B198" s="600"/>
      <c r="H198" s="606"/>
    </row>
    <row r="199" spans="1:21" ht="15" customHeight="1" x14ac:dyDescent="0.35">
      <c r="A199" s="250"/>
      <c r="B199" s="600"/>
      <c r="H199" s="606"/>
    </row>
    <row r="200" spans="1:21" ht="15" customHeight="1" x14ac:dyDescent="0.35">
      <c r="A200" s="250"/>
      <c r="B200" s="600"/>
      <c r="H200" s="606"/>
    </row>
    <row r="201" spans="1:21" ht="15" customHeight="1" x14ac:dyDescent="0.35">
      <c r="A201" s="250"/>
      <c r="B201" s="600"/>
      <c r="H201" s="606"/>
    </row>
    <row r="202" spans="1:21" ht="15" customHeight="1" x14ac:dyDescent="0.35">
      <c r="A202" s="250"/>
      <c r="B202" s="600"/>
      <c r="H202" s="606"/>
    </row>
    <row r="203" spans="1:21" ht="15" customHeight="1" x14ac:dyDescent="0.35">
      <c r="A203" s="250"/>
      <c r="B203" s="600"/>
      <c r="H203" s="606"/>
    </row>
    <row r="204" spans="1:21" ht="15" customHeight="1" x14ac:dyDescent="0.35">
      <c r="A204" s="250"/>
      <c r="B204" s="584"/>
      <c r="C204" s="250"/>
      <c r="D204" s="250"/>
      <c r="E204" s="250"/>
      <c r="F204" s="250"/>
      <c r="G204" s="250"/>
      <c r="H204" s="606"/>
    </row>
    <row r="205" spans="1:21" ht="15" customHeight="1" x14ac:dyDescent="0.35">
      <c r="A205" s="250"/>
      <c r="H205" s="606"/>
    </row>
    <row r="206" spans="1:21" ht="15" customHeight="1" x14ac:dyDescent="0.35">
      <c r="A206" s="250"/>
      <c r="H206" s="607"/>
      <c r="I206" s="250"/>
      <c r="J206" s="250"/>
      <c r="K206" s="250"/>
      <c r="L206" s="250"/>
      <c r="M206" s="250"/>
      <c r="N206" s="250"/>
      <c r="O206" s="250"/>
      <c r="P206" s="250"/>
      <c r="Q206" s="250"/>
      <c r="R206" s="250"/>
      <c r="S206" s="250"/>
      <c r="T206" s="250"/>
      <c r="U206" s="250"/>
    </row>
    <row r="207" spans="1:21" ht="15" customHeight="1" x14ac:dyDescent="0.35">
      <c r="A207" s="250"/>
      <c r="B207" s="584"/>
      <c r="C207" s="250"/>
      <c r="D207" s="250"/>
      <c r="E207" s="250"/>
      <c r="F207" s="250"/>
      <c r="G207" s="250"/>
      <c r="H207" s="607"/>
      <c r="I207" s="250"/>
      <c r="J207" s="250"/>
      <c r="K207" s="250"/>
      <c r="L207" s="250"/>
      <c r="M207" s="250"/>
      <c r="N207" s="250"/>
      <c r="O207" s="250"/>
      <c r="P207" s="250"/>
      <c r="Q207" s="250"/>
      <c r="R207" s="250"/>
      <c r="S207" s="250"/>
      <c r="T207" s="250"/>
      <c r="U207" s="250"/>
    </row>
    <row r="208" spans="1:21" ht="15" customHeight="1" x14ac:dyDescent="0.35">
      <c r="A208" s="250"/>
      <c r="B208" s="584"/>
      <c r="C208" s="250"/>
      <c r="D208" s="250"/>
      <c r="E208" s="250"/>
      <c r="F208" s="250"/>
      <c r="G208" s="250"/>
      <c r="H208" s="607"/>
      <c r="I208" s="250"/>
      <c r="J208" s="250"/>
      <c r="K208" s="250"/>
      <c r="L208" s="250"/>
      <c r="M208" s="250"/>
      <c r="N208" s="250"/>
      <c r="O208" s="250"/>
      <c r="P208" s="250"/>
      <c r="Q208" s="250"/>
      <c r="R208" s="250"/>
      <c r="S208" s="250"/>
      <c r="T208" s="250"/>
      <c r="U208" s="250"/>
    </row>
    <row r="209" spans="1:22" ht="15" customHeight="1" x14ac:dyDescent="0.35">
      <c r="A209" s="250"/>
      <c r="B209" s="584"/>
      <c r="C209" s="250"/>
      <c r="D209" s="250"/>
      <c r="E209" s="250"/>
      <c r="F209" s="250"/>
      <c r="G209" s="250"/>
      <c r="H209" s="607"/>
      <c r="I209" s="250"/>
      <c r="J209" s="250"/>
      <c r="K209" s="250"/>
      <c r="L209" s="250"/>
      <c r="M209" s="250"/>
      <c r="N209" s="250"/>
      <c r="O209" s="250"/>
      <c r="P209" s="250"/>
      <c r="Q209" s="250"/>
      <c r="R209" s="250"/>
      <c r="S209" s="250"/>
      <c r="T209" s="250"/>
      <c r="U209" s="250"/>
    </row>
    <row r="210" spans="1:22" ht="15" customHeight="1" x14ac:dyDescent="0.35">
      <c r="A210" s="250"/>
      <c r="B210" s="584"/>
      <c r="C210" s="250"/>
      <c r="D210" s="250"/>
      <c r="E210" s="250"/>
      <c r="F210" s="250"/>
      <c r="G210" s="250"/>
      <c r="H210" s="607"/>
      <c r="I210" s="250"/>
      <c r="J210" s="250"/>
      <c r="K210" s="250"/>
      <c r="L210" s="250"/>
      <c r="M210" s="250"/>
      <c r="N210" s="250"/>
      <c r="O210" s="250"/>
      <c r="P210" s="250"/>
      <c r="Q210" s="250"/>
      <c r="R210" s="250"/>
      <c r="S210" s="250"/>
      <c r="T210" s="250"/>
      <c r="U210" s="250"/>
    </row>
    <row r="211" spans="1:22" ht="15" customHeight="1" x14ac:dyDescent="0.35">
      <c r="A211" s="250"/>
      <c r="B211" s="584"/>
      <c r="C211" s="250"/>
      <c r="D211" s="250"/>
      <c r="E211" s="250"/>
      <c r="F211" s="250"/>
      <c r="G211" s="250"/>
      <c r="H211" s="607"/>
      <c r="I211" s="250"/>
      <c r="J211" s="250"/>
      <c r="K211" s="250"/>
      <c r="L211" s="250"/>
      <c r="M211" s="250"/>
      <c r="N211" s="250"/>
      <c r="O211" s="250"/>
      <c r="P211" s="250"/>
      <c r="Q211" s="250"/>
      <c r="R211" s="250"/>
      <c r="S211" s="250"/>
      <c r="T211" s="250"/>
      <c r="U211" s="250"/>
    </row>
    <row r="212" spans="1:22" ht="15" customHeight="1" x14ac:dyDescent="0.35">
      <c r="A212" s="250"/>
      <c r="B212" s="584"/>
      <c r="C212" s="250"/>
      <c r="D212" s="250"/>
      <c r="E212" s="250"/>
      <c r="F212" s="250"/>
      <c r="G212" s="250"/>
      <c r="H212" s="607"/>
      <c r="I212" s="250"/>
      <c r="J212" s="250"/>
      <c r="K212" s="250"/>
      <c r="L212" s="250"/>
      <c r="M212" s="250"/>
      <c r="N212" s="250"/>
      <c r="O212" s="250"/>
      <c r="P212" s="250"/>
      <c r="Q212" s="250"/>
      <c r="R212" s="250"/>
      <c r="S212" s="250"/>
      <c r="T212" s="250"/>
      <c r="U212" s="250"/>
    </row>
    <row r="213" spans="1:22" ht="15" customHeight="1" x14ac:dyDescent="0.35">
      <c r="A213" s="250"/>
      <c r="B213" s="584"/>
      <c r="C213" s="250"/>
      <c r="D213" s="250"/>
      <c r="E213" s="250"/>
      <c r="F213" s="250"/>
      <c r="G213" s="250"/>
      <c r="H213" s="607"/>
      <c r="I213" s="250"/>
      <c r="J213" s="250"/>
      <c r="K213" s="250"/>
      <c r="L213" s="250"/>
      <c r="M213" s="250"/>
      <c r="N213" s="250"/>
      <c r="O213" s="250"/>
      <c r="P213" s="250"/>
      <c r="Q213" s="250"/>
      <c r="R213" s="250"/>
      <c r="S213" s="250"/>
      <c r="T213" s="250"/>
      <c r="U213" s="250"/>
    </row>
    <row r="214" spans="1:22" ht="15" customHeight="1" x14ac:dyDescent="0.35">
      <c r="A214" s="250"/>
      <c r="B214" s="584"/>
      <c r="C214" s="250"/>
      <c r="D214" s="250"/>
      <c r="E214" s="250"/>
      <c r="F214" s="250"/>
      <c r="G214" s="250"/>
      <c r="H214" s="607"/>
      <c r="I214" s="250"/>
      <c r="J214" s="250"/>
      <c r="K214" s="250"/>
      <c r="L214" s="250"/>
      <c r="M214" s="250"/>
      <c r="N214" s="250"/>
      <c r="O214" s="250"/>
      <c r="P214" s="250"/>
      <c r="Q214" s="250"/>
      <c r="R214" s="250"/>
      <c r="S214" s="250"/>
      <c r="T214" s="250"/>
      <c r="U214" s="250"/>
    </row>
    <row r="215" spans="1:22" ht="15" customHeight="1" x14ac:dyDescent="0.35">
      <c r="A215" s="250"/>
      <c r="B215" s="584"/>
      <c r="C215" s="250"/>
      <c r="D215" s="250"/>
      <c r="E215" s="250"/>
      <c r="F215" s="250"/>
      <c r="G215" s="250"/>
      <c r="H215" s="607"/>
      <c r="I215" s="250"/>
      <c r="J215" s="250"/>
      <c r="K215" s="250"/>
      <c r="L215" s="250"/>
      <c r="M215" s="250"/>
      <c r="N215" s="250"/>
      <c r="O215" s="250"/>
      <c r="P215" s="250"/>
      <c r="Q215" s="250"/>
      <c r="R215" s="250"/>
      <c r="S215" s="250"/>
      <c r="T215" s="250"/>
      <c r="U215" s="250"/>
    </row>
    <row r="216" spans="1:22" ht="15" customHeight="1" x14ac:dyDescent="0.35">
      <c r="A216" s="250"/>
      <c r="B216" s="584"/>
      <c r="C216" s="250"/>
      <c r="D216" s="250"/>
      <c r="E216" s="250"/>
      <c r="F216" s="250"/>
      <c r="G216" s="250"/>
      <c r="H216" s="607"/>
      <c r="I216" s="250"/>
      <c r="J216" s="250"/>
      <c r="K216" s="250"/>
      <c r="L216" s="250"/>
      <c r="M216" s="250"/>
      <c r="N216" s="250"/>
      <c r="O216" s="250"/>
      <c r="P216" s="250"/>
      <c r="Q216" s="250"/>
      <c r="R216" s="250"/>
      <c r="S216" s="250"/>
      <c r="T216" s="250"/>
      <c r="U216" s="250"/>
    </row>
    <row r="217" spans="1:22" ht="15" customHeight="1" x14ac:dyDescent="0.35">
      <c r="A217" s="250"/>
      <c r="B217" s="584"/>
      <c r="C217" s="250"/>
      <c r="D217" s="250"/>
      <c r="E217" s="250"/>
      <c r="F217" s="250"/>
      <c r="G217" s="250"/>
      <c r="H217" s="607"/>
      <c r="I217" s="250"/>
      <c r="J217" s="250"/>
      <c r="K217" s="250"/>
      <c r="L217" s="250"/>
      <c r="M217" s="250"/>
      <c r="N217" s="250"/>
      <c r="O217" s="250"/>
      <c r="P217" s="250"/>
      <c r="Q217" s="250"/>
      <c r="R217" s="250"/>
      <c r="S217" s="250"/>
      <c r="T217" s="250"/>
      <c r="U217" s="250"/>
    </row>
    <row r="218" spans="1:22" ht="15" customHeight="1" x14ac:dyDescent="0.35">
      <c r="A218" s="250"/>
      <c r="B218" s="584"/>
      <c r="C218" s="250"/>
      <c r="D218" s="250"/>
      <c r="E218" s="250"/>
      <c r="F218" s="250"/>
      <c r="G218" s="250"/>
      <c r="H218" s="607"/>
      <c r="I218" s="250"/>
      <c r="J218" s="250"/>
      <c r="K218" s="250"/>
      <c r="L218" s="250"/>
      <c r="M218" s="250"/>
      <c r="N218" s="250"/>
      <c r="O218" s="250"/>
      <c r="P218" s="250"/>
      <c r="Q218" s="250"/>
      <c r="R218" s="250"/>
      <c r="S218" s="250"/>
      <c r="T218" s="250"/>
      <c r="U218" s="250"/>
    </row>
    <row r="219" spans="1:22" ht="15" customHeight="1" x14ac:dyDescent="0.35">
      <c r="A219" s="250"/>
      <c r="B219" s="584"/>
      <c r="C219" s="250"/>
      <c r="D219" s="250"/>
      <c r="E219" s="250"/>
      <c r="F219" s="250"/>
      <c r="G219" s="250"/>
      <c r="H219" s="607"/>
      <c r="I219" s="250"/>
      <c r="J219" s="250"/>
      <c r="K219" s="250"/>
      <c r="L219" s="250"/>
      <c r="M219" s="250"/>
      <c r="N219" s="250"/>
      <c r="O219" s="250"/>
      <c r="P219" s="250"/>
      <c r="Q219" s="250"/>
      <c r="R219" s="250"/>
      <c r="S219" s="250"/>
      <c r="T219" s="250"/>
      <c r="U219" s="250"/>
    </row>
    <row r="220" spans="1:22" ht="15" customHeight="1" x14ac:dyDescent="0.35">
      <c r="A220" s="250"/>
      <c r="B220" s="584"/>
      <c r="C220" s="250"/>
      <c r="D220" s="250"/>
      <c r="E220" s="250"/>
      <c r="F220" s="250"/>
      <c r="G220" s="250"/>
      <c r="H220" s="607"/>
      <c r="I220" s="250"/>
      <c r="J220" s="250"/>
      <c r="K220" s="250"/>
      <c r="L220" s="250"/>
      <c r="M220" s="250"/>
      <c r="N220" s="250"/>
      <c r="O220" s="250"/>
      <c r="P220" s="250"/>
      <c r="Q220" s="250"/>
      <c r="R220" s="250"/>
      <c r="S220" s="250"/>
      <c r="T220" s="250"/>
      <c r="U220" s="250"/>
      <c r="V220" s="250"/>
    </row>
    <row r="221" spans="1:22" ht="15" customHeight="1" x14ac:dyDescent="0.35">
      <c r="A221" s="250"/>
      <c r="B221" s="584"/>
      <c r="C221" s="250"/>
      <c r="D221" s="250"/>
      <c r="E221" s="250"/>
      <c r="F221" s="250"/>
      <c r="G221" s="250"/>
      <c r="H221" s="607"/>
      <c r="I221" s="250"/>
      <c r="J221" s="250"/>
      <c r="K221" s="250"/>
      <c r="L221" s="250"/>
      <c r="M221" s="250"/>
      <c r="N221" s="250"/>
      <c r="O221" s="250"/>
      <c r="P221" s="250"/>
      <c r="Q221" s="250"/>
      <c r="R221" s="250"/>
      <c r="S221" s="250"/>
      <c r="T221" s="250"/>
      <c r="U221" s="250"/>
      <c r="V221" s="250"/>
    </row>
    <row r="222" spans="1:22" ht="15" customHeight="1" x14ac:dyDescent="0.35">
      <c r="A222" s="250"/>
      <c r="B222" s="584"/>
      <c r="C222" s="250"/>
      <c r="D222" s="250"/>
      <c r="E222" s="250"/>
      <c r="F222" s="250"/>
      <c r="G222" s="250"/>
      <c r="H222" s="607"/>
      <c r="I222" s="250"/>
      <c r="J222" s="250"/>
      <c r="K222" s="250"/>
      <c r="L222" s="250"/>
      <c r="M222" s="250"/>
      <c r="N222" s="250"/>
      <c r="O222" s="250"/>
      <c r="P222" s="250"/>
      <c r="Q222" s="250"/>
      <c r="R222" s="250"/>
      <c r="S222" s="250"/>
      <c r="T222" s="250"/>
      <c r="U222" s="250"/>
      <c r="V222" s="250"/>
    </row>
    <row r="223" spans="1:22" ht="15" customHeight="1" x14ac:dyDescent="0.35">
      <c r="A223" s="250"/>
      <c r="B223" s="584"/>
      <c r="C223" s="250"/>
      <c r="D223" s="250"/>
      <c r="E223" s="250"/>
      <c r="F223" s="250"/>
      <c r="G223" s="250"/>
      <c r="H223" s="607"/>
      <c r="I223" s="250"/>
      <c r="J223" s="250"/>
      <c r="K223" s="250"/>
      <c r="L223" s="250"/>
      <c r="M223" s="250"/>
      <c r="N223" s="250"/>
      <c r="O223" s="250"/>
      <c r="P223" s="250"/>
      <c r="Q223" s="250"/>
      <c r="R223" s="250"/>
      <c r="S223" s="250"/>
      <c r="T223" s="250"/>
      <c r="U223" s="250"/>
      <c r="V223" s="250"/>
    </row>
    <row r="224" spans="1:22" ht="15" customHeight="1" x14ac:dyDescent="0.35">
      <c r="A224" s="250"/>
      <c r="B224" s="584"/>
      <c r="C224" s="250"/>
      <c r="D224" s="250"/>
      <c r="E224" s="250"/>
      <c r="F224" s="250"/>
      <c r="G224" s="250"/>
      <c r="H224" s="607"/>
      <c r="I224" s="250"/>
      <c r="J224" s="250"/>
      <c r="K224" s="250"/>
      <c r="L224" s="250"/>
      <c r="M224" s="250"/>
      <c r="N224" s="250"/>
      <c r="O224" s="250"/>
      <c r="P224" s="250"/>
      <c r="Q224" s="250"/>
      <c r="R224" s="250"/>
      <c r="S224" s="250"/>
      <c r="T224" s="250"/>
      <c r="U224" s="250"/>
      <c r="V224" s="250"/>
    </row>
    <row r="225" spans="1:22" ht="15" customHeight="1" x14ac:dyDescent="0.35">
      <c r="A225" s="250"/>
      <c r="B225" s="584"/>
      <c r="C225" s="250"/>
      <c r="D225" s="250"/>
      <c r="E225" s="250"/>
      <c r="F225" s="250"/>
      <c r="G225" s="250"/>
      <c r="H225" s="607"/>
      <c r="I225" s="250"/>
      <c r="J225" s="250"/>
      <c r="K225" s="250"/>
      <c r="L225" s="250"/>
      <c r="M225" s="250"/>
      <c r="N225" s="250"/>
      <c r="O225" s="250"/>
      <c r="P225" s="250"/>
      <c r="Q225" s="250"/>
      <c r="R225" s="250"/>
      <c r="S225" s="250"/>
      <c r="T225" s="250"/>
      <c r="U225" s="250"/>
      <c r="V225" s="250"/>
    </row>
    <row r="226" spans="1:22" ht="15" customHeight="1" x14ac:dyDescent="0.35">
      <c r="A226" s="250"/>
      <c r="B226" s="584"/>
      <c r="C226" s="250"/>
      <c r="D226" s="250"/>
      <c r="E226" s="250"/>
      <c r="F226" s="250"/>
      <c r="G226" s="250"/>
      <c r="H226" s="607"/>
      <c r="I226" s="250"/>
      <c r="J226" s="250"/>
      <c r="K226" s="250"/>
      <c r="L226" s="250"/>
      <c r="M226" s="250"/>
      <c r="N226" s="250"/>
      <c r="O226" s="250"/>
      <c r="P226" s="250"/>
      <c r="Q226" s="250"/>
      <c r="R226" s="250"/>
      <c r="S226" s="250"/>
      <c r="T226" s="250"/>
      <c r="U226" s="250"/>
      <c r="V226" s="250"/>
    </row>
    <row r="227" spans="1:22" ht="15" customHeight="1" x14ac:dyDescent="0.35">
      <c r="A227" s="250"/>
      <c r="B227" s="584"/>
      <c r="C227" s="250"/>
      <c r="D227" s="250"/>
      <c r="E227" s="250"/>
      <c r="F227" s="250"/>
      <c r="G227" s="250"/>
      <c r="H227" s="607"/>
      <c r="I227" s="250"/>
      <c r="J227" s="250"/>
      <c r="K227" s="250"/>
      <c r="L227" s="250"/>
      <c r="M227" s="250"/>
      <c r="N227" s="250"/>
      <c r="O227" s="250"/>
      <c r="P227" s="250"/>
      <c r="Q227" s="250"/>
      <c r="R227" s="250"/>
      <c r="S227" s="250"/>
      <c r="T227" s="250"/>
      <c r="U227" s="250"/>
      <c r="V227" s="250"/>
    </row>
    <row r="228" spans="1:22" ht="15" customHeight="1" x14ac:dyDescent="0.35">
      <c r="A228" s="250"/>
      <c r="B228" s="584"/>
      <c r="C228" s="250"/>
      <c r="D228" s="250"/>
      <c r="E228" s="250"/>
      <c r="F228" s="250"/>
      <c r="G228" s="250"/>
      <c r="H228" s="607"/>
      <c r="I228" s="250"/>
      <c r="J228" s="250"/>
      <c r="K228" s="250"/>
      <c r="L228" s="250"/>
      <c r="M228" s="250"/>
      <c r="N228" s="250"/>
      <c r="O228" s="250"/>
      <c r="P228" s="250"/>
      <c r="Q228" s="250"/>
      <c r="R228" s="250"/>
      <c r="S228" s="250"/>
      <c r="T228" s="250"/>
      <c r="U228" s="250"/>
      <c r="V228" s="250"/>
    </row>
    <row r="229" spans="1:22" ht="15" customHeight="1" x14ac:dyDescent="0.35">
      <c r="A229" s="250"/>
      <c r="B229" s="584"/>
      <c r="C229" s="250"/>
      <c r="D229" s="250"/>
      <c r="E229" s="250"/>
      <c r="F229" s="250"/>
      <c r="G229" s="250"/>
      <c r="H229" s="607"/>
      <c r="I229" s="250"/>
      <c r="J229" s="250"/>
      <c r="K229" s="250"/>
      <c r="L229" s="250"/>
      <c r="M229" s="250"/>
      <c r="N229" s="250"/>
      <c r="O229" s="250"/>
      <c r="P229" s="250"/>
      <c r="Q229" s="250"/>
      <c r="R229" s="250"/>
      <c r="S229" s="250"/>
      <c r="T229" s="250"/>
      <c r="U229" s="250"/>
      <c r="V229" s="250"/>
    </row>
    <row r="230" spans="1:22" ht="15" customHeight="1" x14ac:dyDescent="0.35">
      <c r="A230" s="250"/>
      <c r="B230" s="250"/>
      <c r="C230" s="250"/>
      <c r="D230" s="250"/>
      <c r="E230" s="250"/>
      <c r="F230" s="250"/>
      <c r="G230" s="250"/>
      <c r="H230" s="607"/>
      <c r="I230" s="250"/>
      <c r="J230" s="250"/>
      <c r="K230" s="250"/>
      <c r="L230" s="250"/>
      <c r="M230" s="250"/>
      <c r="N230" s="250"/>
      <c r="O230" s="250"/>
      <c r="P230" s="250"/>
      <c r="Q230" s="250"/>
      <c r="R230" s="250"/>
      <c r="S230" s="250"/>
      <c r="T230" s="250"/>
      <c r="U230" s="250"/>
      <c r="V230" s="250"/>
    </row>
    <row r="231" spans="1:22" ht="15" customHeight="1" x14ac:dyDescent="0.35">
      <c r="A231" s="250"/>
      <c r="B231" s="250"/>
      <c r="C231" s="250"/>
      <c r="D231" s="250"/>
      <c r="E231" s="250"/>
      <c r="F231" s="250"/>
      <c r="G231" s="250"/>
      <c r="H231" s="607"/>
      <c r="I231" s="250"/>
      <c r="J231" s="250"/>
      <c r="K231" s="250"/>
      <c r="L231" s="250"/>
      <c r="M231" s="250"/>
      <c r="N231" s="250"/>
      <c r="O231" s="250"/>
      <c r="P231" s="250"/>
      <c r="Q231" s="250"/>
      <c r="R231" s="250"/>
      <c r="S231" s="250"/>
      <c r="T231" s="250"/>
      <c r="U231" s="250"/>
      <c r="V231" s="250"/>
    </row>
    <row r="232" spans="1:22" ht="15" customHeight="1" x14ac:dyDescent="0.35">
      <c r="A232" s="250"/>
      <c r="B232" s="250"/>
      <c r="C232" s="250"/>
      <c r="D232" s="250"/>
      <c r="E232" s="250"/>
      <c r="F232" s="250"/>
      <c r="G232" s="250"/>
      <c r="H232" s="607"/>
      <c r="I232" s="250"/>
      <c r="J232" s="250"/>
      <c r="K232" s="250"/>
      <c r="L232" s="250"/>
      <c r="M232" s="250"/>
      <c r="N232" s="250"/>
      <c r="O232" s="250"/>
      <c r="P232" s="250"/>
      <c r="Q232" s="250"/>
      <c r="R232" s="250"/>
      <c r="S232" s="250"/>
      <c r="T232" s="250"/>
      <c r="U232" s="250"/>
      <c r="V232" s="250"/>
    </row>
    <row r="233" spans="1:22" ht="15" customHeight="1" x14ac:dyDescent="0.35">
      <c r="A233" s="250"/>
      <c r="B233" s="250"/>
      <c r="C233" s="250"/>
      <c r="D233" s="250"/>
      <c r="E233" s="250"/>
      <c r="F233" s="250"/>
      <c r="G233" s="250"/>
      <c r="H233" s="607"/>
      <c r="I233" s="250"/>
      <c r="J233" s="250"/>
      <c r="K233" s="250"/>
      <c r="L233" s="250"/>
      <c r="M233" s="250"/>
      <c r="N233" s="250"/>
      <c r="O233" s="250"/>
      <c r="P233" s="250"/>
      <c r="Q233" s="250"/>
      <c r="R233" s="250"/>
      <c r="S233" s="250"/>
      <c r="T233" s="250"/>
      <c r="U233" s="250"/>
      <c r="V233" s="250"/>
    </row>
    <row r="234" spans="1:22" ht="15" customHeight="1" x14ac:dyDescent="0.35">
      <c r="A234" s="250"/>
      <c r="B234" s="250"/>
      <c r="C234" s="250"/>
      <c r="D234" s="250"/>
      <c r="E234" s="250"/>
      <c r="F234" s="250"/>
      <c r="G234" s="250"/>
      <c r="H234" s="607"/>
      <c r="I234" s="250"/>
      <c r="J234" s="250"/>
      <c r="K234" s="250"/>
      <c r="L234" s="250"/>
      <c r="M234" s="250"/>
      <c r="N234" s="250"/>
      <c r="O234" s="250"/>
      <c r="P234" s="250"/>
      <c r="Q234" s="250"/>
      <c r="R234" s="250"/>
      <c r="S234" s="250"/>
      <c r="T234" s="250"/>
      <c r="U234" s="250"/>
      <c r="V234" s="250"/>
    </row>
    <row r="235" spans="1:22" ht="15" customHeight="1" x14ac:dyDescent="0.35">
      <c r="A235" s="250"/>
      <c r="B235" s="250"/>
      <c r="C235" s="250"/>
      <c r="D235" s="250"/>
      <c r="E235" s="250"/>
      <c r="F235" s="250"/>
      <c r="G235" s="250"/>
      <c r="H235" s="607"/>
      <c r="I235" s="250"/>
      <c r="J235" s="250"/>
      <c r="K235" s="250"/>
      <c r="L235" s="250"/>
      <c r="M235" s="250"/>
      <c r="N235" s="250"/>
      <c r="O235" s="250"/>
      <c r="P235" s="250"/>
      <c r="Q235" s="250"/>
      <c r="R235" s="250"/>
      <c r="S235" s="250"/>
      <c r="T235" s="250"/>
      <c r="U235" s="250"/>
      <c r="V235" s="250"/>
    </row>
    <row r="236" spans="1:22" ht="15" customHeight="1" x14ac:dyDescent="0.35">
      <c r="A236" s="250"/>
      <c r="B236" s="250"/>
      <c r="C236" s="250"/>
      <c r="D236" s="250"/>
      <c r="E236" s="250"/>
      <c r="F236" s="250"/>
      <c r="G236" s="250"/>
      <c r="H236" s="607"/>
      <c r="I236" s="250"/>
      <c r="J236" s="250"/>
      <c r="K236" s="250"/>
      <c r="L236" s="250"/>
      <c r="M236" s="250"/>
      <c r="N236" s="250"/>
      <c r="O236" s="250"/>
      <c r="P236" s="250"/>
      <c r="Q236" s="250"/>
      <c r="R236" s="250"/>
      <c r="S236" s="250"/>
      <c r="T236" s="250"/>
      <c r="U236" s="250"/>
      <c r="V236" s="250"/>
    </row>
    <row r="237" spans="1:22" ht="15" customHeight="1" x14ac:dyDescent="0.35">
      <c r="A237" s="250"/>
      <c r="B237" s="250"/>
      <c r="C237" s="250"/>
      <c r="D237" s="250"/>
      <c r="E237" s="250"/>
      <c r="F237" s="250"/>
      <c r="G237" s="250"/>
      <c r="H237" s="607"/>
      <c r="I237" s="250"/>
      <c r="J237" s="250"/>
      <c r="K237" s="250"/>
      <c r="L237" s="250"/>
      <c r="M237" s="250"/>
      <c r="N237" s="250"/>
      <c r="O237" s="250"/>
      <c r="P237" s="250"/>
      <c r="Q237" s="250"/>
      <c r="R237" s="250"/>
      <c r="S237" s="250"/>
      <c r="T237" s="250"/>
      <c r="U237" s="250"/>
      <c r="V237" s="250"/>
    </row>
    <row r="238" spans="1:22" ht="15" customHeight="1" x14ac:dyDescent="0.35">
      <c r="A238" s="250"/>
      <c r="B238" s="250"/>
      <c r="C238" s="250"/>
      <c r="D238" s="250"/>
      <c r="E238" s="250"/>
      <c r="F238" s="250"/>
      <c r="G238" s="250"/>
      <c r="H238" s="607"/>
      <c r="I238" s="250"/>
      <c r="J238" s="250"/>
      <c r="K238" s="250"/>
      <c r="L238" s="250"/>
      <c r="M238" s="250"/>
      <c r="N238" s="250"/>
      <c r="O238" s="250"/>
      <c r="P238" s="250"/>
      <c r="Q238" s="250"/>
      <c r="R238" s="250"/>
      <c r="S238" s="250"/>
      <c r="T238" s="250"/>
      <c r="U238" s="250"/>
      <c r="V238" s="250"/>
    </row>
    <row r="239" spans="1:22" ht="15" customHeight="1" x14ac:dyDescent="0.35">
      <c r="A239" s="250"/>
      <c r="B239" s="250"/>
      <c r="C239" s="250"/>
      <c r="D239" s="250"/>
      <c r="E239" s="250"/>
      <c r="F239" s="250"/>
      <c r="G239" s="250"/>
      <c r="H239" s="607"/>
      <c r="I239" s="250"/>
      <c r="J239" s="250"/>
      <c r="K239" s="250"/>
      <c r="L239" s="250"/>
      <c r="M239" s="250"/>
      <c r="N239" s="250"/>
      <c r="O239" s="250"/>
      <c r="P239" s="250"/>
      <c r="Q239" s="250"/>
      <c r="R239" s="250"/>
      <c r="S239" s="250"/>
      <c r="T239" s="250"/>
      <c r="U239" s="250"/>
      <c r="V239" s="250"/>
    </row>
    <row r="240" spans="1:22" ht="15" customHeight="1" x14ac:dyDescent="0.35">
      <c r="A240" s="250"/>
      <c r="B240" s="250"/>
      <c r="C240" s="250"/>
      <c r="D240" s="250"/>
      <c r="E240" s="250"/>
      <c r="F240" s="250"/>
      <c r="G240" s="250"/>
      <c r="H240" s="607"/>
      <c r="I240" s="250"/>
      <c r="J240" s="250"/>
      <c r="K240" s="250"/>
      <c r="L240" s="250"/>
      <c r="M240" s="250"/>
      <c r="N240" s="250"/>
      <c r="O240" s="250"/>
      <c r="P240" s="250"/>
      <c r="Q240" s="250"/>
      <c r="R240" s="250"/>
      <c r="S240" s="250"/>
      <c r="T240" s="250"/>
      <c r="U240" s="250"/>
      <c r="V240" s="250"/>
    </row>
    <row r="241" spans="1:22" ht="15" customHeight="1" x14ac:dyDescent="0.35">
      <c r="A241" s="250"/>
      <c r="B241" s="250"/>
      <c r="C241" s="250"/>
      <c r="D241" s="250"/>
      <c r="E241" s="250"/>
      <c r="F241" s="250"/>
      <c r="G241" s="250"/>
      <c r="H241" s="607"/>
      <c r="I241" s="250"/>
      <c r="J241" s="250"/>
      <c r="K241" s="250"/>
      <c r="L241" s="250"/>
      <c r="M241" s="250"/>
      <c r="N241" s="250"/>
      <c r="O241" s="250"/>
      <c r="P241" s="250"/>
      <c r="Q241" s="250"/>
      <c r="R241" s="250"/>
      <c r="S241" s="250"/>
      <c r="T241" s="250"/>
      <c r="U241" s="250"/>
      <c r="V241" s="250"/>
    </row>
    <row r="242" spans="1:22" ht="15" customHeight="1" x14ac:dyDescent="0.35">
      <c r="A242" s="250"/>
      <c r="B242" s="250"/>
      <c r="C242" s="250"/>
      <c r="D242" s="250"/>
      <c r="E242" s="250"/>
      <c r="F242" s="250"/>
      <c r="G242" s="250"/>
      <c r="H242" s="607"/>
      <c r="I242" s="250"/>
      <c r="J242" s="250"/>
      <c r="K242" s="250"/>
      <c r="L242" s="250"/>
      <c r="M242" s="250"/>
      <c r="N242" s="250"/>
      <c r="O242" s="250"/>
      <c r="P242" s="250"/>
      <c r="Q242" s="250"/>
      <c r="R242" s="250"/>
      <c r="S242" s="250"/>
      <c r="T242" s="250"/>
      <c r="U242" s="250"/>
      <c r="V242" s="250"/>
    </row>
    <row r="243" spans="1:22" ht="15" customHeight="1" x14ac:dyDescent="0.35">
      <c r="A243" s="250"/>
      <c r="B243" s="250"/>
      <c r="C243" s="250"/>
      <c r="D243" s="250"/>
      <c r="E243" s="250"/>
      <c r="F243" s="250"/>
      <c r="G243" s="250"/>
      <c r="H243" s="607"/>
      <c r="I243" s="250"/>
      <c r="J243" s="250"/>
      <c r="K243" s="250"/>
      <c r="L243" s="250"/>
      <c r="M243" s="250"/>
      <c r="N243" s="250"/>
      <c r="O243" s="250"/>
      <c r="P243" s="250"/>
      <c r="Q243" s="250"/>
      <c r="R243" s="250"/>
      <c r="S243" s="250"/>
      <c r="T243" s="250"/>
      <c r="U243" s="250"/>
      <c r="V243" s="250"/>
    </row>
    <row r="244" spans="1:22" ht="15" customHeight="1" x14ac:dyDescent="0.35">
      <c r="A244" s="250"/>
      <c r="B244" s="548"/>
      <c r="C244" s="548"/>
      <c r="D244" s="548"/>
      <c r="E244" s="548"/>
      <c r="F244" s="548"/>
      <c r="G244" s="548"/>
      <c r="H244" s="548"/>
      <c r="I244" s="548"/>
      <c r="J244" s="548"/>
      <c r="K244" s="548"/>
      <c r="L244" s="548"/>
      <c r="M244" s="548"/>
      <c r="N244" s="548"/>
      <c r="O244" s="548"/>
      <c r="P244" s="548"/>
      <c r="Q244" s="548"/>
      <c r="R244" s="548"/>
      <c r="S244" s="548"/>
      <c r="T244" s="548"/>
      <c r="U244" s="548"/>
      <c r="V244" s="548"/>
    </row>
    <row r="245" spans="1:22" ht="15" customHeight="1" x14ac:dyDescent="0.35">
      <c r="A245" s="250"/>
      <c r="B245" s="548"/>
      <c r="C245" s="548"/>
      <c r="D245" s="548"/>
      <c r="E245" s="548"/>
      <c r="F245" s="548"/>
      <c r="G245" s="548"/>
      <c r="H245" s="548"/>
      <c r="I245" s="548"/>
      <c r="J245" s="548"/>
      <c r="K245" s="548"/>
      <c r="L245" s="548"/>
      <c r="M245" s="548"/>
      <c r="N245" s="548"/>
      <c r="O245" s="548"/>
      <c r="P245" s="548"/>
      <c r="Q245" s="548"/>
      <c r="R245" s="548"/>
      <c r="S245" s="548"/>
      <c r="T245" s="548"/>
      <c r="U245" s="548"/>
      <c r="V245" s="548"/>
    </row>
    <row r="246" spans="1:22" ht="15" customHeight="1" x14ac:dyDescent="0.35">
      <c r="A246" s="250"/>
      <c r="B246" s="548"/>
      <c r="C246" s="548"/>
      <c r="D246" s="548"/>
      <c r="E246" s="548"/>
      <c r="F246" s="548"/>
      <c r="G246" s="548"/>
      <c r="H246" s="548"/>
      <c r="I246" s="548"/>
      <c r="J246" s="548"/>
      <c r="K246" s="548"/>
      <c r="L246" s="548"/>
      <c r="M246" s="548"/>
      <c r="N246" s="548"/>
      <c r="O246" s="548"/>
      <c r="P246" s="548"/>
      <c r="Q246" s="548"/>
      <c r="R246" s="548"/>
      <c r="S246" s="548"/>
      <c r="T246" s="548"/>
      <c r="U246" s="548"/>
      <c r="V246" s="548"/>
    </row>
    <row r="247" spans="1:22" ht="15" customHeight="1" x14ac:dyDescent="0.35">
      <c r="A247" s="250"/>
      <c r="B247" s="548"/>
      <c r="C247" s="548"/>
      <c r="D247" s="548"/>
      <c r="E247" s="548"/>
      <c r="F247" s="548"/>
      <c r="G247" s="548"/>
      <c r="H247" s="548"/>
      <c r="I247" s="548"/>
      <c r="J247" s="548"/>
      <c r="K247" s="548"/>
      <c r="L247" s="548"/>
      <c r="M247" s="548"/>
      <c r="N247" s="548"/>
      <c r="O247" s="548"/>
      <c r="P247" s="548"/>
      <c r="Q247" s="548"/>
      <c r="R247" s="548"/>
      <c r="S247" s="548"/>
      <c r="T247" s="548"/>
      <c r="U247" s="548"/>
      <c r="V247" s="548"/>
    </row>
    <row r="248" spans="1:22" ht="15" customHeight="1" x14ac:dyDescent="0.35">
      <c r="A248" s="250"/>
      <c r="B248" s="548"/>
      <c r="C248" s="548"/>
      <c r="D248" s="548"/>
      <c r="E248" s="548"/>
      <c r="F248" s="548"/>
      <c r="G248" s="548"/>
      <c r="H248" s="548"/>
      <c r="I248" s="548"/>
      <c r="J248" s="548"/>
      <c r="K248" s="548"/>
      <c r="L248" s="548"/>
      <c r="M248" s="548"/>
      <c r="N248" s="548"/>
      <c r="O248" s="548"/>
      <c r="P248" s="548"/>
      <c r="Q248" s="548"/>
      <c r="R248" s="548"/>
      <c r="S248" s="548"/>
      <c r="T248" s="548"/>
      <c r="U248" s="548"/>
      <c r="V248" s="548"/>
    </row>
    <row r="249" spans="1:22" ht="15" customHeight="1" x14ac:dyDescent="0.35">
      <c r="A249" s="250"/>
      <c r="B249" s="548"/>
      <c r="C249" s="548"/>
      <c r="D249" s="548"/>
      <c r="E249" s="548"/>
      <c r="F249" s="548"/>
      <c r="G249" s="548"/>
      <c r="H249" s="548"/>
      <c r="I249" s="548"/>
      <c r="J249" s="548"/>
      <c r="K249" s="548"/>
      <c r="L249" s="548"/>
      <c r="M249" s="548"/>
      <c r="N249" s="548"/>
      <c r="O249" s="548"/>
      <c r="P249" s="548"/>
      <c r="Q249" s="548"/>
      <c r="R249" s="548"/>
      <c r="S249" s="548"/>
      <c r="T249" s="548"/>
      <c r="U249" s="548"/>
      <c r="V249" s="548"/>
    </row>
    <row r="250" spans="1:22" ht="15" customHeight="1" x14ac:dyDescent="0.35">
      <c r="A250" s="250"/>
      <c r="B250" s="548"/>
      <c r="C250" s="548"/>
      <c r="D250" s="548"/>
      <c r="E250" s="548"/>
      <c r="F250" s="548"/>
      <c r="G250" s="548"/>
      <c r="H250" s="548"/>
      <c r="I250" s="548"/>
      <c r="J250" s="548"/>
      <c r="K250" s="548"/>
      <c r="L250" s="548"/>
      <c r="M250" s="548"/>
      <c r="N250" s="548"/>
      <c r="O250" s="548"/>
      <c r="P250" s="548"/>
      <c r="Q250" s="548"/>
      <c r="R250" s="548"/>
      <c r="S250" s="548"/>
      <c r="T250" s="548"/>
      <c r="U250" s="548"/>
      <c r="V250" s="548"/>
    </row>
    <row r="251" spans="1:22" ht="15" customHeight="1" x14ac:dyDescent="0.35">
      <c r="A251" s="250"/>
      <c r="B251" s="548"/>
      <c r="C251" s="548"/>
      <c r="D251" s="548"/>
      <c r="E251" s="548"/>
      <c r="F251" s="548"/>
      <c r="G251" s="548"/>
      <c r="H251" s="548"/>
      <c r="I251" s="548"/>
      <c r="J251" s="548"/>
      <c r="K251" s="548"/>
      <c r="L251" s="548"/>
      <c r="M251" s="548"/>
      <c r="N251" s="548"/>
      <c r="O251" s="548"/>
      <c r="P251" s="548"/>
      <c r="Q251" s="548"/>
      <c r="R251" s="548"/>
      <c r="S251" s="548"/>
      <c r="T251" s="548"/>
      <c r="U251" s="548"/>
      <c r="V251" s="548"/>
    </row>
    <row r="252" spans="1:22" ht="15" customHeight="1" x14ac:dyDescent="0.35">
      <c r="A252" s="250"/>
      <c r="B252" s="548"/>
      <c r="C252" s="548"/>
      <c r="D252" s="548"/>
      <c r="E252" s="548"/>
      <c r="F252" s="548"/>
      <c r="G252" s="548"/>
      <c r="H252" s="548"/>
      <c r="I252" s="548"/>
      <c r="J252" s="548"/>
      <c r="K252" s="548"/>
      <c r="L252" s="548"/>
      <c r="M252" s="548"/>
      <c r="N252" s="548"/>
      <c r="O252" s="548"/>
      <c r="P252" s="548"/>
      <c r="Q252" s="548"/>
      <c r="R252" s="548"/>
      <c r="S252" s="548"/>
      <c r="T252" s="548"/>
      <c r="U252" s="548"/>
      <c r="V252" s="548"/>
    </row>
    <row r="253" spans="1:22" ht="15" customHeight="1" x14ac:dyDescent="0.35">
      <c r="A253" s="250"/>
      <c r="B253" s="548"/>
      <c r="C253" s="548"/>
      <c r="D253" s="548"/>
      <c r="E253" s="548"/>
      <c r="F253" s="548"/>
      <c r="G253" s="548"/>
      <c r="H253" s="548"/>
      <c r="I253" s="548"/>
      <c r="J253" s="548"/>
      <c r="K253" s="548"/>
      <c r="L253" s="548"/>
      <c r="M253" s="548"/>
      <c r="N253" s="548"/>
      <c r="O253" s="548"/>
      <c r="P253" s="548"/>
      <c r="Q253" s="548"/>
      <c r="R253" s="548"/>
      <c r="S253" s="548"/>
      <c r="T253" s="548"/>
      <c r="U253" s="548"/>
      <c r="V253" s="548"/>
    </row>
    <row r="254" spans="1:22" x14ac:dyDescent="0.35">
      <c r="A254" s="250"/>
      <c r="B254" s="548"/>
      <c r="C254" s="548"/>
      <c r="D254" s="548"/>
      <c r="E254" s="548"/>
      <c r="F254" s="548"/>
      <c r="G254" s="548"/>
      <c r="H254" s="548"/>
      <c r="I254" s="548"/>
      <c r="J254" s="548"/>
      <c r="K254" s="548"/>
      <c r="L254" s="548"/>
      <c r="M254" s="548"/>
      <c r="N254" s="548"/>
      <c r="O254" s="548"/>
      <c r="P254" s="548"/>
      <c r="Q254" s="548"/>
      <c r="R254" s="548"/>
      <c r="S254" s="548"/>
      <c r="T254" s="548"/>
      <c r="U254" s="548"/>
      <c r="V254" s="548"/>
    </row>
    <row r="255" spans="1:22" x14ac:dyDescent="0.35">
      <c r="A255" s="250"/>
      <c r="B255" s="548"/>
      <c r="C255" s="548"/>
      <c r="D255" s="548"/>
      <c r="E255" s="548"/>
      <c r="F255" s="548"/>
      <c r="G255" s="548"/>
      <c r="H255" s="548"/>
      <c r="I255" s="548"/>
      <c r="J255" s="548"/>
      <c r="K255" s="548"/>
      <c r="L255" s="548"/>
      <c r="M255" s="548"/>
      <c r="N255" s="548"/>
      <c r="O255" s="548"/>
      <c r="P255" s="548"/>
      <c r="Q255" s="548"/>
      <c r="R255" s="548"/>
      <c r="S255" s="548"/>
      <c r="T255" s="548"/>
      <c r="U255" s="548"/>
      <c r="V255" s="548"/>
    </row>
    <row r="256" spans="1:22" x14ac:dyDescent="0.35">
      <c r="A256" s="250"/>
      <c r="B256" s="548"/>
      <c r="C256" s="548"/>
      <c r="D256" s="548"/>
      <c r="E256" s="548"/>
      <c r="F256" s="548"/>
      <c r="G256" s="548"/>
      <c r="H256" s="548"/>
      <c r="I256" s="548"/>
      <c r="J256" s="548"/>
      <c r="K256" s="548"/>
      <c r="L256" s="548"/>
      <c r="M256" s="548"/>
      <c r="N256" s="548"/>
      <c r="O256" s="548"/>
      <c r="P256" s="548"/>
      <c r="Q256" s="548"/>
      <c r="R256" s="548"/>
      <c r="S256" s="548"/>
      <c r="T256" s="548"/>
      <c r="U256" s="548"/>
      <c r="V256" s="548"/>
    </row>
    <row r="257" spans="1:22" x14ac:dyDescent="0.35">
      <c r="A257" s="250"/>
      <c r="B257" s="548"/>
      <c r="C257" s="548"/>
      <c r="D257" s="548"/>
      <c r="E257" s="548"/>
      <c r="F257" s="548"/>
      <c r="G257" s="548"/>
      <c r="H257" s="548"/>
      <c r="I257" s="548"/>
      <c r="J257" s="548"/>
      <c r="K257" s="548"/>
      <c r="L257" s="548"/>
      <c r="M257" s="548"/>
      <c r="N257" s="548"/>
      <c r="O257" s="548"/>
      <c r="P257" s="548"/>
      <c r="Q257" s="548"/>
      <c r="R257" s="548"/>
      <c r="S257" s="548"/>
      <c r="T257" s="548"/>
      <c r="U257" s="548"/>
      <c r="V257" s="548"/>
    </row>
    <row r="258" spans="1:22" x14ac:dyDescent="0.35">
      <c r="A258" s="250"/>
      <c r="B258" s="548"/>
      <c r="C258" s="548"/>
      <c r="D258" s="548"/>
      <c r="E258" s="548"/>
      <c r="F258" s="548"/>
      <c r="G258" s="548"/>
      <c r="H258" s="548"/>
      <c r="I258" s="548"/>
      <c r="J258" s="548"/>
      <c r="K258" s="548"/>
      <c r="L258" s="548"/>
      <c r="M258" s="548"/>
      <c r="N258" s="548"/>
      <c r="O258" s="548"/>
      <c r="P258" s="548"/>
      <c r="Q258" s="548"/>
      <c r="R258" s="548"/>
      <c r="S258" s="548"/>
      <c r="T258" s="548"/>
      <c r="U258" s="548"/>
      <c r="V258" s="548"/>
    </row>
    <row r="259" spans="1:22" x14ac:dyDescent="0.35">
      <c r="A259" s="250"/>
      <c r="B259" s="548"/>
      <c r="C259" s="548"/>
      <c r="D259" s="548"/>
      <c r="E259" s="548"/>
      <c r="F259" s="548"/>
      <c r="G259" s="548"/>
      <c r="H259" s="548"/>
      <c r="I259" s="548"/>
      <c r="J259" s="548"/>
      <c r="K259" s="548"/>
      <c r="L259" s="548"/>
      <c r="M259" s="548"/>
      <c r="N259" s="548"/>
      <c r="O259" s="548"/>
      <c r="P259" s="548"/>
      <c r="Q259" s="548"/>
      <c r="R259" s="548"/>
      <c r="S259" s="548"/>
      <c r="T259" s="548"/>
      <c r="U259" s="548"/>
      <c r="V259" s="548"/>
    </row>
    <row r="260" spans="1:22" x14ac:dyDescent="0.35">
      <c r="A260" s="250"/>
      <c r="B260" s="548"/>
      <c r="C260" s="548"/>
      <c r="D260" s="548"/>
      <c r="E260" s="548"/>
      <c r="F260" s="548"/>
      <c r="G260" s="548"/>
      <c r="H260" s="548"/>
      <c r="I260" s="548"/>
      <c r="J260" s="548"/>
      <c r="K260" s="548"/>
      <c r="L260" s="548"/>
      <c r="M260" s="548"/>
      <c r="N260" s="548"/>
      <c r="O260" s="548"/>
      <c r="P260" s="548"/>
      <c r="Q260" s="548"/>
      <c r="R260" s="548"/>
      <c r="S260" s="548"/>
      <c r="T260" s="548"/>
      <c r="U260" s="548"/>
      <c r="V260" s="548"/>
    </row>
    <row r="261" spans="1:22" x14ac:dyDescent="0.35">
      <c r="A261" s="250"/>
      <c r="B261" s="548"/>
      <c r="C261" s="548"/>
      <c r="D261" s="548"/>
      <c r="E261" s="548"/>
      <c r="F261" s="548"/>
      <c r="G261" s="548"/>
      <c r="H261" s="548"/>
      <c r="I261" s="548"/>
      <c r="J261" s="548"/>
      <c r="K261" s="548"/>
      <c r="L261" s="548"/>
      <c r="M261" s="548"/>
      <c r="N261" s="548"/>
      <c r="O261" s="548"/>
      <c r="P261" s="548"/>
      <c r="Q261" s="548"/>
      <c r="R261" s="548"/>
      <c r="S261" s="548"/>
      <c r="T261" s="548"/>
      <c r="U261" s="548"/>
      <c r="V261" s="548"/>
    </row>
    <row r="262" spans="1:22" x14ac:dyDescent="0.35">
      <c r="A262" s="250"/>
      <c r="B262" s="548"/>
      <c r="C262" s="548"/>
      <c r="D262" s="548"/>
      <c r="E262" s="548"/>
      <c r="F262" s="548"/>
      <c r="G262" s="548"/>
      <c r="H262" s="548"/>
      <c r="I262" s="548"/>
      <c r="J262" s="548"/>
      <c r="K262" s="548"/>
      <c r="L262" s="548"/>
      <c r="M262" s="548"/>
      <c r="N262" s="548"/>
      <c r="O262" s="548"/>
      <c r="P262" s="548"/>
      <c r="Q262" s="548"/>
      <c r="R262" s="548"/>
      <c r="S262" s="548"/>
      <c r="T262" s="548"/>
      <c r="U262" s="548"/>
      <c r="V262" s="548"/>
    </row>
    <row r="263" spans="1:22" x14ac:dyDescent="0.35">
      <c r="A263" s="250"/>
      <c r="B263" s="548"/>
      <c r="C263" s="548"/>
      <c r="D263" s="548"/>
      <c r="E263" s="548"/>
      <c r="F263" s="548"/>
      <c r="G263" s="548"/>
      <c r="H263" s="548"/>
      <c r="I263" s="548"/>
      <c r="J263" s="548"/>
      <c r="K263" s="548"/>
      <c r="L263" s="548"/>
      <c r="M263" s="548"/>
      <c r="N263" s="548"/>
      <c r="O263" s="548"/>
      <c r="P263" s="548"/>
      <c r="Q263" s="548"/>
      <c r="R263" s="548"/>
      <c r="S263" s="548"/>
      <c r="T263" s="548"/>
      <c r="U263" s="548"/>
      <c r="V263" s="548"/>
    </row>
    <row r="264" spans="1:22" x14ac:dyDescent="0.35">
      <c r="A264" s="250"/>
      <c r="B264" s="548"/>
      <c r="C264" s="548"/>
      <c r="D264" s="548"/>
      <c r="E264" s="548"/>
      <c r="F264" s="548"/>
      <c r="G264" s="548"/>
      <c r="H264" s="548"/>
      <c r="I264" s="548"/>
      <c r="J264" s="548"/>
      <c r="K264" s="548"/>
      <c r="L264" s="548"/>
      <c r="M264" s="548"/>
      <c r="N264" s="548"/>
      <c r="O264" s="548"/>
      <c r="P264" s="548"/>
      <c r="Q264" s="548"/>
      <c r="R264" s="548"/>
      <c r="S264" s="548"/>
      <c r="T264" s="548"/>
      <c r="U264" s="548"/>
      <c r="V264" s="548"/>
    </row>
    <row r="265" spans="1:22" x14ac:dyDescent="0.35">
      <c r="A265" s="250"/>
      <c r="B265" s="250"/>
      <c r="C265" s="250"/>
      <c r="D265" s="250"/>
      <c r="E265" s="250"/>
      <c r="F265" s="250"/>
      <c r="G265" s="250"/>
      <c r="H265" s="250"/>
      <c r="I265" s="250"/>
      <c r="J265" s="250"/>
      <c r="K265" s="250"/>
      <c r="L265" s="250"/>
      <c r="M265" s="250"/>
      <c r="N265" s="250"/>
      <c r="O265" s="250"/>
      <c r="P265" s="250"/>
      <c r="Q265" s="250"/>
      <c r="R265" s="250"/>
      <c r="S265" s="250"/>
      <c r="T265" s="250"/>
      <c r="U265" s="250"/>
      <c r="V265" s="250"/>
    </row>
    <row r="266" spans="1:22" x14ac:dyDescent="0.35">
      <c r="A266" s="250"/>
      <c r="B266" s="250"/>
      <c r="C266" s="250"/>
      <c r="D266" s="250"/>
      <c r="E266" s="250"/>
      <c r="F266" s="250"/>
      <c r="G266" s="250"/>
      <c r="H266" s="250"/>
      <c r="I266" s="250"/>
      <c r="J266" s="250"/>
      <c r="K266" s="250"/>
      <c r="L266" s="250"/>
      <c r="M266" s="250"/>
      <c r="N266" s="250"/>
      <c r="O266" s="250"/>
      <c r="P266" s="250"/>
      <c r="Q266" s="250"/>
      <c r="R266" s="250"/>
      <c r="S266" s="250"/>
      <c r="T266" s="250"/>
      <c r="U266" s="250"/>
      <c r="V266" s="250"/>
    </row>
    <row r="267" spans="1:22" x14ac:dyDescent="0.35">
      <c r="A267" s="250"/>
      <c r="B267" s="250"/>
      <c r="C267" s="250"/>
      <c r="D267" s="250"/>
      <c r="E267" s="250"/>
      <c r="F267" s="250"/>
      <c r="G267" s="250"/>
      <c r="H267" s="250"/>
      <c r="I267" s="250"/>
      <c r="J267" s="250"/>
      <c r="K267" s="250"/>
      <c r="L267" s="250"/>
      <c r="M267" s="250"/>
      <c r="N267" s="250"/>
      <c r="O267" s="250"/>
      <c r="P267" s="250"/>
      <c r="Q267" s="250"/>
      <c r="R267" s="250"/>
      <c r="S267" s="250"/>
      <c r="T267" s="250"/>
      <c r="U267" s="250"/>
      <c r="V267" s="250"/>
    </row>
    <row r="268" spans="1:22" x14ac:dyDescent="0.35">
      <c r="A268" s="250"/>
      <c r="B268" s="250"/>
      <c r="C268" s="250"/>
      <c r="D268" s="250"/>
      <c r="E268" s="250"/>
      <c r="F268" s="250"/>
      <c r="G268" s="250"/>
      <c r="H268" s="250"/>
      <c r="I268" s="250"/>
      <c r="J268" s="250"/>
      <c r="K268" s="250"/>
      <c r="L268" s="250"/>
      <c r="M268" s="250"/>
      <c r="N268" s="250"/>
      <c r="O268" s="250"/>
      <c r="P268" s="250"/>
      <c r="Q268" s="250"/>
      <c r="R268" s="250"/>
      <c r="S268" s="250"/>
      <c r="T268" s="250"/>
      <c r="U268" s="250"/>
      <c r="V268" s="250"/>
    </row>
  </sheetData>
  <mergeCells count="19">
    <mergeCell ref="D3:G3"/>
    <mergeCell ref="N3:Q3"/>
    <mergeCell ref="I3:L3"/>
    <mergeCell ref="Q11:R11"/>
    <mergeCell ref="M11:N11"/>
    <mergeCell ref="O11:P11"/>
    <mergeCell ref="H11:K11"/>
    <mergeCell ref="B10:F10"/>
    <mergeCell ref="B11:F11"/>
    <mergeCell ref="I47:M47"/>
    <mergeCell ref="B46:F46"/>
    <mergeCell ref="B47:F47"/>
    <mergeCell ref="B24:F24"/>
    <mergeCell ref="B23:F23"/>
    <mergeCell ref="B36:F36"/>
    <mergeCell ref="B37:F37"/>
    <mergeCell ref="I36:M36"/>
    <mergeCell ref="I37:M37"/>
    <mergeCell ref="I46:M46"/>
  </mergeCells>
  <pageMargins left="0.7" right="0.7" top="0.75" bottom="0.75" header="0.3" footer="0.3"/>
  <pageSetup paperSize="41" orientation="portrait" r:id="rId1"/>
  <ignoredErrors>
    <ignoredError sqref="G13:G17 G39 I13:I16 G52"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2:N34"/>
  <sheetViews>
    <sheetView showGridLines="0" topLeftCell="A7" zoomScale="80" zoomScaleNormal="80" workbookViewId="0">
      <selection activeCell="P37" sqref="P37"/>
    </sheetView>
  </sheetViews>
  <sheetFormatPr baseColWidth="10" defaultRowHeight="14.5" x14ac:dyDescent="0.35"/>
  <cols>
    <col min="1" max="1" width="11.453125" style="143"/>
    <col min="2" max="2" width="33.54296875" style="143" bestFit="1" customWidth="1"/>
    <col min="3" max="3" width="17.26953125" style="143" customWidth="1"/>
    <col min="4" max="4" width="16.453125" style="143" customWidth="1"/>
    <col min="5" max="5" width="18" style="143" customWidth="1"/>
    <col min="6" max="6" width="20.7265625" style="143" customWidth="1"/>
    <col min="7" max="14" width="11.453125" style="143"/>
  </cols>
  <sheetData>
    <row r="2" spans="1:14" x14ac:dyDescent="0.35">
      <c r="C2" s="139"/>
      <c r="D2" s="1540" t="s">
        <v>197</v>
      </c>
      <c r="E2" s="1540"/>
      <c r="F2" s="1540"/>
      <c r="G2" s="139"/>
      <c r="H2" s="139"/>
    </row>
    <row r="3" spans="1:14" x14ac:dyDescent="0.35">
      <c r="C3" s="193"/>
      <c r="D3" s="138"/>
      <c r="E3" s="138"/>
      <c r="F3" s="138"/>
      <c r="G3" s="138"/>
      <c r="H3" s="138"/>
    </row>
    <row r="4" spans="1:14" ht="15.5" x14ac:dyDescent="0.35">
      <c r="C4" s="193"/>
      <c r="D4" s="194" t="s">
        <v>1</v>
      </c>
      <c r="E4" s="1541" t="s">
        <v>2</v>
      </c>
      <c r="F4" s="1542"/>
      <c r="G4" s="139"/>
      <c r="H4" s="139"/>
    </row>
    <row r="5" spans="1:14" x14ac:dyDescent="0.35">
      <c r="C5" s="142"/>
      <c r="D5" s="139"/>
      <c r="E5" s="139"/>
      <c r="F5" s="139"/>
      <c r="G5" s="139"/>
      <c r="H5" s="139"/>
    </row>
    <row r="7" spans="1:14" x14ac:dyDescent="0.35">
      <c r="B7" s="1543" t="s">
        <v>198</v>
      </c>
      <c r="C7" s="1497"/>
      <c r="D7" s="1497"/>
      <c r="E7" s="1497"/>
      <c r="F7" s="1497"/>
      <c r="G7" s="1497"/>
      <c r="H7" s="1497"/>
      <c r="I7" s="1497"/>
      <c r="J7" s="1497"/>
      <c r="K7" s="1497"/>
      <c r="L7" s="1497"/>
      <c r="M7" s="1498"/>
    </row>
    <row r="8" spans="1:14" x14ac:dyDescent="0.35">
      <c r="B8" s="1499"/>
      <c r="C8" s="1500"/>
      <c r="D8" s="1500"/>
      <c r="E8" s="1500"/>
      <c r="F8" s="1500"/>
      <c r="G8" s="1500"/>
      <c r="H8" s="1500"/>
      <c r="I8" s="1500"/>
      <c r="J8" s="1500"/>
      <c r="K8" s="1500"/>
      <c r="L8" s="1500"/>
      <c r="M8" s="1501"/>
    </row>
    <row r="9" spans="1:14" x14ac:dyDescent="0.35">
      <c r="B9" s="1499"/>
      <c r="C9" s="1500"/>
      <c r="D9" s="1500"/>
      <c r="E9" s="1500"/>
      <c r="F9" s="1500"/>
      <c r="G9" s="1500"/>
      <c r="H9" s="1500"/>
      <c r="I9" s="1500"/>
      <c r="J9" s="1500"/>
      <c r="K9" s="1500"/>
      <c r="L9" s="1500"/>
      <c r="M9" s="1501"/>
    </row>
    <row r="10" spans="1:14" x14ac:dyDescent="0.35">
      <c r="B10" s="1502"/>
      <c r="C10" s="1503"/>
      <c r="D10" s="1503"/>
      <c r="E10" s="1503"/>
      <c r="F10" s="1503"/>
      <c r="G10" s="1503"/>
      <c r="H10" s="1503"/>
      <c r="I10" s="1503"/>
      <c r="J10" s="1503"/>
      <c r="K10" s="1503"/>
      <c r="L10" s="1503"/>
      <c r="M10" s="1504"/>
    </row>
    <row r="12" spans="1:14" ht="15.5" x14ac:dyDescent="0.35">
      <c r="B12" s="1544" t="s">
        <v>199</v>
      </c>
      <c r="C12" s="1544"/>
      <c r="D12" s="1544"/>
      <c r="E12" s="145"/>
    </row>
    <row r="14" spans="1:14" x14ac:dyDescent="0.35">
      <c r="A14" s="195"/>
      <c r="B14" s="196" t="s">
        <v>200</v>
      </c>
      <c r="C14" s="196" t="s">
        <v>201</v>
      </c>
      <c r="D14" s="196" t="s">
        <v>67</v>
      </c>
      <c r="E14" s="196" t="s">
        <v>68</v>
      </c>
      <c r="F14" s="195"/>
      <c r="G14" s="195"/>
      <c r="H14" s="195"/>
      <c r="I14" s="195"/>
      <c r="J14" s="195"/>
      <c r="K14" s="195"/>
      <c r="L14" s="195"/>
      <c r="M14" s="195"/>
      <c r="N14" s="195"/>
    </row>
    <row r="15" spans="1:14" x14ac:dyDescent="0.35">
      <c r="B15" s="197" t="s">
        <v>202</v>
      </c>
      <c r="C15" s="198"/>
      <c r="D15" s="199"/>
      <c r="E15" s="200">
        <f>C15*D15</f>
        <v>0</v>
      </c>
    </row>
    <row r="16" spans="1:14" x14ac:dyDescent="0.35">
      <c r="B16" s="197" t="s">
        <v>203</v>
      </c>
      <c r="C16" s="198"/>
      <c r="D16" s="199"/>
      <c r="E16" s="200">
        <f t="shared" ref="E16:E27" si="0">C16*D16</f>
        <v>0</v>
      </c>
    </row>
    <row r="17" spans="2:5" x14ac:dyDescent="0.35">
      <c r="B17" s="197" t="s">
        <v>204</v>
      </c>
      <c r="C17" s="198"/>
      <c r="D17" s="199"/>
      <c r="E17" s="200">
        <f t="shared" si="0"/>
        <v>0</v>
      </c>
    </row>
    <row r="18" spans="2:5" x14ac:dyDescent="0.35">
      <c r="B18" s="197" t="s">
        <v>205</v>
      </c>
      <c r="C18" s="198"/>
      <c r="D18" s="199"/>
      <c r="E18" s="200">
        <f t="shared" si="0"/>
        <v>0</v>
      </c>
    </row>
    <row r="19" spans="2:5" x14ac:dyDescent="0.35">
      <c r="B19" s="197" t="s">
        <v>206</v>
      </c>
      <c r="C19" s="198"/>
      <c r="D19" s="199"/>
      <c r="E19" s="200">
        <f t="shared" si="0"/>
        <v>0</v>
      </c>
    </row>
    <row r="20" spans="2:5" x14ac:dyDescent="0.35">
      <c r="B20" s="197" t="s">
        <v>207</v>
      </c>
      <c r="C20" s="198"/>
      <c r="D20" s="199"/>
      <c r="E20" s="200">
        <f t="shared" si="0"/>
        <v>0</v>
      </c>
    </row>
    <row r="21" spans="2:5" x14ac:dyDescent="0.35">
      <c r="B21" s="197" t="s">
        <v>208</v>
      </c>
      <c r="C21" s="198"/>
      <c r="D21" s="199"/>
      <c r="E21" s="200">
        <f t="shared" si="0"/>
        <v>0</v>
      </c>
    </row>
    <row r="22" spans="2:5" x14ac:dyDescent="0.35">
      <c r="B22" s="197" t="s">
        <v>209</v>
      </c>
      <c r="C22" s="198"/>
      <c r="D22" s="199"/>
      <c r="E22" s="200">
        <f t="shared" si="0"/>
        <v>0</v>
      </c>
    </row>
    <row r="23" spans="2:5" x14ac:dyDescent="0.35">
      <c r="B23" s="197" t="s">
        <v>210</v>
      </c>
      <c r="C23" s="198"/>
      <c r="D23" s="199"/>
      <c r="E23" s="200">
        <f t="shared" si="0"/>
        <v>0</v>
      </c>
    </row>
    <row r="24" spans="2:5" x14ac:dyDescent="0.35">
      <c r="B24" s="197" t="s">
        <v>211</v>
      </c>
      <c r="C24" s="198"/>
      <c r="D24" s="199"/>
      <c r="E24" s="200">
        <f>C24*D24</f>
        <v>0</v>
      </c>
    </row>
    <row r="25" spans="2:5" x14ac:dyDescent="0.35">
      <c r="B25" s="197" t="s">
        <v>212</v>
      </c>
      <c r="C25" s="198"/>
      <c r="D25" s="199"/>
      <c r="E25" s="200">
        <f t="shared" si="0"/>
        <v>0</v>
      </c>
    </row>
    <row r="26" spans="2:5" x14ac:dyDescent="0.35">
      <c r="B26" s="197" t="s">
        <v>213</v>
      </c>
      <c r="C26" s="198"/>
      <c r="D26" s="199"/>
      <c r="E26" s="200">
        <f t="shared" si="0"/>
        <v>0</v>
      </c>
    </row>
    <row r="27" spans="2:5" x14ac:dyDescent="0.35">
      <c r="B27" s="197" t="s">
        <v>214</v>
      </c>
      <c r="C27" s="198"/>
      <c r="D27" s="199"/>
      <c r="E27" s="200">
        <f t="shared" si="0"/>
        <v>0</v>
      </c>
    </row>
    <row r="28" spans="2:5" ht="15" thickBot="1" x14ac:dyDescent="0.4"/>
    <row r="29" spans="2:5" ht="15" thickBot="1" x14ac:dyDescent="0.4">
      <c r="D29" s="201" t="s">
        <v>68</v>
      </c>
      <c r="E29" s="202">
        <v>4250</v>
      </c>
    </row>
    <row r="30" spans="2:5" x14ac:dyDescent="0.35">
      <c r="E30" s="193"/>
    </row>
    <row r="31" spans="2:5" x14ac:dyDescent="0.35">
      <c r="C31" s="1545" t="s">
        <v>544</v>
      </c>
      <c r="D31" s="1545"/>
      <c r="E31" s="1545"/>
    </row>
    <row r="33" spans="5:5" x14ac:dyDescent="0.35">
      <c r="E33" s="539"/>
    </row>
    <row r="34" spans="5:5" x14ac:dyDescent="0.35">
      <c r="E34" s="539"/>
    </row>
  </sheetData>
  <sheetProtection algorithmName="SHA-512" hashValue="aCRnM+jTqJb7aIeOh6OvKR4iXZXjHi7g6Uu0/j5MhlWYTlSCWkGrNCrkyOTvvzZPZbjmmK+KGH1RsFRWvx2kNA==" saltValue="0UMnJyxqsreU3cQMt2L1dQ==" spinCount="100000" sheet="1" objects="1" scenarios="1"/>
  <mergeCells count="5">
    <mergeCell ref="D2:F2"/>
    <mergeCell ref="E4:F4"/>
    <mergeCell ref="B7:M10"/>
    <mergeCell ref="B12:D12"/>
    <mergeCell ref="C31:E3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S84"/>
  <sheetViews>
    <sheetView showGridLines="0" topLeftCell="A22" zoomScale="80" zoomScaleNormal="80" workbookViewId="0">
      <pane xSplit="2" topLeftCell="C1" activePane="topRight" state="frozen"/>
      <selection pane="topRight" activeCell="C4" sqref="C4:D4"/>
    </sheetView>
  </sheetViews>
  <sheetFormatPr baseColWidth="10" defaultRowHeight="14.5" x14ac:dyDescent="0.35"/>
  <cols>
    <col min="1" max="1" width="1" style="143" customWidth="1"/>
    <col min="2" max="2" width="66.1796875" style="143" customWidth="1"/>
    <col min="3" max="3" width="19.1796875" style="143" bestFit="1" customWidth="1"/>
    <col min="4" max="6" width="18.7265625" style="143" bestFit="1" customWidth="1"/>
    <col min="7" max="7" width="18.26953125" style="143" bestFit="1" customWidth="1"/>
    <col min="8" max="10" width="18.7265625" style="143" bestFit="1" customWidth="1"/>
    <col min="11" max="11" width="19.1796875" style="143" bestFit="1" customWidth="1"/>
    <col min="12" max="12" width="17.7265625" style="143" bestFit="1" customWidth="1"/>
    <col min="13" max="13" width="18.26953125" style="143" bestFit="1" customWidth="1"/>
    <col min="14" max="14" width="19.1796875" style="143" bestFit="1" customWidth="1"/>
    <col min="15" max="15" width="21.54296875" style="143" bestFit="1" customWidth="1"/>
    <col min="16" max="16" width="13" hidden="1" customWidth="1"/>
    <col min="17" max="17" width="26.453125" hidden="1" customWidth="1"/>
    <col min="18" max="18" width="14.26953125" bestFit="1" customWidth="1"/>
    <col min="19" max="19" width="13.81640625" bestFit="1" customWidth="1"/>
  </cols>
  <sheetData>
    <row r="1" spans="2:19" x14ac:dyDescent="0.35">
      <c r="B1" s="191"/>
      <c r="C1" s="191"/>
      <c r="D1" s="192"/>
      <c r="E1" s="203"/>
      <c r="F1" s="192"/>
      <c r="G1" s="191"/>
    </row>
    <row r="2" spans="2:19" x14ac:dyDescent="0.35">
      <c r="B2" s="191"/>
      <c r="C2" s="191"/>
      <c r="D2" s="192"/>
      <c r="E2" s="203"/>
      <c r="F2" s="192"/>
      <c r="G2" s="191"/>
    </row>
    <row r="3" spans="2:19" ht="15" thickBot="1" x14ac:dyDescent="0.4">
      <c r="B3" s="191"/>
      <c r="C3" s="191"/>
      <c r="D3" s="191"/>
      <c r="E3" s="191"/>
      <c r="F3" s="191"/>
      <c r="G3" s="191"/>
    </row>
    <row r="4" spans="2:19" ht="16" thickBot="1" x14ac:dyDescent="0.4">
      <c r="B4" s="204" t="s">
        <v>215</v>
      </c>
      <c r="C4" s="1548" t="s">
        <v>2</v>
      </c>
      <c r="D4" s="1549"/>
      <c r="E4" s="1546"/>
      <c r="F4" s="1546"/>
      <c r="G4" s="191"/>
    </row>
    <row r="5" spans="2:19" x14ac:dyDescent="0.35">
      <c r="B5" s="5"/>
      <c r="E5"/>
      <c r="F5"/>
    </row>
    <row r="6" spans="2:19" x14ac:dyDescent="0.35">
      <c r="B6" s="1547" t="s">
        <v>216</v>
      </c>
      <c r="C6" s="1547"/>
      <c r="D6" s="1547"/>
      <c r="E6" s="1547"/>
      <c r="F6" s="1547"/>
      <c r="G6" s="1547"/>
      <c r="H6" s="1547"/>
      <c r="I6" s="1547"/>
      <c r="J6" s="1547"/>
      <c r="K6" s="1547"/>
      <c r="R6" s="813"/>
      <c r="S6" s="609"/>
    </row>
    <row r="7" spans="2:19" ht="15" thickBot="1" x14ac:dyDescent="0.4">
      <c r="E7" s="205"/>
      <c r="F7" s="205"/>
      <c r="G7" s="205"/>
      <c r="H7" s="205"/>
      <c r="I7" s="205"/>
      <c r="J7" s="205"/>
      <c r="K7" s="205"/>
      <c r="L7" s="205"/>
      <c r="M7" s="205"/>
      <c r="N7" s="205"/>
    </row>
    <row r="8" spans="2:19" x14ac:dyDescent="0.35">
      <c r="B8" s="572" t="s">
        <v>217</v>
      </c>
      <c r="C8" s="429" t="s">
        <v>185</v>
      </c>
      <c r="D8" s="429" t="s">
        <v>186</v>
      </c>
      <c r="E8" s="429" t="s">
        <v>187</v>
      </c>
      <c r="F8" s="429" t="s">
        <v>188</v>
      </c>
      <c r="G8" s="429" t="s">
        <v>189</v>
      </c>
      <c r="H8" s="429" t="s">
        <v>190</v>
      </c>
      <c r="I8" s="429" t="s">
        <v>191</v>
      </c>
      <c r="J8" s="430" t="s">
        <v>192</v>
      </c>
      <c r="K8" s="429" t="s">
        <v>193</v>
      </c>
      <c r="L8" s="429" t="s">
        <v>194</v>
      </c>
      <c r="M8" s="429" t="s">
        <v>195</v>
      </c>
      <c r="N8" s="429" t="s">
        <v>196</v>
      </c>
      <c r="O8" s="431" t="s">
        <v>298</v>
      </c>
      <c r="P8" s="413"/>
      <c r="Q8" s="414" t="s">
        <v>293</v>
      </c>
    </row>
    <row r="9" spans="2:19" x14ac:dyDescent="0.35">
      <c r="B9" s="432" t="s">
        <v>219</v>
      </c>
      <c r="C9" s="573">
        <f>+'A) Resumen Ingresos y Egresos'!$D$9*'J)Estructura Económica Mensual'!C16</f>
        <v>26594934.940378282</v>
      </c>
      <c r="D9" s="573">
        <f>+'A) Resumen Ingresos y Egresos'!$D$9*'J)Estructura Económica Mensual'!D16</f>
        <v>21843282.161373682</v>
      </c>
      <c r="E9" s="573">
        <f>+'A) Resumen Ingresos y Egresos'!$D$9*'J)Estructura Económica Mensual'!E16</f>
        <v>22966871.594199527</v>
      </c>
      <c r="F9" s="573">
        <f>+'A) Resumen Ingresos y Egresos'!$D$9*'J)Estructura Económica Mensual'!F16</f>
        <v>19273221.402826712</v>
      </c>
      <c r="G9" s="573">
        <f>+'A) Resumen Ingresos y Egresos'!$D$9*'J)Estructura Económica Mensual'!G16</f>
        <v>15752722.684852181</v>
      </c>
      <c r="H9" s="573">
        <f>+'A) Resumen Ingresos y Egresos'!$D$9*'J)Estructura Económica Mensual'!H16</f>
        <v>15988192.152254745</v>
      </c>
      <c r="I9" s="573">
        <f>+'A) Resumen Ingresos y Egresos'!$D$9*'J)Estructura Económica Mensual'!I16</f>
        <v>22719973.092910323</v>
      </c>
      <c r="J9" s="573">
        <f>+'A) Resumen Ingresos y Egresos'!$D$9*'J)Estructura Económica Mensual'!J16</f>
        <v>17266819.862721793</v>
      </c>
      <c r="K9" s="573">
        <f>+'A) Resumen Ingresos y Egresos'!$D$9*'J)Estructura Económica Mensual'!K16</f>
        <v>20934899.888940793</v>
      </c>
      <c r="L9" s="573">
        <f>+'A) Resumen Ingresos y Egresos'!$D$9*'J)Estructura Económica Mensual'!L16</f>
        <v>16209443.623125421</v>
      </c>
      <c r="M9" s="573">
        <f>+'A) Resumen Ingresos y Egresos'!$D$9*'J)Estructura Económica Mensual'!M16</f>
        <v>21271210.351324987</v>
      </c>
      <c r="N9" s="573">
        <f>+'A) Resumen Ingresos y Egresos'!$D$9*'J)Estructura Económica Mensual'!N16</f>
        <v>23282128.245091554</v>
      </c>
      <c r="O9" s="433">
        <f>SUM(C9:N9)</f>
        <v>244103700</v>
      </c>
      <c r="P9" s="413">
        <f>IF(Q9=12,C9+D9+E9+F9+G9+H9+I9+J9+K9+L9+M9+N9,IF(Q9=11,C9+D9+E9+F9+G9+H9+I9+J9+K9+L9+M9,IF(Q9=10,C9+D9+E9+F9+G9+H9+I9+J9+K9+L9,IF(Q9=9,C9+D9+E9+F9+G9+H9+I9+J9+K9,IF(Q9=8,C9+D9+E9+F9+G9+H9+I9+J9,IF(Q9=7,C9+D9+E9+F9+G9+H9+I9,IF(Q9=6,C9+D9+E9+F9+G9+H9,IF(Q9=5,C9+D9+E9+F9+G9,0))))))))</f>
        <v>244103700</v>
      </c>
      <c r="Q9" s="415">
        <f>COUNTA(#REF!,#REF!,#REF!,#REF!,#REF!,#REF!,#REF!,#REF!,#REF!,#REF!,#REF!,#REF!)</f>
        <v>12</v>
      </c>
    </row>
    <row r="10" spans="2:19" x14ac:dyDescent="0.35">
      <c r="B10" s="432" t="s">
        <v>220</v>
      </c>
      <c r="C10" s="573">
        <f>(SUM('F) Remuneraciones'!$I$11:$I$21)*(1+'F) Remuneraciones'!$M$8))/12</f>
        <v>9761780.416666666</v>
      </c>
      <c r="D10" s="573">
        <f>(SUM('F) Remuneraciones'!$I$11:$I$21)*(1+'F) Remuneraciones'!$M$8))/12</f>
        <v>9761780.416666666</v>
      </c>
      <c r="E10" s="573">
        <f>(SUM('F) Remuneraciones'!$I$11:$I$21)*(1+'F) Remuneraciones'!$M$8))/12</f>
        <v>9761780.416666666</v>
      </c>
      <c r="F10" s="573">
        <f>(SUM('F) Remuneraciones'!$I$11:$I$21)*(1+'F) Remuneraciones'!$M$8))/12</f>
        <v>9761780.416666666</v>
      </c>
      <c r="G10" s="573">
        <f>(SUM('F) Remuneraciones'!$I$11:$I$21)*(1+'F) Remuneraciones'!$M$8))/12</f>
        <v>9761780.416666666</v>
      </c>
      <c r="H10" s="573">
        <f>(SUM('F) Remuneraciones'!$I$11:$I$21)*(1+'F) Remuneraciones'!$M$8))/12</f>
        <v>9761780.416666666</v>
      </c>
      <c r="I10" s="573">
        <f>(SUM('F) Remuneraciones'!$I$11:$I$21)*(1+'F) Remuneraciones'!$M$8))/12</f>
        <v>9761780.416666666</v>
      </c>
      <c r="J10" s="573">
        <f>(SUM('F) Remuneraciones'!$I$11:$I$21)*(1+'F) Remuneraciones'!$M$8))/12</f>
        <v>9761780.416666666</v>
      </c>
      <c r="K10" s="573">
        <f>(SUM('F) Remuneraciones'!$I$11:$I$21)*(1+'F) Remuneraciones'!$M$8))/12</f>
        <v>9761780.416666666</v>
      </c>
      <c r="L10" s="573">
        <f>(SUM('F) Remuneraciones'!$I$11:$I$21)*(1+'F) Remuneraciones'!$M$8))/12</f>
        <v>9761780.416666666</v>
      </c>
      <c r="M10" s="573">
        <f>(SUM('F) Remuneraciones'!$I$11:$I$21)*(1+'F) Remuneraciones'!$M$8))/12</f>
        <v>9761780.416666666</v>
      </c>
      <c r="N10" s="573">
        <f>(SUM('F) Remuneraciones'!$I$11:$I$21)*(1+'F) Remuneraciones'!$M$8))/12</f>
        <v>9761780.416666666</v>
      </c>
      <c r="O10" s="433">
        <f t="shared" ref="O10:O14" si="0">SUM(C10:N10)</f>
        <v>117141365.00000001</v>
      </c>
      <c r="P10" s="426">
        <f>IF(Q10=12,C10+D10+E10+F10+G10+H10+I10+J10+K10+L10+M10+N10,IF(Q10=11,C10+D10+E10+F10+G10+H10+I10+J10+K10+L10+M10,IF(Q10=10,C10+D10+E10+F10+G10+H10+I10+J10+K10+L10,IF(Q10=9,C10+D10+E10+F10+G10+H10+I10+J10+K10,IF(Q10=8,C10+D10+E10+F10+G10+H10+I10+J10,IF(Q10=7,C10+D10+E10+F10+G10+H10+I10,IF(Q10=6,C10+D10+E10+F10+G10+H10,IF(Q10=5,C10+D10+E10+F10+G10,0))))))))</f>
        <v>117141365.00000001</v>
      </c>
      <c r="Q10" s="1550">
        <f>COUNTA(#REF!,#REF!,#REF!,#REF!,#REF!,#REF!,#REF!,#REF!,#REF!,#REF!,#REF!,#REF!)</f>
        <v>12</v>
      </c>
    </row>
    <row r="11" spans="2:19" x14ac:dyDescent="0.35">
      <c r="B11" s="432" t="s">
        <v>221</v>
      </c>
      <c r="C11" s="573">
        <f>SUM('F) Remuneraciones'!$I$25:$I$38)/4</f>
        <v>0</v>
      </c>
      <c r="D11" s="573">
        <f>SUM('F) Remuneraciones'!$I$25:$I$38)/4</f>
        <v>0</v>
      </c>
      <c r="E11" s="573">
        <f>SUM('F) Remuneraciones'!$I$25:$I$38)/4</f>
        <v>0</v>
      </c>
      <c r="F11" s="573">
        <v>0</v>
      </c>
      <c r="G11" s="573">
        <v>0</v>
      </c>
      <c r="H11" s="573">
        <v>0</v>
      </c>
      <c r="I11" s="573">
        <v>0</v>
      </c>
      <c r="J11" s="573">
        <v>0</v>
      </c>
      <c r="K11" s="573">
        <v>0</v>
      </c>
      <c r="L11" s="573">
        <v>0</v>
      </c>
      <c r="M11" s="573">
        <v>0</v>
      </c>
      <c r="N11" s="573">
        <f>SUM('F) Remuneraciones'!$I$25:$I$38)/4</f>
        <v>0</v>
      </c>
      <c r="O11" s="433">
        <f t="shared" si="0"/>
        <v>0</v>
      </c>
      <c r="P11" s="426">
        <f>IF(Q10=12,C11+D11+E11+F11+G11+H11+I11+J11+K11+L11+M11+N11,IF(Q10=11,C11+D11+E11+F11+G11+H11+I11+J11+K11+L11+M11,IF(Q10=10,C11+D11+E11+F11+G11+H11+I11+J11+K11+L11,IF(Q10=9,C11+D11+E11+F11+G11+H11+I11+J11+K11,IF(Q10=8,C11+D11+E11+F11+G11+H11+I11+J11,IF(Q10=7,C11+D11+E11+F11+G11+H11+I11,IF(Q10=6,C11+D11+E11+F11+G11+H11,IF(Q10=5,C11+D11+E11+F11+G11,0))))))))</f>
        <v>0</v>
      </c>
      <c r="Q11" s="1550"/>
    </row>
    <row r="12" spans="2:19" x14ac:dyDescent="0.35">
      <c r="B12" s="432" t="s">
        <v>222</v>
      </c>
      <c r="C12" s="573">
        <f>SUM('F) Remuneraciones'!J11:J21)/2</f>
        <v>1946609.5</v>
      </c>
      <c r="D12" s="573">
        <v>0</v>
      </c>
      <c r="E12" s="573">
        <v>0</v>
      </c>
      <c r="F12" s="573">
        <v>0</v>
      </c>
      <c r="G12" s="573">
        <v>0</v>
      </c>
      <c r="H12" s="573">
        <v>0</v>
      </c>
      <c r="I12" s="573">
        <v>0</v>
      </c>
      <c r="J12" s="573">
        <v>0</v>
      </c>
      <c r="K12" s="573">
        <f>SUM('F) Remuneraciones'!K11:K21)/2</f>
        <v>922093.2</v>
      </c>
      <c r="L12" s="573"/>
      <c r="M12" s="573"/>
      <c r="N12" s="573">
        <f>+C12+K12</f>
        <v>2868702.7</v>
      </c>
      <c r="O12" s="433">
        <f>SUM(C12:N12)</f>
        <v>5737405.4000000004</v>
      </c>
      <c r="P12" s="413">
        <f>IF(Q12=12,C12+D12+E12+F12+G12+H12+I12+J12+K12+L12+M12+N12,IF(Q12=11,C12+D12+E12+F12+G12+H12+I12+J12+K12+L12+M12,IF(Q12=10,C12+D12+E12+F12+G12+H12+I12+J12+K12+L12,IF(Q12=9,C12+D12+E12+F12+G12+H12+I12+J12+K12,IF(Q12=8,C12+D12+E12+F12+G12+H12+I12+J12,IF(Q12=7,C12+D12+E12+F12+G12+H12+I12,IF(Q12=6,C12+D12+E12+F12+G12+H12,IF(Q12=5,C12+D12+E12+F12+G12,0))))))))</f>
        <v>5737405.4000000004</v>
      </c>
      <c r="Q12" s="415">
        <f>COUNTA(#REF!,#REF!,#REF!,#REF!,#REF!,#REF!,#REF!,#REF!,#REF!,#REF!,#REF!,#REF!)</f>
        <v>12</v>
      </c>
    </row>
    <row r="13" spans="2:19" x14ac:dyDescent="0.35">
      <c r="B13" s="432" t="s">
        <v>223</v>
      </c>
      <c r="C13" s="573">
        <f>('C) Estimación Costos Directos'!$H$11-'C) Estimación Costos Directos'!$H$12)*C17</f>
        <v>2349814.1787312217</v>
      </c>
      <c r="D13" s="573">
        <f>('C) Estimación Costos Directos'!$H$11-'C) Estimación Costos Directos'!$H$12)*D17</f>
        <v>1016024.4138764986</v>
      </c>
      <c r="E13" s="573">
        <f>('C) Estimación Costos Directos'!$H$11-'C) Estimación Costos Directos'!$H$12)*E17</f>
        <v>3554006.198981938</v>
      </c>
      <c r="F13" s="573">
        <f>('C) Estimación Costos Directos'!$H$11-'C) Estimación Costos Directos'!$H$12)*F17</f>
        <v>2297074.7299698335</v>
      </c>
      <c r="G13" s="573">
        <f>('C) Estimación Costos Directos'!$H$11-'C) Estimación Costos Directos'!$H$12)*G17</f>
        <v>1761547.4189221568</v>
      </c>
      <c r="H13" s="573">
        <f>('C) Estimación Costos Directos'!$H$11-'C) Estimación Costos Directos'!$H$12)*H17</f>
        <v>1935098.8865592454</v>
      </c>
      <c r="I13" s="573">
        <f>('C) Estimación Costos Directos'!$H$11-'C) Estimación Costos Directos'!$H$12)*I17</f>
        <v>3501320.5239167348</v>
      </c>
      <c r="J13" s="573">
        <f>('C) Estimación Costos Directos'!$H$11-'C) Estimación Costos Directos'!$H$12)*J17</f>
        <v>2049494.807251845</v>
      </c>
      <c r="K13" s="573">
        <f>('C) Estimación Costos Directos'!$H$11-'C) Estimación Costos Directos'!$H$12)*K17</f>
        <v>2514887.3269365267</v>
      </c>
      <c r="L13" s="573">
        <f>('C) Estimación Costos Directos'!$H$11-'C) Estimación Costos Directos'!$H$12)*L17</f>
        <v>3081526.306140116</v>
      </c>
      <c r="M13" s="573">
        <f>('C) Estimación Costos Directos'!$H$11-'C) Estimación Costos Directos'!$H$12)*M17</f>
        <v>2292183.1160735679</v>
      </c>
      <c r="N13" s="573">
        <f>('C) Estimación Costos Directos'!$H$11-'C) Estimación Costos Directos'!$H$12)*N17</f>
        <v>5239522.0926403161</v>
      </c>
      <c r="O13" s="433">
        <f t="shared" si="0"/>
        <v>31592500</v>
      </c>
      <c r="P13" s="413">
        <f>IF(Q13=12,C13+D13+E13+F13+G13+H13+I13+J13+K13+L13+M13+N13,IF(Q13=11,C13+D13+E13+F13+G13+H13+I13+J13+K13+L13+M13,IF(Q13=10,C13+D13+E13+F13+G13+H13+I13+J13+K13+L13,IF(Q13=9,C13+D13+E13+F13+G13+H13+I13+J13+K13,IF(Q13=8,C13+D13+E13+F13+G13+H13+I13+J13,IF(Q13=7,C13+D13+E13+F13+G13+H13+I13,IF(Q13=6,C13+D13+E13+F13+G13+H13,IF(Q13=5,C13+D13+E13+F13+G13,0))))))))</f>
        <v>31592500</v>
      </c>
      <c r="Q13" s="415">
        <f>COUNTA(#REF!,#REF!,#REF!,#REF!,#REF!,#REF!,#REF!,#REF!,#REF!,#REF!,#REF!,#REF!)</f>
        <v>12</v>
      </c>
    </row>
    <row r="14" spans="2:19" ht="15" thickBot="1" x14ac:dyDescent="0.4">
      <c r="B14" s="435" t="s">
        <v>275</v>
      </c>
      <c r="C14" s="574">
        <f>'C) Estimación Costos Directos'!$H$39*C18</f>
        <v>4965235.2715163864</v>
      </c>
      <c r="D14" s="574">
        <f>'C) Estimación Costos Directos'!$H$39*D18</f>
        <v>2146893.2744398052</v>
      </c>
      <c r="E14" s="574">
        <f>'C) Estimación Costos Directos'!$H$39*E18</f>
        <v>7509732.9372236524</v>
      </c>
      <c r="F14" s="574">
        <f>'C) Estimación Costos Directos'!$H$39*F18</f>
        <v>4853795.067622575</v>
      </c>
      <c r="G14" s="574">
        <f>'C) Estimación Costos Directos'!$H$39*G18</f>
        <v>3722208.1031120517</v>
      </c>
      <c r="H14" s="574">
        <f>'C) Estimación Costos Directos'!$H$39*H18</f>
        <v>4088928.1086064409</v>
      </c>
      <c r="I14" s="574">
        <f>'C) Estimación Costos Directos'!$H$39*I18</f>
        <v>7398406.3589328332</v>
      </c>
      <c r="J14" s="574">
        <f>'C) Estimación Costos Directos'!$H$39*J18</f>
        <v>4330650.4820101028</v>
      </c>
      <c r="K14" s="574">
        <f>'C) Estimación Costos Directos'!$H$39*K18</f>
        <v>5314040.30693914</v>
      </c>
      <c r="L14" s="574">
        <f>'C) Estimación Costos Directos'!$H$39*L18</f>
        <v>6511367.2578203557</v>
      </c>
      <c r="M14" s="574">
        <f>'C) Estimación Costos Directos'!$H$39*M18</f>
        <v>4843458.9252704624</v>
      </c>
      <c r="N14" s="574">
        <f>'C) Estimación Costos Directos'!$H$39*N18</f>
        <v>11071283.906506194</v>
      </c>
      <c r="O14" s="436">
        <f t="shared" si="0"/>
        <v>66756000</v>
      </c>
      <c r="P14" s="413">
        <f>IF(Q14=12,C14+D14+E14+F14+G14+H14+I14+J14+K14+L14+M14+N14,IF(Q14=11,C14+D14+E14+F14+G14+H14+I14+J14+K14+L14+M14,IF(Q14=10,C14+D14+E14+F14+G14+H14+I14+J14+K14+L14,IF(Q14=9,C14+D14+E14+F14+G14+H14+I14+J14+K14,IF(Q14=8,C14+D14+E14+F14+G14+H14+I14+J14,IF(Q14=7,C14+D14+E14+F14+G14+H14+I14,IF(Q14=6,C14+D14+E14+F14+G14+H14,IF(Q14=5,C14+D14+E14+F14+G14,0))))))))</f>
        <v>66756000</v>
      </c>
      <c r="Q14" s="415">
        <f>COUNTA(#REF!,#REF!,#REF!,#REF!,#REF!,#REF!,#REF!,#REF!,#REF!,#REF!,#REF!,#REF!)</f>
        <v>12</v>
      </c>
    </row>
    <row r="15" spans="2:19" ht="15" thickBot="1" x14ac:dyDescent="0.4">
      <c r="B15" s="427" t="s">
        <v>224</v>
      </c>
      <c r="C15" s="428">
        <f>C9-(C10+C11+C12+C13+C14)</f>
        <v>7571495.5734640099</v>
      </c>
      <c r="D15" s="428">
        <f t="shared" ref="D15:O15" si="1">D9-(D10+D11+D12+D13+D14)</f>
        <v>8918584.0563907139</v>
      </c>
      <c r="E15" s="428">
        <f t="shared" si="1"/>
        <v>2141352.0413272716</v>
      </c>
      <c r="F15" s="428">
        <f t="shared" si="1"/>
        <v>2360571.1885676384</v>
      </c>
      <c r="G15" s="428">
        <f t="shared" si="1"/>
        <v>507186.7461513076</v>
      </c>
      <c r="H15" s="428">
        <f t="shared" si="1"/>
        <v>202384.74042239226</v>
      </c>
      <c r="I15" s="428">
        <f t="shared" si="1"/>
        <v>2058465.7933940887</v>
      </c>
      <c r="J15" s="428">
        <f t="shared" si="1"/>
        <v>1124894.1567931809</v>
      </c>
      <c r="K15" s="428">
        <f t="shared" si="1"/>
        <v>2422098.638398461</v>
      </c>
      <c r="L15" s="428">
        <f t="shared" si="1"/>
        <v>-3145230.3575017173</v>
      </c>
      <c r="M15" s="428">
        <f t="shared" si="1"/>
        <v>4373787.8933142908</v>
      </c>
      <c r="N15" s="428">
        <f t="shared" si="1"/>
        <v>-5659160.870721627</v>
      </c>
      <c r="O15" s="438">
        <f t="shared" si="1"/>
        <v>22876429.599999964</v>
      </c>
      <c r="P15" s="413"/>
      <c r="Q15" s="415"/>
      <c r="R15" s="813"/>
    </row>
    <row r="16" spans="2:19" x14ac:dyDescent="0.35">
      <c r="B16" s="410" t="s">
        <v>225</v>
      </c>
      <c r="C16" s="222">
        <v>0.10894933153564769</v>
      </c>
      <c r="D16" s="222">
        <v>8.9483617664843598E-2</v>
      </c>
      <c r="E16" s="222">
        <v>9.4086536149183844E-2</v>
      </c>
      <c r="F16" s="222">
        <v>7.8955056407693583E-2</v>
      </c>
      <c r="G16" s="222">
        <v>6.4532912384581559E-2</v>
      </c>
      <c r="H16" s="222">
        <v>6.5497541218157471E-2</v>
      </c>
      <c r="I16" s="222">
        <v>9.3075086911465599E-2</v>
      </c>
      <c r="J16" s="222">
        <v>7.0735592548256301E-2</v>
      </c>
      <c r="K16" s="222">
        <v>8.5762321050196266E-2</v>
      </c>
      <c r="L16" s="222">
        <v>6.6403924328576017E-2</v>
      </c>
      <c r="M16" s="222">
        <v>8.7140057079532124E-2</v>
      </c>
      <c r="N16" s="222">
        <v>9.5378022721865963E-2</v>
      </c>
      <c r="O16" s="223"/>
    </row>
    <row r="17" spans="2:19" x14ac:dyDescent="0.35">
      <c r="B17" s="411" t="s">
        <v>226</v>
      </c>
      <c r="C17" s="225">
        <v>7.4378861398471843E-2</v>
      </c>
      <c r="D17" s="225">
        <v>3.2160304308823252E-2</v>
      </c>
      <c r="E17" s="225">
        <v>0.11249525042278825</v>
      </c>
      <c r="F17" s="225">
        <v>7.2709495290649157E-2</v>
      </c>
      <c r="G17" s="225">
        <v>5.5758405283600751E-2</v>
      </c>
      <c r="H17" s="225">
        <v>6.1251844157924992E-2</v>
      </c>
      <c r="I17" s="225">
        <v>0.11082758641819213</v>
      </c>
      <c r="J17" s="225">
        <v>6.4872827641112449E-2</v>
      </c>
      <c r="K17" s="225">
        <v>7.9603935330743905E-2</v>
      </c>
      <c r="L17" s="225">
        <v>9.7539805527897955E-2</v>
      </c>
      <c r="M17" s="225">
        <v>7.2554660633807638E-2</v>
      </c>
      <c r="N17" s="225">
        <v>0.16584702358598769</v>
      </c>
      <c r="O17" s="226"/>
      <c r="R17" s="813"/>
    </row>
    <row r="18" spans="2:19" ht="15" thickBot="1" x14ac:dyDescent="0.4">
      <c r="B18" s="411" t="s">
        <v>275</v>
      </c>
      <c r="C18" s="225">
        <v>7.4378861398471843E-2</v>
      </c>
      <c r="D18" s="225">
        <v>3.2160304308823252E-2</v>
      </c>
      <c r="E18" s="225">
        <v>0.11249525042278825</v>
      </c>
      <c r="F18" s="225">
        <v>7.2709495290649157E-2</v>
      </c>
      <c r="G18" s="225">
        <v>5.5758405283600751E-2</v>
      </c>
      <c r="H18" s="225">
        <v>6.1251844157924992E-2</v>
      </c>
      <c r="I18" s="225">
        <v>0.11082758641819213</v>
      </c>
      <c r="J18" s="225">
        <v>6.4872827641112449E-2</v>
      </c>
      <c r="K18" s="225">
        <v>7.9603935330743905E-2</v>
      </c>
      <c r="L18" s="225">
        <v>9.7539805527897955E-2</v>
      </c>
      <c r="M18" s="225">
        <v>7.2554660633807638E-2</v>
      </c>
      <c r="N18" s="225">
        <v>0.16584702358598769</v>
      </c>
    </row>
    <row r="19" spans="2:19" x14ac:dyDescent="0.35">
      <c r="B19" s="575" t="s">
        <v>227</v>
      </c>
      <c r="C19" s="429" t="s">
        <v>185</v>
      </c>
      <c r="D19" s="429" t="s">
        <v>186</v>
      </c>
      <c r="E19" s="429" t="s">
        <v>187</v>
      </c>
      <c r="F19" s="429" t="s">
        <v>188</v>
      </c>
      <c r="G19" s="1190" t="s">
        <v>189</v>
      </c>
      <c r="H19" s="1190" t="s">
        <v>190</v>
      </c>
      <c r="I19" s="1190" t="s">
        <v>191</v>
      </c>
      <c r="J19" s="1190" t="s">
        <v>192</v>
      </c>
      <c r="K19" s="429" t="s">
        <v>193</v>
      </c>
      <c r="L19" s="429" t="s">
        <v>194</v>
      </c>
      <c r="M19" s="429" t="s">
        <v>195</v>
      </c>
      <c r="N19" s="429" t="s">
        <v>196</v>
      </c>
      <c r="O19" s="431" t="s">
        <v>298</v>
      </c>
      <c r="P19" s="413"/>
      <c r="Q19" s="414" t="s">
        <v>293</v>
      </c>
    </row>
    <row r="20" spans="2:19" x14ac:dyDescent="0.35">
      <c r="B20" s="576" t="s">
        <v>219</v>
      </c>
      <c r="C20" s="573">
        <f>+'A) Resumen Ingresos y Egresos'!$D$10*'J)Estructura Económica Mensual'!C27</f>
        <v>8036820</v>
      </c>
      <c r="D20" s="573">
        <f>+'A) Resumen Ingresos y Egresos'!$D$10*'J)Estructura Económica Mensual'!D27</f>
        <v>6429456</v>
      </c>
      <c r="E20" s="573">
        <f>+'A) Resumen Ingresos y Egresos'!$D$10*'J)Estructura Económica Mensual'!E27</f>
        <v>3214728</v>
      </c>
      <c r="F20" s="573">
        <f>+'A) Resumen Ingresos y Egresos'!$D$10*'J)Estructura Económica Mensual'!F27</f>
        <v>2678940</v>
      </c>
      <c r="G20" s="573">
        <f>+'A) Resumen Ingresos y Egresos'!$D$10*'J)Estructura Económica Mensual'!G27</f>
        <v>535788</v>
      </c>
      <c r="H20" s="573">
        <f>+'A) Resumen Ingresos y Egresos'!$D$10*'J)Estructura Económica Mensual'!H27</f>
        <v>1071576</v>
      </c>
      <c r="I20" s="573">
        <f>+'A) Resumen Ingresos y Egresos'!$D$10*'J)Estructura Económica Mensual'!I27</f>
        <v>2143152</v>
      </c>
      <c r="J20" s="573">
        <f>+'A) Resumen Ingresos y Egresos'!$D$10*'J)Estructura Económica Mensual'!J27</f>
        <v>2678940</v>
      </c>
      <c r="K20" s="573">
        <f>+'A) Resumen Ingresos y Egresos'!$D$10*'J)Estructura Económica Mensual'!K27</f>
        <v>2678940</v>
      </c>
      <c r="L20" s="573">
        <f>+'A) Resumen Ingresos y Egresos'!$D$10*'J)Estructura Económica Mensual'!L27</f>
        <v>4286304</v>
      </c>
      <c r="M20" s="573">
        <f>+'A) Resumen Ingresos y Egresos'!$D$10*'J)Estructura Económica Mensual'!M27</f>
        <v>8572608</v>
      </c>
      <c r="N20" s="573">
        <f>+'A) Resumen Ingresos y Egresos'!$D$10*'J)Estructura Económica Mensual'!N27</f>
        <v>11251548</v>
      </c>
      <c r="O20" s="433">
        <f>SUM(C20:N20)</f>
        <v>53578800</v>
      </c>
      <c r="P20" s="413">
        <f>IF(Q20=12,C20+D20+E20+F20+G20+H20+I20+J20+K20+L20+M20+N20,IF(Q20=11,C20+D20+E20+F20+G20+H20+I20+J20+K20+L20+M20,IF(Q20=10,C20+D20+E20+F20+G20+H20+I20+J20+K20+L20,IF(Q20=9,C20+D20+E20+F20+G20+H20+I20+J20+K20,IF(Q20=8,C20+D20+E20+F20+G20+H20+I20+J20,IF(Q20=7,C20+D20+E20+F20+G20+H20+I20,IF(Q20=6,C20+D20+E20+F20+G20+H20,IF(Q20=5,C20+D20+E20+F20+G20,0))))))))</f>
        <v>53578800</v>
      </c>
      <c r="Q20" s="415">
        <f>COUNTA(#REF!,#REF!,#REF!,#REF!,#REF!,#REF!,#REF!,#REF!,#REF!,#REF!,#REF!,#REF!)</f>
        <v>12</v>
      </c>
    </row>
    <row r="21" spans="2:19" x14ac:dyDescent="0.35">
      <c r="B21" s="576" t="s">
        <v>220</v>
      </c>
      <c r="C21" s="573">
        <f>SUM('F) Remuneraciones'!$I$39:$I$52)/12</f>
        <v>0</v>
      </c>
      <c r="D21" s="573">
        <f>SUM('F) Remuneraciones'!$I$39:$I$52)/12</f>
        <v>0</v>
      </c>
      <c r="E21" s="573">
        <f>SUM('F) Remuneraciones'!$I$39:$I$52)/12</f>
        <v>0</v>
      </c>
      <c r="F21" s="573">
        <f>SUM('F) Remuneraciones'!$I$39:$I$52)/12</f>
        <v>0</v>
      </c>
      <c r="G21" s="573">
        <f>SUM('F) Remuneraciones'!$I$39:$I$52)/12</f>
        <v>0</v>
      </c>
      <c r="H21" s="573">
        <f>SUM('F) Remuneraciones'!$I$39:$I$52)/12</f>
        <v>0</v>
      </c>
      <c r="I21" s="573">
        <f>SUM('F) Remuneraciones'!$I$39:$I$52)/12</f>
        <v>0</v>
      </c>
      <c r="J21" s="573">
        <f>SUM('F) Remuneraciones'!$I$39:$I$52)/12</f>
        <v>0</v>
      </c>
      <c r="K21" s="573">
        <f>SUM('F) Remuneraciones'!$I$39:$I$52)/12</f>
        <v>0</v>
      </c>
      <c r="L21" s="573">
        <f>SUM('F) Remuneraciones'!$I$39:$I$52)/12</f>
        <v>0</v>
      </c>
      <c r="M21" s="573">
        <f>SUM('F) Remuneraciones'!$I$39:$I$52)/12</f>
        <v>0</v>
      </c>
      <c r="N21" s="573">
        <f>SUM('F) Remuneraciones'!$I$39:$I$52)/12</f>
        <v>0</v>
      </c>
      <c r="O21" s="433">
        <f t="shared" ref="O21:O23" si="2">SUM(C21:N21)</f>
        <v>0</v>
      </c>
      <c r="P21" s="426">
        <f>IF(Q21=12,C21+D21+E21+F21+G21+H21+I21+J21+K21+L21+M21+N21,IF(Q21=11,C21+D21+E21+F21+G21+H21+I21+J21+K21+L21+M21,IF(Q21=10,C21+D21+E21+F21+G21+H21+I21+J21+K21+L21,IF(Q21=9,C21+D21+E21+F21+G21+H21+I21+J21+K21,IF(Q21=8,C21+D21+E21+F21+G21+H21+I21+J21,IF(Q21=7,C21+D21+E21+F21+G21+H21+I21,IF(Q21=6,C21+D21+E21+F21+G21+H21,IF(Q21=5,C21+D21+E21+F21+G21,0))))))))</f>
        <v>0</v>
      </c>
      <c r="Q21" s="1550">
        <f>COUNTA(#REF!,#REF!,#REF!,#REF!,#REF!,#REF!,#REF!,#REF!,#REF!,#REF!,#REF!,#REF!)</f>
        <v>12</v>
      </c>
    </row>
    <row r="22" spans="2:19" x14ac:dyDescent="0.35">
      <c r="B22" s="576" t="s">
        <v>221</v>
      </c>
      <c r="C22" s="573">
        <v>0</v>
      </c>
      <c r="D22" s="573">
        <v>0</v>
      </c>
      <c r="E22" s="573">
        <v>0</v>
      </c>
      <c r="F22" s="573">
        <v>0</v>
      </c>
      <c r="G22" s="573">
        <v>0</v>
      </c>
      <c r="H22" s="573">
        <v>0</v>
      </c>
      <c r="I22" s="573">
        <v>0</v>
      </c>
      <c r="J22" s="573">
        <v>0</v>
      </c>
      <c r="K22" s="573">
        <v>0</v>
      </c>
      <c r="L22" s="573">
        <v>0</v>
      </c>
      <c r="M22" s="573">
        <v>0</v>
      </c>
      <c r="N22" s="573">
        <v>0</v>
      </c>
      <c r="O22" s="433">
        <f t="shared" si="2"/>
        <v>0</v>
      </c>
      <c r="P22" s="426">
        <f>IF(Q21=12,C22+D22+E22+F22+G22+H22+I22+J22+K22+L22+M22+N22,IF(Q21=11,C22+D22+E22+F22+G22+H22+I22+J22+K22+L22+M22,IF(Q21=10,C22+D22+E22+F22+G22+H22+I22+J22+K22+L22,IF(Q21=9,C22+D22+E22+F22+G22+H22+I22+J22+K22,IF(Q21=8,C22+D22+E22+F22+G22+H22+I22+J22,IF(Q21=7,C22+D22+E22+F22+G22+H22+I22,IF(Q21=6,C22+D22+E22+F22+G22+H22,IF(Q21=5,C22+D22+E22+F22+G22,0))))))))</f>
        <v>0</v>
      </c>
      <c r="Q22" s="1550"/>
    </row>
    <row r="23" spans="2:19" x14ac:dyDescent="0.35">
      <c r="B23" s="576" t="s">
        <v>222</v>
      </c>
      <c r="C23" s="573">
        <f>SUM('F) Remuneraciones'!$J$39:$K$52)/2</f>
        <v>0</v>
      </c>
      <c r="D23" s="573">
        <v>0</v>
      </c>
      <c r="E23" s="573">
        <v>0</v>
      </c>
      <c r="F23" s="573">
        <v>0</v>
      </c>
      <c r="G23" s="573">
        <v>0</v>
      </c>
      <c r="H23" s="573">
        <v>0</v>
      </c>
      <c r="I23" s="573">
        <v>0</v>
      </c>
      <c r="J23" s="573">
        <v>0</v>
      </c>
      <c r="K23" s="573">
        <f>SUM('F) Remuneraciones'!$J$39:$K$52)/2</f>
        <v>0</v>
      </c>
      <c r="L23" s="573"/>
      <c r="M23" s="573"/>
      <c r="N23" s="573">
        <f>+C23+K23</f>
        <v>0</v>
      </c>
      <c r="O23" s="433">
        <f t="shared" si="2"/>
        <v>0</v>
      </c>
      <c r="P23" s="413">
        <f>IF(Q23=12,C23+D23+E23+F23+G23+H23+I23+J23+K23+L23+M23+N23,IF(Q23=11,C23+D23+E23+F23+G23+H23+I23+J23+K23+L23+M23,IF(Q23=10,C23+D23+E23+F23+G23+H23+I23+J23+K23+L23,IF(Q23=9,C23+D23+E23+F23+G23+H23+I23+J23+K23,IF(Q23=8,C23+D23+E23+F23+G23+H23+I23+J23,IF(Q23=7,C23+D23+E23+F23+G23+H23+I23,IF(Q23=6,C23+D23+E23+F23+G23+H23,IF(Q23=5,C23+D23+E23+F23+G23,0))))))))</f>
        <v>0</v>
      </c>
      <c r="Q23" s="415">
        <f>COUNTA(#REF!,#REF!,#REF!,#REF!,#REF!,#REF!,#REF!,#REF!,#REF!,#REF!,#REF!,#REF!)</f>
        <v>12</v>
      </c>
    </row>
    <row r="24" spans="2:19" x14ac:dyDescent="0.35">
      <c r="B24" s="576" t="s">
        <v>223</v>
      </c>
      <c r="C24" s="573">
        <f>(+'C) Estimación Costos Directos'!$D$83-'C) Estimación Costos Directos'!$D$85)*C27</f>
        <v>2784750</v>
      </c>
      <c r="D24" s="573">
        <f>(+'C) Estimación Costos Directos'!$D$83-'C) Estimación Costos Directos'!$D$85)*D27</f>
        <v>2227800</v>
      </c>
      <c r="E24" s="573">
        <f>(+'C) Estimación Costos Directos'!$D$83-'C) Estimación Costos Directos'!$D$85)*E27</f>
        <v>1113900</v>
      </c>
      <c r="F24" s="573">
        <f>(+'C) Estimación Costos Directos'!$D$83-'C) Estimación Costos Directos'!$D$85)*F27</f>
        <v>928250</v>
      </c>
      <c r="G24" s="573">
        <f>(+'C) Estimación Costos Directos'!$D$83-'C) Estimación Costos Directos'!$D$85)*G27</f>
        <v>185650</v>
      </c>
      <c r="H24" s="573">
        <f>(+'C) Estimación Costos Directos'!$D$83-'C) Estimación Costos Directos'!$D$85)*H27</f>
        <v>371300</v>
      </c>
      <c r="I24" s="573">
        <f>(+'C) Estimación Costos Directos'!$D$83-'C) Estimación Costos Directos'!$D$85)*I27</f>
        <v>742600</v>
      </c>
      <c r="J24" s="573">
        <f>(+'C) Estimación Costos Directos'!$D$83-'C) Estimación Costos Directos'!$D$85)*J27</f>
        <v>928250</v>
      </c>
      <c r="K24" s="573">
        <f>(+'C) Estimación Costos Directos'!$D$83-'C) Estimación Costos Directos'!$D$85)*K27</f>
        <v>928250</v>
      </c>
      <c r="L24" s="573">
        <f>(+'C) Estimación Costos Directos'!$D$83-'C) Estimación Costos Directos'!$D$85)*L27</f>
        <v>1485200</v>
      </c>
      <c r="M24" s="573">
        <f>(+'C) Estimación Costos Directos'!$D$83-'C) Estimación Costos Directos'!$D$85)*M27</f>
        <v>2970400</v>
      </c>
      <c r="N24" s="573">
        <f>(+'C) Estimación Costos Directos'!$D$83-'C) Estimación Costos Directos'!$D$85)*N27</f>
        <v>3898650</v>
      </c>
      <c r="O24" s="433">
        <f>SUM(C24:N24)</f>
        <v>18565000</v>
      </c>
      <c r="P24" s="413">
        <f>IF(Q24=12,C24+D24+E24+F24+G24+H24+I24+J24+K24+L24+M24+N24,IF(Q24=11,C24+D24+E24+F24+G24+H24+I24+J24+K24+L24+M24,IF(Q24=10,C24+D24+E24+F24+G24+H24+I24+J24+K24+L24,IF(Q24=9,C24+D24+E24+F24+G24+H24+I24+J24+K24,IF(Q24=8,C24+D24+E24+F24+G24+H24+I24+J24,IF(Q24=7,C24+D24+E24+F24+G24+H24+I24,IF(Q24=6,C24+D24+E24+F24+G24+H24,IF(Q24=5,C24+D24+E24+F24+G24,0))))))))</f>
        <v>18565000</v>
      </c>
      <c r="Q24" s="415">
        <f>COUNTA(#REF!,#REF!,#REF!,#REF!,#REF!,#REF!,#REF!,#REF!,#REF!,#REF!,#REF!,#REF!)</f>
        <v>12</v>
      </c>
      <c r="R24" s="609"/>
    </row>
    <row r="25" spans="2:19" ht="15" thickBot="1" x14ac:dyDescent="0.4">
      <c r="B25" s="577" t="s">
        <v>275</v>
      </c>
      <c r="C25" s="574">
        <f>+'C) Estimación Costos Directos'!$H$111*C29</f>
        <v>66420</v>
      </c>
      <c r="D25" s="574">
        <f>+'C) Estimación Costos Directos'!$H$111*D29</f>
        <v>66420</v>
      </c>
      <c r="E25" s="574">
        <f>+'C) Estimación Costos Directos'!$H$111*E29</f>
        <v>332100</v>
      </c>
      <c r="F25" s="574">
        <f>+'C) Estimación Costos Directos'!$H$111*F29</f>
        <v>332100</v>
      </c>
      <c r="G25" s="574">
        <f>+'C) Estimación Costos Directos'!$H$111*G29</f>
        <v>132840</v>
      </c>
      <c r="H25" s="574">
        <f>+'C) Estimación Costos Directos'!$H$111*H29</f>
        <v>265680</v>
      </c>
      <c r="I25" s="574">
        <f>+'C) Estimación Costos Directos'!$H$111*I29</f>
        <v>1261980</v>
      </c>
      <c r="J25" s="574">
        <f>+'C) Estimación Costos Directos'!$H$111*J29</f>
        <v>398520</v>
      </c>
      <c r="K25" s="574">
        <f>+'C) Estimación Costos Directos'!$H$111*K29</f>
        <v>1461240</v>
      </c>
      <c r="L25" s="574">
        <f>+'C) Estimación Costos Directos'!$H$111*L29</f>
        <v>1062720</v>
      </c>
      <c r="M25" s="574">
        <f>+'C) Estimación Costos Directos'!$H$111*M29</f>
        <v>199260</v>
      </c>
      <c r="N25" s="574">
        <f>+'C) Estimación Costos Directos'!$H$111*N29</f>
        <v>1062720</v>
      </c>
      <c r="O25" s="436">
        <f>SUM(C25:N25)</f>
        <v>6642000</v>
      </c>
      <c r="P25" s="413">
        <f>IF(Q25=12,C25+D25+E25+F25+G25+H25+I25+J25+K25+L25+M25+N25,IF(Q25=11,C25+D25+E25+F25+G25+H25+I25+J25+K25+L25+M25,IF(Q25=10,C25+D25+E25+F25+G25+H25+I25+J25+K25+L25,IF(Q25=9,C25+D25+E25+F25+G25+H25+I25+J25+K25,IF(Q25=8,C25+D25+E25+F25+G25+H25+I25+J25,IF(Q25=7,C25+D25+E25+F25+G25+H25+I25,IF(Q25=6,C25+D25+E25+F25+G25+H25,IF(Q25=5,C25+D25+E25+F25+G25,0))))))))</f>
        <v>6642000</v>
      </c>
      <c r="Q25" s="415">
        <f>COUNTA(#REF!,#REF!,#REF!,#REF!,#REF!,#REF!,#REF!,#REF!,#REF!,#REF!,#REF!,#REF!)</f>
        <v>12</v>
      </c>
    </row>
    <row r="26" spans="2:19" ht="15" thickBot="1" x14ac:dyDescent="0.4">
      <c r="B26" s="578" t="s">
        <v>224</v>
      </c>
      <c r="C26" s="428">
        <f>C20-(C21+C22+C23+C24+C25)</f>
        <v>5185650</v>
      </c>
      <c r="D26" s="428">
        <f t="shared" ref="D26:Q26" si="3">D20-(D21+D22+D23+D24+D25)</f>
        <v>4135236</v>
      </c>
      <c r="E26" s="428">
        <f t="shared" si="3"/>
        <v>1768728</v>
      </c>
      <c r="F26" s="428">
        <f t="shared" si="3"/>
        <v>1418590</v>
      </c>
      <c r="G26" s="428">
        <f t="shared" si="3"/>
        <v>217298</v>
      </c>
      <c r="H26" s="428">
        <f t="shared" si="3"/>
        <v>434596</v>
      </c>
      <c r="I26" s="428">
        <f t="shared" si="3"/>
        <v>138572</v>
      </c>
      <c r="J26" s="428">
        <f t="shared" si="3"/>
        <v>1352170</v>
      </c>
      <c r="K26" s="428">
        <f t="shared" si="3"/>
        <v>289450</v>
      </c>
      <c r="L26" s="428">
        <f t="shared" si="3"/>
        <v>1738384</v>
      </c>
      <c r="M26" s="428">
        <f t="shared" si="3"/>
        <v>5402948</v>
      </c>
      <c r="N26" s="428">
        <f t="shared" si="3"/>
        <v>6290178</v>
      </c>
      <c r="O26" s="438">
        <f t="shared" si="3"/>
        <v>28371800</v>
      </c>
      <c r="P26" s="437">
        <f t="shared" si="3"/>
        <v>28371800</v>
      </c>
      <c r="Q26" s="428">
        <f t="shared" si="3"/>
        <v>-36</v>
      </c>
      <c r="R26" s="813"/>
      <c r="S26" s="813"/>
    </row>
    <row r="27" spans="2:19" x14ac:dyDescent="0.35">
      <c r="B27" s="410" t="s">
        <v>225</v>
      </c>
      <c r="C27" s="222">
        <v>0.15</v>
      </c>
      <c r="D27" s="222">
        <v>0.12</v>
      </c>
      <c r="E27" s="222">
        <v>0.06</v>
      </c>
      <c r="F27" s="222">
        <v>0.05</v>
      </c>
      <c r="G27" s="222">
        <v>0.01</v>
      </c>
      <c r="H27" s="222">
        <v>0.02</v>
      </c>
      <c r="I27" s="222">
        <v>0.04</v>
      </c>
      <c r="J27" s="222">
        <v>0.05</v>
      </c>
      <c r="K27" s="222">
        <v>0.05</v>
      </c>
      <c r="L27" s="222">
        <v>0.08</v>
      </c>
      <c r="M27" s="222">
        <v>0.16</v>
      </c>
      <c r="N27" s="222">
        <v>0.21</v>
      </c>
      <c r="O27" s="608">
        <f>SUM(C27:N27)</f>
        <v>1</v>
      </c>
      <c r="R27" s="609"/>
    </row>
    <row r="28" spans="2:19" x14ac:dyDescent="0.35">
      <c r="B28" s="411" t="s">
        <v>226</v>
      </c>
      <c r="C28" s="225">
        <v>0.03</v>
      </c>
      <c r="D28" s="225">
        <v>0.02</v>
      </c>
      <c r="E28" s="225">
        <v>0.05</v>
      </c>
      <c r="F28" s="225">
        <v>0.05</v>
      </c>
      <c r="G28" s="225">
        <v>0.05</v>
      </c>
      <c r="H28" s="225">
        <v>0.04</v>
      </c>
      <c r="I28" s="225">
        <v>0.19</v>
      </c>
      <c r="J28" s="225">
        <v>0.06</v>
      </c>
      <c r="K28" s="225">
        <v>0.22</v>
      </c>
      <c r="L28" s="225">
        <v>0.1</v>
      </c>
      <c r="M28" s="225">
        <v>0.03</v>
      </c>
      <c r="N28" s="225">
        <v>0.16</v>
      </c>
      <c r="O28" s="608">
        <f t="shared" ref="O28:O29" si="4">SUM(C28:N28)</f>
        <v>1</v>
      </c>
    </row>
    <row r="29" spans="2:19" ht="15" thickBot="1" x14ac:dyDescent="0.4">
      <c r="B29" s="411" t="s">
        <v>275</v>
      </c>
      <c r="C29" s="225">
        <v>0.01</v>
      </c>
      <c r="D29" s="225">
        <v>0.01</v>
      </c>
      <c r="E29" s="225">
        <v>0.05</v>
      </c>
      <c r="F29" s="225">
        <v>0.05</v>
      </c>
      <c r="G29" s="225">
        <v>0.02</v>
      </c>
      <c r="H29" s="225">
        <v>0.04</v>
      </c>
      <c r="I29" s="225">
        <v>0.19</v>
      </c>
      <c r="J29" s="225">
        <v>0.06</v>
      </c>
      <c r="K29" s="225">
        <v>0.22</v>
      </c>
      <c r="L29" s="225">
        <v>0.16</v>
      </c>
      <c r="M29" s="225">
        <v>0.03</v>
      </c>
      <c r="N29" s="225">
        <v>0.16</v>
      </c>
      <c r="O29" s="608">
        <f t="shared" si="4"/>
        <v>1</v>
      </c>
    </row>
    <row r="30" spans="2:19" x14ac:dyDescent="0.35">
      <c r="B30" s="575" t="s">
        <v>228</v>
      </c>
      <c r="C30" s="579" t="s">
        <v>185</v>
      </c>
      <c r="D30" s="429" t="s">
        <v>186</v>
      </c>
      <c r="E30" s="429" t="s">
        <v>187</v>
      </c>
      <c r="F30" s="429" t="s">
        <v>188</v>
      </c>
      <c r="G30" s="429" t="s">
        <v>189</v>
      </c>
      <c r="H30" s="429" t="s">
        <v>190</v>
      </c>
      <c r="I30" s="429" t="s">
        <v>191</v>
      </c>
      <c r="J30" s="430" t="s">
        <v>192</v>
      </c>
      <c r="K30" s="429" t="s">
        <v>193</v>
      </c>
      <c r="L30" s="429" t="s">
        <v>194</v>
      </c>
      <c r="M30" s="429" t="s">
        <v>195</v>
      </c>
      <c r="N30" s="429" t="s">
        <v>196</v>
      </c>
      <c r="O30" s="431" t="s">
        <v>298</v>
      </c>
      <c r="P30" s="413"/>
      <c r="Q30" s="414" t="s">
        <v>293</v>
      </c>
      <c r="R30" s="143"/>
    </row>
    <row r="31" spans="2:19" x14ac:dyDescent="0.35">
      <c r="B31" s="576" t="s">
        <v>219</v>
      </c>
      <c r="C31" s="580">
        <f>+'A) Resumen Ingresos y Egresos'!$D$11*'J)Estructura Económica Mensual'!C38</f>
        <v>12949052.955404717</v>
      </c>
      <c r="D31" s="573">
        <f>+'A) Resumen Ingresos y Egresos'!$D$11*'J)Estructura Económica Mensual'!D38</f>
        <v>10635476.945575554</v>
      </c>
      <c r="E31" s="573">
        <f>+'A) Resumen Ingresos y Egresos'!$D$11*'J)Estructura Económica Mensual'!E38</f>
        <v>11182551.758821482</v>
      </c>
      <c r="F31" s="573">
        <f>+'A) Resumen Ingresos y Egresos'!$D$11*'J)Estructura Económica Mensual'!F38</f>
        <v>9384116.3787743729</v>
      </c>
      <c r="G31" s="573">
        <f>+'A) Resumen Ingresos y Egresos'!$D$11*'J)Estructura Económica Mensual'!G38</f>
        <v>7669988.3152658185</v>
      </c>
      <c r="H31" s="573">
        <f>+'A) Resumen Ingresos y Egresos'!$D$11*'J)Estructura Económica Mensual'!H38</f>
        <v>7784638.2141887667</v>
      </c>
      <c r="I31" s="573">
        <f>+'A) Resumen Ingresos y Egresos'!$D$11*'J)Estructura Económica Mensual'!I38</f>
        <v>11062337.072266642</v>
      </c>
      <c r="J31" s="573">
        <f>+'A) Resumen Ingresos y Egresos'!$D$11*'J)Estructura Económica Mensual'!J38</f>
        <v>8407201.043171199</v>
      </c>
      <c r="K31" s="573">
        <f>+'A) Resumen Ingresos y Egresos'!$D$11*'J)Estructura Económica Mensual'!K38</f>
        <v>10193186.329867922</v>
      </c>
      <c r="L31" s="573">
        <f>+'A) Resumen Ingresos y Egresos'!$D$11*'J)Estructura Económica Mensual'!L38</f>
        <v>7892365.3817561409</v>
      </c>
      <c r="M31" s="573">
        <f>+'A) Resumen Ingresos y Egresos'!$D$11*'J)Estructura Económica Mensual'!M38</f>
        <v>10356935.630125003</v>
      </c>
      <c r="N31" s="573">
        <f>+'A) Resumen Ingresos y Egresos'!$D$11*'J)Estructura Económica Mensual'!N38</f>
        <v>11336049.974782385</v>
      </c>
      <c r="O31" s="938">
        <f>SUM(C31:N31)</f>
        <v>118853900</v>
      </c>
      <c r="P31" s="413">
        <f>IF(Q31=12,C31+D31+E31+F31+G31+H31+I31+J31+K31+L31+M31+N31,IF(Q31=11,C31+D31+E31+F31+G31+H31+I31+J31+K31+L31+M31,IF(Q31=10,C31+D31+E31+F31+G31+H31+I31+J31+K31+L31,IF(Q31=9,C31+D31+E31+F31+G31+H31+I31+J31+K31,IF(Q31=8,C31+D31+E31+F31+G31+H31+I31+J31,IF(Q31=7,C31+D31+E31+F31+G31+H31+I31,IF(Q31=6,C31+D31+E31+F31+G31+H31,IF(Q31=5,C31+D31+E31+F31+G31,0))))))))</f>
        <v>118853900</v>
      </c>
      <c r="Q31" s="415">
        <f>COUNTA(#REF!,#REF!,#REF!,#REF!,#REF!,#REF!,#REF!,#REF!,#REF!,#REF!,#REF!,#REF!)</f>
        <v>12</v>
      </c>
      <c r="R31" s="143"/>
    </row>
    <row r="32" spans="2:19" x14ac:dyDescent="0.35">
      <c r="B32" s="576" t="s">
        <v>220</v>
      </c>
      <c r="C32" s="580">
        <f>(SUM('F) Remuneraciones'!$I$53:$I$62)*(1+'F) Remuneraciones'!$M$8))/12</f>
        <v>6632440.833333333</v>
      </c>
      <c r="D32" s="580">
        <f>(SUM('F) Remuneraciones'!$I$53:$I$62)*(1+'F) Remuneraciones'!$M$8))/12</f>
        <v>6632440.833333333</v>
      </c>
      <c r="E32" s="580">
        <f>(SUM('F) Remuneraciones'!$I$53:$I$62)*(1+'F) Remuneraciones'!$M$8))/12</f>
        <v>6632440.833333333</v>
      </c>
      <c r="F32" s="580">
        <f>(SUM('F) Remuneraciones'!$I$53:$I$62)*(1+'F) Remuneraciones'!$M$8))/12</f>
        <v>6632440.833333333</v>
      </c>
      <c r="G32" s="580">
        <f>(SUM('F) Remuneraciones'!$I$53:$I$62)*(1+'F) Remuneraciones'!$M$8))/12</f>
        <v>6632440.833333333</v>
      </c>
      <c r="H32" s="580">
        <f>(SUM('F) Remuneraciones'!$I$53:$I$62)*(1+'F) Remuneraciones'!$M$8))/12</f>
        <v>6632440.833333333</v>
      </c>
      <c r="I32" s="580">
        <f>(SUM('F) Remuneraciones'!$I$53:$I$62)*(1+'F) Remuneraciones'!$M$8))/12</f>
        <v>6632440.833333333</v>
      </c>
      <c r="J32" s="580">
        <f>(SUM('F) Remuneraciones'!$I$53:$I$62)*(1+'F) Remuneraciones'!$M$8))/12</f>
        <v>6632440.833333333</v>
      </c>
      <c r="K32" s="580">
        <f>(SUM('F) Remuneraciones'!$I$53:$I$62)*(1+'F) Remuneraciones'!$M$8))/12</f>
        <v>6632440.833333333</v>
      </c>
      <c r="L32" s="580">
        <f>(SUM('F) Remuneraciones'!$I$53:$I$62)*(1+'F) Remuneraciones'!$M$8))/12</f>
        <v>6632440.833333333</v>
      </c>
      <c r="M32" s="580">
        <f>(SUM('F) Remuneraciones'!$I$53:$I$62)*(1+'F) Remuneraciones'!$M$8))/12</f>
        <v>6632440.833333333</v>
      </c>
      <c r="N32" s="580">
        <f>(SUM('F) Remuneraciones'!$I$53:$I$62)*(1+'F) Remuneraciones'!$M$8))/12</f>
        <v>6632440.833333333</v>
      </c>
      <c r="O32" s="938">
        <f t="shared" ref="O32:O37" si="5">SUM(C32:N32)</f>
        <v>79589290</v>
      </c>
      <c r="P32" s="426">
        <f>IF(Q32=12,C32+D32+E32+F32+G32+H32+I32+J32+K32+L32+M32+N32,IF(Q32=11,C32+D32+E32+F32+G32+H32+I32+J32+K32+L32+M32,IF(Q32=10,C32+D32+E32+F32+G32+H32+I32+J32+K32+L32,IF(Q32=9,C32+D32+E32+F32+G32+H32+I32+J32+K32,IF(Q32=8,C32+D32+E32+F32+G32+H32+I32+J32,IF(Q32=7,C32+D32+E32+F32+G32+H32+I32,IF(Q32=6,C32+D32+E32+F32+G32+H32,IF(Q32=5,C32+D32+E32+F32+G32,0))))))))</f>
        <v>79589290</v>
      </c>
      <c r="Q32" s="1550">
        <f>COUNTA(#REF!,#REF!,#REF!,#REF!,#REF!,#REF!,#REF!,#REF!,#REF!,#REF!,#REF!,#REF!)</f>
        <v>12</v>
      </c>
      <c r="R32" s="223"/>
    </row>
    <row r="33" spans="2:18" x14ac:dyDescent="0.35">
      <c r="B33" s="576" t="s">
        <v>221</v>
      </c>
      <c r="C33" s="580">
        <f>SUM('F) Remuneraciones'!$I$67:$I$80)/4</f>
        <v>0</v>
      </c>
      <c r="D33" s="573">
        <f t="shared" ref="D33:E33" si="6">C33</f>
        <v>0</v>
      </c>
      <c r="E33" s="573">
        <f t="shared" si="6"/>
        <v>0</v>
      </c>
      <c r="F33" s="573">
        <v>0</v>
      </c>
      <c r="G33" s="573">
        <v>0</v>
      </c>
      <c r="H33" s="573">
        <v>0</v>
      </c>
      <c r="I33" s="573">
        <v>0</v>
      </c>
      <c r="J33" s="573">
        <v>0</v>
      </c>
      <c r="K33" s="573">
        <v>0</v>
      </c>
      <c r="L33" s="573">
        <v>0</v>
      </c>
      <c r="M33" s="573">
        <v>0</v>
      </c>
      <c r="N33" s="573">
        <f>SUM('F) Remuneraciones'!$I$67:$I$80)/4</f>
        <v>0</v>
      </c>
      <c r="O33" s="938">
        <f t="shared" si="5"/>
        <v>0</v>
      </c>
      <c r="P33" s="426">
        <f>IF(Q32=12,C33+D33+E33+F33+G33+H33+I33+J33+K33+L33+M33+N33,IF(Q32=11,C33+D33+E33+F33+G33+H33+I33+J33+K33+L33+M33,IF(Q32=10,C33+D33+E33+F33+G33+H33+I33+J33+K33+L33,IF(Q32=9,C33+D33+E33+F33+G33+H33+I33+J33+K33,IF(Q32=8,C33+D33+E33+F33+G33+H33+I33+J33,IF(Q32=7,C33+D33+E33+F33+G33+H33+I33,IF(Q32=6,C33+D33+E33+F33+G33+H33,IF(Q32=5,C33+D33+E33+F33+G33,0))))))))</f>
        <v>0</v>
      </c>
      <c r="Q33" s="1550"/>
      <c r="R33" s="143"/>
    </row>
    <row r="34" spans="2:18" x14ac:dyDescent="0.35">
      <c r="B34" s="576" t="s">
        <v>222</v>
      </c>
      <c r="C34" s="580">
        <f>SUM('F) Remuneraciones'!J53:J62)/2</f>
        <v>1410637.4</v>
      </c>
      <c r="D34" s="573">
        <v>0</v>
      </c>
      <c r="E34" s="573">
        <v>0</v>
      </c>
      <c r="F34" s="573">
        <v>0</v>
      </c>
      <c r="G34" s="573">
        <v>0</v>
      </c>
      <c r="H34" s="573">
        <v>0</v>
      </c>
      <c r="I34" s="573">
        <v>0</v>
      </c>
      <c r="J34" s="573">
        <v>0</v>
      </c>
      <c r="K34" s="573">
        <f>SUM('F) Remuneraciones'!K53:K62)/2</f>
        <v>629522.80000000005</v>
      </c>
      <c r="L34" s="573"/>
      <c r="M34" s="573"/>
      <c r="N34" s="573">
        <f>+C34+K34</f>
        <v>2040160.2</v>
      </c>
      <c r="O34" s="938">
        <f t="shared" si="5"/>
        <v>4080320.4</v>
      </c>
      <c r="P34" s="413">
        <f>IF(Q34=12,C34+D34+E34+F34+G34+H34+I34+J34+K34+L34+M34+N34,IF(Q34=11,C34+D34+E34+F34+G34+H34+I34+J34+K34+L34+M34,IF(Q34=10,C34+D34+E34+F34+G34+H34+I34+J34+K34+L34,IF(Q34=9,C34+D34+E34+F34+G34+H34+I34+J34+K34,IF(Q34=8,C34+D34+E34+F34+G34+H34+I34+J34,IF(Q34=7,C34+D34+E34+F34+G34+H34+I34,IF(Q34=6,C34+D34+E34+F34+G34+H34,IF(Q34=5,C34+D34+E34+F34+G34,0))))))))</f>
        <v>4080320.4</v>
      </c>
      <c r="Q34" s="415">
        <f>COUNTA(#REF!,#REF!,#REF!,#REF!,#REF!,#REF!,#REF!,#REF!,#REF!,#REF!,#REF!,#REF!)</f>
        <v>12</v>
      </c>
      <c r="R34" s="143"/>
    </row>
    <row r="35" spans="2:18" x14ac:dyDescent="0.35">
      <c r="B35" s="576" t="s">
        <v>223</v>
      </c>
      <c r="C35" s="580">
        <f>('C) Estimación Costos Directos'!$H$155-'C) Estimación Costos Directos'!$H$156)*C39</f>
        <v>1741060.387615429</v>
      </c>
      <c r="D35" s="573">
        <f>('C) Estimación Costos Directos'!$H$155-'C) Estimación Costos Directos'!$H$156)*D39</f>
        <v>752808.40326093475</v>
      </c>
      <c r="E35" s="573">
        <f>('C) Estimación Costos Directos'!$H$155-'C) Estimación Costos Directos'!$H$156)*E39</f>
        <v>2633288.8218966275</v>
      </c>
      <c r="F35" s="573">
        <f>('C) Estimación Costos Directos'!$H$155-'C) Estimación Costos Directos'!$H$156)*F39</f>
        <v>1701983.8657635155</v>
      </c>
      <c r="G35" s="573">
        <f>('C) Estimación Costos Directos'!$H$155-'C) Estimación Costos Directos'!$H$156)*G39</f>
        <v>1305192.7508785264</v>
      </c>
      <c r="H35" s="573">
        <f>('C) Estimación Costos Directos'!$H$155-'C) Estimación Costos Directos'!$H$156)*H39</f>
        <v>1433783.1680487082</v>
      </c>
      <c r="I35" s="573">
        <f>('C) Estimación Costos Directos'!$H$155-'C) Estimación Costos Directos'!$H$156)*I39</f>
        <v>2594252.1428770414</v>
      </c>
      <c r="J35" s="573">
        <f>('C) Estimación Costos Directos'!$H$155-'C) Estimación Costos Directos'!$H$156)*J39</f>
        <v>1518543.1494231601</v>
      </c>
      <c r="K35" s="573">
        <f>('C) Estimación Costos Directos'!$H$155-'C) Estimación Costos Directos'!$H$156)*K39</f>
        <v>1863368.9182220534</v>
      </c>
      <c r="L35" s="573">
        <f>('C) Estimación Costos Directos'!$H$155-'C) Estimación Costos Directos'!$H$156)*L39</f>
        <v>2283211.7677970352</v>
      </c>
      <c r="M35" s="573">
        <f>('C) Estimación Costos Directos'!$H$155-'C) Estimación Costos Directos'!$H$156)*M39</f>
        <v>1698359.4961161693</v>
      </c>
      <c r="N35" s="573">
        <f>('C) Estimación Costos Directos'!$H$155-'C) Estimación Costos Directos'!$H$156)*N39</f>
        <v>3882147.1281007999</v>
      </c>
      <c r="O35" s="938">
        <f t="shared" si="5"/>
        <v>23408000</v>
      </c>
      <c r="P35" s="413">
        <f>IF(Q35=12,C35+D35+E35+F35+G35+H35+I35+J35+K35+L35+M35+N35,IF(Q35=11,C35+D35+E35+F35+G35+H35+I35+J35+K35+L35+M35,IF(Q35=10,C35+D35+E35+F35+G35+H35+I35+J35+K35+L35,IF(Q35=9,C35+D35+E35+F35+G35+H35+I35+J35+K35,IF(Q35=8,C35+D35+E35+F35+G35+H35+I35+J35,IF(Q35=7,C35+D35+E35+F35+G35+H35+I35,IF(Q35=6,C35+D35+E35+F35+G35+H35,IF(Q35=5,C35+D35+E35+F35+G35,0))))))))</f>
        <v>23408000</v>
      </c>
      <c r="Q35" s="415">
        <f>COUNTA(#REF!,#REF!,#REF!,#REF!,#REF!,#REF!,#REF!,#REF!,#REF!,#REF!,#REF!,#REF!)</f>
        <v>12</v>
      </c>
      <c r="R35" s="223"/>
    </row>
    <row r="36" spans="2:18" ht="15" thickBot="1" x14ac:dyDescent="0.4">
      <c r="B36" s="577" t="s">
        <v>275</v>
      </c>
      <c r="C36" s="581">
        <f>'C) Estimación Costos Directos'!$H$183*C40</f>
        <v>1282626.2753859477</v>
      </c>
      <c r="D36" s="574">
        <f>'C) Estimación Costos Directos'!$H$183*D40</f>
        <v>554588.36765350262</v>
      </c>
      <c r="E36" s="574">
        <f>'C) Estimación Costos Directos'!$H$183*E40</f>
        <v>1939924.345915772</v>
      </c>
      <c r="F36" s="574">
        <f>'C) Estimación Costos Directos'!$H$183*F40</f>
        <v>1253838.8915395993</v>
      </c>
      <c r="G36" s="574">
        <f>'C) Estimación Costos Directos'!$H$183*G40</f>
        <v>961525.81991305319</v>
      </c>
      <c r="H36" s="574">
        <f>'C) Estimación Costos Directos'!$H$183*H40</f>
        <v>1056257.4265813376</v>
      </c>
      <c r="I36" s="574">
        <f>'C) Estimación Costos Directos'!$H$183*I40</f>
        <v>1911166.313988514</v>
      </c>
      <c r="J36" s="574">
        <f>'C) Estimación Costos Directos'!$H$183*J40</f>
        <v>1118699.4762571636</v>
      </c>
      <c r="K36" s="574">
        <f>'C) Estimación Costos Directos'!$H$183*K40</f>
        <v>1372730.0628110133</v>
      </c>
      <c r="L36" s="574">
        <f>'C) Estimación Costos Directos'!$H$183*L40</f>
        <v>1682025.1764258363</v>
      </c>
      <c r="M36" s="574">
        <f>'C) Estimación Costos Directos'!$H$183*M40</f>
        <v>1251168.8452996959</v>
      </c>
      <c r="N36" s="574">
        <f>'C) Estimación Costos Directos'!$H$183*N40</f>
        <v>2859948.9982285649</v>
      </c>
      <c r="O36" s="939">
        <f t="shared" si="5"/>
        <v>17244500</v>
      </c>
      <c r="P36" s="413">
        <f>IF(Q36=12,C36+D36+E36+F36+G36+H36+I36+J36+K36+L36+M36+N36,IF(Q36=11,C36+D36+E36+F36+G36+H36+I36+J36+K36+L36+M36,IF(Q36=10,C36+D36+E36+F36+G36+H36+I36+J36+K36+L36,IF(Q36=9,C36+D36+E36+F36+G36+H36+I36+J36+K36,IF(Q36=8,C36+D36+E36+F36+G36+H36+I36+J36,IF(Q36=7,C36+D36+E36+F36+G36+H36+I36,IF(Q36=6,C36+D36+E36+F36+G36+H36,IF(Q36=5,C36+D36+E36+F36+G36,0))))))))</f>
        <v>17244500</v>
      </c>
      <c r="Q36" s="415">
        <f>COUNTA(#REF!,#REF!,#REF!,#REF!,#REF!,#REF!,#REF!,#REF!,#REF!,#REF!,#REF!,#REF!)</f>
        <v>12</v>
      </c>
      <c r="R36" s="813"/>
    </row>
    <row r="37" spans="2:18" ht="15" thickBot="1" x14ac:dyDescent="0.4">
      <c r="B37" s="583" t="s">
        <v>224</v>
      </c>
      <c r="C37" s="582">
        <f>C31-(C32+C33+C34+C35+C36)</f>
        <v>1882288.0590700079</v>
      </c>
      <c r="D37" s="428">
        <f t="shared" ref="D37:N37" si="7">D31-(D32+D33+D34+D35+D36)</f>
        <v>2695639.3413277827</v>
      </c>
      <c r="E37" s="428">
        <f t="shared" si="7"/>
        <v>-23102.242324249819</v>
      </c>
      <c r="F37" s="428">
        <f t="shared" si="7"/>
        <v>-204147.21186207421</v>
      </c>
      <c r="G37" s="428">
        <f t="shared" si="7"/>
        <v>-1229171.0888590952</v>
      </c>
      <c r="H37" s="428">
        <f t="shared" si="7"/>
        <v>-1337843.2137746131</v>
      </c>
      <c r="I37" s="428">
        <f t="shared" si="7"/>
        <v>-75522.217932246625</v>
      </c>
      <c r="J37" s="428">
        <f t="shared" si="7"/>
        <v>-862482.41584245861</v>
      </c>
      <c r="K37" s="428">
        <f t="shared" si="7"/>
        <v>-304876.28449847735</v>
      </c>
      <c r="L37" s="428">
        <f t="shared" si="7"/>
        <v>-2705312.3958000643</v>
      </c>
      <c r="M37" s="428">
        <f t="shared" si="7"/>
        <v>774966.45537580363</v>
      </c>
      <c r="N37" s="428">
        <f t="shared" si="7"/>
        <v>-4078647.1848803125</v>
      </c>
      <c r="O37" s="434">
        <f t="shared" si="5"/>
        <v>-5468210.3999999976</v>
      </c>
      <c r="P37" s="413"/>
      <c r="Q37" s="415"/>
      <c r="R37" s="143"/>
    </row>
    <row r="38" spans="2:18" x14ac:dyDescent="0.35">
      <c r="B38" s="410" t="s">
        <v>225</v>
      </c>
      <c r="C38" s="222">
        <v>0.10894933153564769</v>
      </c>
      <c r="D38" s="222">
        <v>8.9483617664843598E-2</v>
      </c>
      <c r="E38" s="222">
        <v>9.4086536149183844E-2</v>
      </c>
      <c r="F38" s="222">
        <v>7.8955056407693583E-2</v>
      </c>
      <c r="G38" s="222">
        <v>6.4532912384581559E-2</v>
      </c>
      <c r="H38" s="222">
        <v>6.5497541218157471E-2</v>
      </c>
      <c r="I38" s="222">
        <v>9.3075086911465599E-2</v>
      </c>
      <c r="J38" s="222">
        <v>7.0735592548256301E-2</v>
      </c>
      <c r="K38" s="222">
        <v>8.5762321050196266E-2</v>
      </c>
      <c r="L38" s="222">
        <v>6.6403924328576017E-2</v>
      </c>
      <c r="M38" s="222">
        <v>8.7140057079532124E-2</v>
      </c>
      <c r="N38" s="222">
        <v>9.5378022721865963E-2</v>
      </c>
      <c r="O38" s="223"/>
      <c r="R38" s="143"/>
    </row>
    <row r="39" spans="2:18" x14ac:dyDescent="0.35">
      <c r="B39" s="411" t="s">
        <v>226</v>
      </c>
      <c r="C39" s="225">
        <v>7.4378861398471843E-2</v>
      </c>
      <c r="D39" s="225">
        <v>3.2160304308823252E-2</v>
      </c>
      <c r="E39" s="225">
        <v>0.11249525042278825</v>
      </c>
      <c r="F39" s="225">
        <v>7.2709495290649157E-2</v>
      </c>
      <c r="G39" s="225">
        <v>5.5758405283600751E-2</v>
      </c>
      <c r="H39" s="225">
        <v>6.1251844157924992E-2</v>
      </c>
      <c r="I39" s="225">
        <v>0.11082758641819213</v>
      </c>
      <c r="J39" s="225">
        <v>6.4872827641112449E-2</v>
      </c>
      <c r="K39" s="225">
        <v>7.9603935330743905E-2</v>
      </c>
      <c r="L39" s="225">
        <v>9.7539805527897955E-2</v>
      </c>
      <c r="M39" s="225">
        <v>7.2554660633807638E-2</v>
      </c>
      <c r="N39" s="225">
        <v>0.16584702358598769</v>
      </c>
      <c r="O39" s="226"/>
      <c r="R39" s="143"/>
    </row>
    <row r="40" spans="2:18" ht="15" thickBot="1" x14ac:dyDescent="0.4">
      <c r="B40" s="411" t="s">
        <v>275</v>
      </c>
      <c r="C40" s="225">
        <v>7.4378861398471843E-2</v>
      </c>
      <c r="D40" s="225">
        <v>3.2160304308823252E-2</v>
      </c>
      <c r="E40" s="225">
        <v>0.11249525042278825</v>
      </c>
      <c r="F40" s="225">
        <v>7.2709495290649157E-2</v>
      </c>
      <c r="G40" s="225">
        <v>5.5758405283600751E-2</v>
      </c>
      <c r="H40" s="225">
        <v>6.1251844157924992E-2</v>
      </c>
      <c r="I40" s="225">
        <v>0.11082758641819213</v>
      </c>
      <c r="J40" s="225">
        <v>6.4872827641112449E-2</v>
      </c>
      <c r="K40" s="225">
        <v>7.9603935330743905E-2</v>
      </c>
      <c r="L40" s="225">
        <v>9.7539805527897955E-2</v>
      </c>
      <c r="M40" s="225">
        <v>7.2554660633807638E-2</v>
      </c>
      <c r="N40" s="225">
        <v>0.16584702358598769</v>
      </c>
      <c r="R40" s="143"/>
    </row>
    <row r="41" spans="2:18" x14ac:dyDescent="0.35">
      <c r="B41" s="575" t="s">
        <v>229</v>
      </c>
      <c r="C41" s="579" t="s">
        <v>185</v>
      </c>
      <c r="D41" s="429" t="s">
        <v>186</v>
      </c>
      <c r="E41" s="429" t="s">
        <v>187</v>
      </c>
      <c r="F41" s="429" t="s">
        <v>188</v>
      </c>
      <c r="G41" s="1190" t="s">
        <v>189</v>
      </c>
      <c r="H41" s="1190" t="s">
        <v>190</v>
      </c>
      <c r="I41" s="1190" t="s">
        <v>191</v>
      </c>
      <c r="J41" s="1190" t="s">
        <v>192</v>
      </c>
      <c r="K41" s="429" t="s">
        <v>193</v>
      </c>
      <c r="L41" s="429" t="s">
        <v>194</v>
      </c>
      <c r="M41" s="429" t="s">
        <v>195</v>
      </c>
      <c r="N41" s="429" t="s">
        <v>196</v>
      </c>
      <c r="O41" s="431" t="s">
        <v>298</v>
      </c>
      <c r="P41" s="413"/>
      <c r="Q41" s="414" t="s">
        <v>293</v>
      </c>
      <c r="R41" s="143"/>
    </row>
    <row r="42" spans="2:18" x14ac:dyDescent="0.35">
      <c r="B42" s="576" t="s">
        <v>219</v>
      </c>
      <c r="C42" s="580">
        <f>+'A) Resumen Ingresos y Egresos'!$D$12*'J)Estructura Económica Mensual'!C49</f>
        <v>2251025.4427290414</v>
      </c>
      <c r="D42" s="573">
        <f>+'A) Resumen Ingresos y Egresos'!$D$12*'J)Estructura Económica Mensual'!D49</f>
        <v>1097555.1281318443</v>
      </c>
      <c r="E42" s="573">
        <f>+'A) Resumen Ingresos y Egresos'!$D$12*'J)Estructura Económica Mensual'!E49</f>
        <v>780715.94142916368</v>
      </c>
      <c r="F42" s="573">
        <f>+'A) Resumen Ingresos y Egresos'!$D$12*'J)Estructura Económica Mensual'!F49</f>
        <v>460906.22284384177</v>
      </c>
      <c r="G42" s="573">
        <f>+'A) Resumen Ingresos y Egresos'!$D$12*'J)Estructura Económica Mensual'!G49</f>
        <v>126251.36517919357</v>
      </c>
      <c r="H42" s="573">
        <f>+'A) Resumen Ingresos y Egresos'!$D$12*'J)Estructura Económica Mensual'!H49</f>
        <v>0</v>
      </c>
      <c r="I42" s="573">
        <f>+'A) Resumen Ingresos y Egresos'!$D$12*'J)Estructura Económica Mensual'!I49</f>
        <v>0</v>
      </c>
      <c r="J42" s="573">
        <f>+'A) Resumen Ingresos y Egresos'!$D$12*'J)Estructura Económica Mensual'!J49</f>
        <v>373459.78048598714</v>
      </c>
      <c r="K42" s="573">
        <f>+'A) Resumen Ingresos y Egresos'!$D$12*'J)Estructura Económica Mensual'!K49</f>
        <v>721876.84915122646</v>
      </c>
      <c r="L42" s="573">
        <f>+'A) Resumen Ingresos y Egresos'!$D$12*'J)Estructura Económica Mensual'!L49</f>
        <v>497545.28950771061</v>
      </c>
      <c r="M42" s="573">
        <f>+'A) Resumen Ingresos y Egresos'!$D$12*'J)Estructura Económica Mensual'!M49</f>
        <v>721878.35321800248</v>
      </c>
      <c r="N42" s="573">
        <f>+'A) Resumen Ingresos y Egresos'!$D$12*'J)Estructura Económica Mensual'!N49</f>
        <v>1283585.6273239881</v>
      </c>
      <c r="O42" s="938">
        <f>SUM(C42:N42)</f>
        <v>8314799.9999999991</v>
      </c>
      <c r="P42" s="413">
        <f>IF(Q42=12,C42+D42+E42+F42+G42+H42+I42+J42+K42+L42+M42+N42,IF(Q42=11,C42+D42+E42+F42+G42+H42+I42+J42+K42+L42+M42,IF(Q42=10,C42+D42+E42+F42+G42+H42+I42+J42+K42+L42,IF(Q42=9,C42+D42+E42+F42+G42+H42+I42+J42+K42,IF(Q42=8,C42+D42+E42+F42+G42+H42+I42+J42,IF(Q42=7,C42+D42+E42+F42+G42+H42+I42,IF(Q42=6,C42+D42+E42+F42+G42+H42,IF(Q42=5,C42+D42+E42+F42+G42,0))))))))</f>
        <v>8314799.9999999991</v>
      </c>
      <c r="Q42" s="415">
        <f>COUNTA(#REF!,#REF!,#REF!,#REF!,#REF!,#REF!,#REF!,#REF!,#REF!,#REF!,#REF!,#REF!)</f>
        <v>12</v>
      </c>
      <c r="R42" s="143"/>
    </row>
    <row r="43" spans="2:18" x14ac:dyDescent="0.35">
      <c r="B43" s="576" t="s">
        <v>220</v>
      </c>
      <c r="C43" s="580">
        <f>SUM('F) Remuneraciones'!$I$81:$I$94)/12</f>
        <v>0</v>
      </c>
      <c r="D43" s="573">
        <f>SUM('F) Remuneraciones'!$I$81:$I$94)/12</f>
        <v>0</v>
      </c>
      <c r="E43" s="573">
        <f>SUM('F) Remuneraciones'!$I$81:$I$94)/12</f>
        <v>0</v>
      </c>
      <c r="F43" s="573">
        <f>SUM('F) Remuneraciones'!$I$81:$I$94)/12</f>
        <v>0</v>
      </c>
      <c r="G43" s="573">
        <f>SUM('F) Remuneraciones'!$I$81:$I$94)/12</f>
        <v>0</v>
      </c>
      <c r="H43" s="573">
        <f>SUM('F) Remuneraciones'!$I$81:$I$94)/12</f>
        <v>0</v>
      </c>
      <c r="I43" s="573">
        <f>SUM('F) Remuneraciones'!$I$81:$I$94)/12</f>
        <v>0</v>
      </c>
      <c r="J43" s="573">
        <f>SUM('F) Remuneraciones'!$I$81:$I$94)/12</f>
        <v>0</v>
      </c>
      <c r="K43" s="573">
        <f>SUM('F) Remuneraciones'!$I$81:$I$94)/12</f>
        <v>0</v>
      </c>
      <c r="L43" s="573">
        <f>SUM('F) Remuneraciones'!$I$81:$I$94)/12</f>
        <v>0</v>
      </c>
      <c r="M43" s="573">
        <f>SUM('F) Remuneraciones'!$I$81:$I$94)/12</f>
        <v>0</v>
      </c>
      <c r="N43" s="573">
        <f>SUM('F) Remuneraciones'!$I$81:$I$94)/12</f>
        <v>0</v>
      </c>
      <c r="O43" s="938">
        <f t="shared" ref="O43:O47" si="8">SUM(C43:N43)</f>
        <v>0</v>
      </c>
      <c r="P43" s="426">
        <f>IF(Q43=12,C43+D43+E43+F43+G43+H43+I43+J43+K43+L43+M43+N43,IF(Q43=11,C43+D43+E43+F43+G43+H43+I43+J43+K43+L43+M43,IF(Q43=10,C43+D43+E43+F43+G43+H43+I43+J43+K43+L43,IF(Q43=9,C43+D43+E43+F43+G43+H43+I43+J43+K43,IF(Q43=8,C43+D43+E43+F43+G43+H43+I43+J43,IF(Q43=7,C43+D43+E43+F43+G43+H43+I43,IF(Q43=6,C43+D43+E43+F43+G43+H43,IF(Q43=5,C43+D43+E43+F43+G43,0))))))))</f>
        <v>0</v>
      </c>
      <c r="Q43" s="1550">
        <f>COUNTA(#REF!,#REF!,#REF!,#REF!,#REF!,#REF!,#REF!,#REF!,#REF!,#REF!,#REF!,#REF!)</f>
        <v>12</v>
      </c>
      <c r="R43" s="143"/>
    </row>
    <row r="44" spans="2:18" x14ac:dyDescent="0.35">
      <c r="B44" s="576" t="s">
        <v>221</v>
      </c>
      <c r="C44" s="580">
        <v>0</v>
      </c>
      <c r="D44" s="573">
        <v>0</v>
      </c>
      <c r="E44" s="573">
        <v>0</v>
      </c>
      <c r="F44" s="573">
        <v>0</v>
      </c>
      <c r="G44" s="573">
        <v>0</v>
      </c>
      <c r="H44" s="573">
        <v>0</v>
      </c>
      <c r="I44" s="573">
        <v>0</v>
      </c>
      <c r="J44" s="573">
        <v>0</v>
      </c>
      <c r="K44" s="573">
        <v>0</v>
      </c>
      <c r="L44" s="573">
        <v>0</v>
      </c>
      <c r="M44" s="573">
        <v>0</v>
      </c>
      <c r="N44" s="573">
        <v>0</v>
      </c>
      <c r="O44" s="938">
        <f t="shared" si="8"/>
        <v>0</v>
      </c>
      <c r="P44" s="426">
        <f>IF(Q43=12,C44+D44+E44+F44+G44+H44+I44+J44+K44+L44+M44+N44,IF(Q43=11,C44+D44+E44+F44+G44+H44+I44+J44+K44+L44+M44,IF(Q43=10,C44+D44+E44+F44+G44+H44+I44+J44+K44+L44,IF(Q43=9,C44+D44+E44+F44+G44+H44+I44+J44+K44,IF(Q43=8,C44+D44+E44+F44+G44+H44+I44+J44,IF(Q43=7,C44+D44+E44+F44+G44+H44+I44,IF(Q43=6,C44+D44+E44+F44+G44+H44,IF(Q43=5,C44+D44+E44+F44+G44,0))))))))</f>
        <v>0</v>
      </c>
      <c r="Q44" s="1550"/>
      <c r="R44" s="143"/>
    </row>
    <row r="45" spans="2:18" x14ac:dyDescent="0.35">
      <c r="B45" s="576" t="s">
        <v>222</v>
      </c>
      <c r="C45" s="580">
        <f>SUM('F) Remuneraciones'!$J$81:$J$94)/2</f>
        <v>0</v>
      </c>
      <c r="D45" s="573">
        <v>0</v>
      </c>
      <c r="E45" s="573">
        <v>0</v>
      </c>
      <c r="F45" s="573">
        <v>0</v>
      </c>
      <c r="G45" s="573">
        <v>0</v>
      </c>
      <c r="H45" s="573">
        <v>0</v>
      </c>
      <c r="I45" s="573">
        <v>0</v>
      </c>
      <c r="J45" s="573">
        <v>0</v>
      </c>
      <c r="K45" s="573">
        <f>SUM('F) Remuneraciones'!$J$81:$J$94)/2</f>
        <v>0</v>
      </c>
      <c r="L45" s="573">
        <v>0</v>
      </c>
      <c r="M45" s="573">
        <v>0</v>
      </c>
      <c r="N45" s="573">
        <f>+C45+K45</f>
        <v>0</v>
      </c>
      <c r="O45" s="938">
        <f t="shared" si="8"/>
        <v>0</v>
      </c>
      <c r="P45" s="413">
        <f>IF(Q45=12,C45+D45+E45+F45+G45+H45+I45+J45+K45+L45+M45+N45,IF(Q45=11,C45+D45+E45+F45+G45+H45+I45+J45+K45+L45+M45,IF(Q45=10,C45+D45+E45+F45+G45+H45+I45+J45+K45+L45,IF(Q45=9,C45+D45+E45+F45+G45+H45+I45+J45+K45,IF(Q45=8,C45+D45+E45+F45+G45+H45+I45+J45,IF(Q45=7,C45+D45+E45+F45+G45+H45+I45,IF(Q45=6,C45+D45+E45+F45+G45+H45,IF(Q45=5,C45+D45+E45+F45+G45,0))))))))</f>
        <v>0</v>
      </c>
      <c r="Q45" s="415">
        <f>COUNTA(#REF!,#REF!,#REF!,#REF!,#REF!,#REF!,#REF!,#REF!,#REF!,#REF!,#REF!,#REF!)</f>
        <v>12</v>
      </c>
      <c r="R45" s="143"/>
    </row>
    <row r="46" spans="2:18" x14ac:dyDescent="0.35">
      <c r="B46" s="576" t="s">
        <v>223</v>
      </c>
      <c r="C46" s="580">
        <f>('C) Estimación Costos Directos'!$H$227-'C) Estimación Costos Directos'!$H$228)*C50</f>
        <v>289839.3240260281</v>
      </c>
      <c r="D46" s="573">
        <f>('C) Estimación Costos Directos'!$H$227-'C) Estimación Costos Directos'!$H$228)*D50</f>
        <v>317094.85678994359</v>
      </c>
      <c r="E46" s="573">
        <f>('C) Estimación Costos Directos'!$H$227-'C) Estimación Costos Directos'!$H$228)*E50</f>
        <v>292106.18662907573</v>
      </c>
      <c r="F46" s="573">
        <f>('C) Estimación Costos Directos'!$H$227-'C) Estimación Costos Directos'!$H$228)*F50</f>
        <v>131181.10078242252</v>
      </c>
      <c r="G46" s="573">
        <f>('C) Estimación Costos Directos'!$H$227-'C) Estimación Costos Directos'!$H$228)*G50</f>
        <v>203545.64821910448</v>
      </c>
      <c r="H46" s="573">
        <f>('C) Estimación Costos Directos'!$H$227-'C) Estimación Costos Directos'!$H$228)*H50</f>
        <v>0</v>
      </c>
      <c r="I46" s="573">
        <f>('C) Estimación Costos Directos'!$H$227-'C) Estimación Costos Directos'!$H$228)*I50</f>
        <v>244225.08484349152</v>
      </c>
      <c r="J46" s="573">
        <f>('C) Estimación Costos Directos'!$H$227-'C) Estimación Costos Directos'!$H$228)*J50</f>
        <v>0</v>
      </c>
      <c r="K46" s="573">
        <f>('C) Estimación Costos Directos'!$H$227-'C) Estimación Costos Directos'!$H$228)*K50</f>
        <v>2658325.1781375301</v>
      </c>
      <c r="L46" s="573">
        <f>('C) Estimación Costos Directos'!$H$227-'C) Estimación Costos Directos'!$H$228)*L50</f>
        <v>425862.15969374782</v>
      </c>
      <c r="M46" s="573">
        <f>('C) Estimación Costos Directos'!$H$227-'C) Estimación Costos Directos'!$H$228)*M50</f>
        <v>0</v>
      </c>
      <c r="N46" s="573">
        <f>('C) Estimación Costos Directos'!$H$227-'C) Estimación Costos Directos'!$H$228)*N50</f>
        <v>518320.46087865625</v>
      </c>
      <c r="O46" s="938">
        <f t="shared" si="8"/>
        <v>5080500</v>
      </c>
      <c r="P46" s="413">
        <f>IF(Q46=12,C46+D46+E46+F46+G46+H46+I46+J46+K46+L46+M46+N46,IF(Q46=11,C46+D46+E46+F46+G46+H46+I46+J46+K46+L46+M46,IF(Q46=10,C46+D46+E46+F46+G46+H46+I46+J46+K46+L46,IF(Q46=9,C46+D46+E46+F46+G46+H46+I46+J46+K46,IF(Q46=8,C46+D46+E46+F46+G46+H46+I46+J46,IF(Q46=7,C46+D46+E46+F46+G46+H46+I46,IF(Q46=6,C46+D46+E46+F46+G46+H46,IF(Q46=5,C46+D46+E46+F46+G46,0))))))))</f>
        <v>5080500</v>
      </c>
      <c r="Q46" s="415">
        <f>COUNTA(#REF!,#REF!,#REF!,#REF!,#REF!,#REF!,#REF!,#REF!,#REF!,#REF!,#REF!,#REF!)</f>
        <v>12</v>
      </c>
      <c r="R46" s="223"/>
    </row>
    <row r="47" spans="2:18" ht="15" thickBot="1" x14ac:dyDescent="0.4">
      <c r="B47" s="577" t="s">
        <v>275</v>
      </c>
      <c r="C47" s="581">
        <f>'C) Estimación Costos Directos'!$H$255*C51</f>
        <v>57676.913018465588</v>
      </c>
      <c r="D47" s="574">
        <f>'C) Estimación Costos Directos'!$H$255*D51</f>
        <v>63100.659426165337</v>
      </c>
      <c r="E47" s="574">
        <f>'C) Estimación Costos Directos'!$H$255*E51</f>
        <v>58128.009975788911</v>
      </c>
      <c r="F47" s="574">
        <f>'C) Estimación Costos Directos'!$H$255*F51</f>
        <v>26104.535555758128</v>
      </c>
      <c r="G47" s="574">
        <f>'C) Estimación Costos Directos'!$H$255*G51</f>
        <v>40504.802745697205</v>
      </c>
      <c r="H47" s="574">
        <f>'C) Estimación Costos Directos'!$H$255*H51</f>
        <v>0</v>
      </c>
      <c r="I47" s="574">
        <f>'C) Estimación Costos Directos'!$H$255*I51</f>
        <v>48599.854497937195</v>
      </c>
      <c r="J47" s="574">
        <f>'C) Estimación Costos Directos'!$H$255*J51</f>
        <v>0</v>
      </c>
      <c r="K47" s="574">
        <f>'C) Estimación Costos Directos'!$H$255*K51</f>
        <v>528996.50725264114</v>
      </c>
      <c r="L47" s="574">
        <f>'C) Estimación Costos Directos'!$H$255*L51</f>
        <v>84744.93523282728</v>
      </c>
      <c r="M47" s="574">
        <f>'C) Estimación Costos Directos'!$H$255*M51</f>
        <v>0</v>
      </c>
      <c r="N47" s="574">
        <f>'C) Estimación Costos Directos'!$H$255*N51</f>
        <v>103143.78229471931</v>
      </c>
      <c r="O47" s="939">
        <f t="shared" si="8"/>
        <v>1011000.0000000002</v>
      </c>
      <c r="P47" s="413">
        <f>IF(Q47=12,C47+D47+E47+F47+G47+H47+I47+J47+K47+L47+M47+N47,IF(Q47=11,C47+D47+E47+F47+G47+H47+I47+J47+K47+L47+M47,IF(Q47=10,C47+D47+E47+F47+G47+H47+I47+J47+K47+L47,IF(Q47=9,C47+D47+E47+F47+G47+H47+I47+J47+K47,IF(Q47=8,C47+D47+E47+F47+G47+H47+I47+J47,IF(Q47=7,C47+D47+E47+F47+G47+H47+I47,IF(Q47=6,C47+D47+E47+F47+G47+H47,IF(Q47=5,C47+D47+E47+F47+G47,0))))))))</f>
        <v>1011000.0000000002</v>
      </c>
      <c r="Q47" s="415">
        <f>COUNTA(#REF!,#REF!,#REF!,#REF!,#REF!,#REF!,#REF!,#REF!,#REF!,#REF!,#REF!,#REF!)</f>
        <v>12</v>
      </c>
      <c r="R47" s="143"/>
    </row>
    <row r="48" spans="2:18" ht="15" thickBot="1" x14ac:dyDescent="0.4">
      <c r="B48" s="578" t="s">
        <v>224</v>
      </c>
      <c r="C48" s="582">
        <f>C42-(C43+C44+C45+C46+C47)</f>
        <v>1903509.2056845478</v>
      </c>
      <c r="D48" s="428">
        <f t="shared" ref="D48:Q48" si="9">D42-(D43+D44+D45+D46+D47)</f>
        <v>717359.61191573541</v>
      </c>
      <c r="E48" s="428">
        <f t="shared" si="9"/>
        <v>430481.74482429901</v>
      </c>
      <c r="F48" s="428">
        <f t="shared" si="9"/>
        <v>303620.58650566114</v>
      </c>
      <c r="G48" s="428">
        <f t="shared" si="9"/>
        <v>-117799.08578560811</v>
      </c>
      <c r="H48" s="428">
        <f t="shared" si="9"/>
        <v>0</v>
      </c>
      <c r="I48" s="428">
        <f t="shared" si="9"/>
        <v>-292824.93934142869</v>
      </c>
      <c r="J48" s="428">
        <f t="shared" si="9"/>
        <v>373459.78048598714</v>
      </c>
      <c r="K48" s="428">
        <f t="shared" si="9"/>
        <v>-2465444.8362389449</v>
      </c>
      <c r="L48" s="428">
        <f t="shared" si="9"/>
        <v>-13061.805418864475</v>
      </c>
      <c r="M48" s="428">
        <f t="shared" si="9"/>
        <v>721878.35321800248</v>
      </c>
      <c r="N48" s="428">
        <f t="shared" si="9"/>
        <v>662121.38415061263</v>
      </c>
      <c r="O48" s="438">
        <f t="shared" si="9"/>
        <v>2223299.9999999991</v>
      </c>
      <c r="P48" s="437">
        <f t="shared" si="9"/>
        <v>2223299.9999999991</v>
      </c>
      <c r="Q48" s="428">
        <f t="shared" si="9"/>
        <v>-36</v>
      </c>
      <c r="R48" s="813"/>
    </row>
    <row r="49" spans="2:18" x14ac:dyDescent="0.35">
      <c r="B49" s="410" t="s">
        <v>225</v>
      </c>
      <c r="C49" s="222">
        <v>0.27072514585185953</v>
      </c>
      <c r="D49" s="222">
        <v>0.13200018378455819</v>
      </c>
      <c r="E49" s="222">
        <v>9.3894734861832363E-2</v>
      </c>
      <c r="F49" s="222">
        <v>5.5432027570577976E-2</v>
      </c>
      <c r="G49" s="222">
        <v>1.5183932888246689E-2</v>
      </c>
      <c r="H49" s="222">
        <v>0</v>
      </c>
      <c r="I49" s="222">
        <v>0</v>
      </c>
      <c r="J49" s="222">
        <v>4.4915064762349924E-2</v>
      </c>
      <c r="K49" s="222">
        <v>8.6818305810269211E-2</v>
      </c>
      <c r="L49" s="222">
        <v>5.9838515599618829E-2</v>
      </c>
      <c r="M49" s="222">
        <v>8.6818486700582398E-2</v>
      </c>
      <c r="N49" s="222">
        <v>0.1543736021701049</v>
      </c>
      <c r="O49" s="223"/>
      <c r="R49" s="143"/>
    </row>
    <row r="50" spans="2:18" x14ac:dyDescent="0.35">
      <c r="B50" s="411" t="s">
        <v>226</v>
      </c>
      <c r="C50" s="225">
        <v>5.7049369949026298E-2</v>
      </c>
      <c r="D50" s="225">
        <v>6.2414104279095287E-2</v>
      </c>
      <c r="E50" s="225">
        <v>5.74955588286735E-2</v>
      </c>
      <c r="F50" s="225">
        <v>2.5820509946348297E-2</v>
      </c>
      <c r="G50" s="225">
        <v>4.0064097671312762E-2</v>
      </c>
      <c r="H50" s="225">
        <v>0</v>
      </c>
      <c r="I50" s="225">
        <v>4.8071072698256376E-2</v>
      </c>
      <c r="J50" s="225">
        <v>0</v>
      </c>
      <c r="K50" s="225">
        <v>0.52324085781665786</v>
      </c>
      <c r="L50" s="225">
        <v>8.3822883514171401E-2</v>
      </c>
      <c r="M50" s="225">
        <v>0</v>
      </c>
      <c r="N50" s="225">
        <v>0.10202154529645827</v>
      </c>
      <c r="O50" s="226"/>
      <c r="R50" s="143"/>
    </row>
    <row r="51" spans="2:18" ht="15" thickBot="1" x14ac:dyDescent="0.4">
      <c r="B51" s="411" t="s">
        <v>275</v>
      </c>
      <c r="C51" s="225">
        <v>5.7049369949026298E-2</v>
      </c>
      <c r="D51" s="225">
        <v>6.2414104279095287E-2</v>
      </c>
      <c r="E51" s="225">
        <v>5.74955588286735E-2</v>
      </c>
      <c r="F51" s="225">
        <v>2.5820509946348297E-2</v>
      </c>
      <c r="G51" s="225">
        <v>4.0064097671312762E-2</v>
      </c>
      <c r="H51" s="225">
        <v>0</v>
      </c>
      <c r="I51" s="225">
        <v>4.8071072698256376E-2</v>
      </c>
      <c r="J51" s="225">
        <v>0</v>
      </c>
      <c r="K51" s="225">
        <v>0.52324085781665786</v>
      </c>
      <c r="L51" s="225">
        <v>8.3822883514171401E-2</v>
      </c>
      <c r="M51" s="225">
        <v>0</v>
      </c>
      <c r="N51" s="225">
        <v>0.10202154529645827</v>
      </c>
      <c r="R51" s="143"/>
    </row>
    <row r="52" spans="2:18" x14ac:dyDescent="0.35">
      <c r="B52" s="575" t="s">
        <v>230</v>
      </c>
      <c r="C52" s="579" t="s">
        <v>185</v>
      </c>
      <c r="D52" s="429" t="s">
        <v>186</v>
      </c>
      <c r="E52" s="429" t="s">
        <v>187</v>
      </c>
      <c r="F52" s="429" t="s">
        <v>188</v>
      </c>
      <c r="G52" s="429" t="s">
        <v>189</v>
      </c>
      <c r="H52" s="429" t="s">
        <v>190</v>
      </c>
      <c r="I52" s="429" t="s">
        <v>191</v>
      </c>
      <c r="J52" s="430" t="s">
        <v>192</v>
      </c>
      <c r="K52" s="429" t="s">
        <v>193</v>
      </c>
      <c r="L52" s="429" t="s">
        <v>194</v>
      </c>
      <c r="M52" s="429" t="s">
        <v>195</v>
      </c>
      <c r="N52" s="429" t="s">
        <v>196</v>
      </c>
      <c r="O52" s="431" t="s">
        <v>298</v>
      </c>
      <c r="P52" s="413"/>
      <c r="Q52" s="414" t="s">
        <v>293</v>
      </c>
      <c r="R52" s="143"/>
    </row>
    <row r="53" spans="2:18" x14ac:dyDescent="0.35">
      <c r="B53" s="576" t="s">
        <v>219</v>
      </c>
      <c r="C53" s="580">
        <f>+'A) Resumen Ingresos y Egresos'!$D$13*'J)Estructura Económica Mensual'!C60</f>
        <v>1703891.2806854548</v>
      </c>
      <c r="D53" s="573">
        <f>+'A) Resumen Ingresos y Egresos'!$D$13*'J)Estructura Económica Mensual'!D60</f>
        <v>1399461.1417457885</v>
      </c>
      <c r="E53" s="573">
        <f>+'A) Resumen Ingresos y Egresos'!$D$13*'J)Estructura Económica Mensual'!E60</f>
        <v>1471447.5647979309</v>
      </c>
      <c r="F53" s="573">
        <f>+'A) Resumen Ingresos y Egresos'!$D$13*'J)Estructura Económica Mensual'!F60</f>
        <v>1234801.8136768423</v>
      </c>
      <c r="G53" s="573">
        <f>+'A) Resumen Ingresos y Egresos'!$D$13*'J)Estructura Económica Mensual'!G60</f>
        <v>1009249.5766561864</v>
      </c>
      <c r="H53" s="573">
        <f>+'A) Resumen Ingresos y Egresos'!$D$13*'J)Estructura Económica Mensual'!H60</f>
        <v>1024335.6963731301</v>
      </c>
      <c r="I53" s="573">
        <f>+'A) Resumen Ingresos y Egresos'!$D$13*'J)Estructura Económica Mensual'!I60</f>
        <v>1455629.2067344838</v>
      </c>
      <c r="J53" s="573">
        <f>+'A) Resumen Ingresos y Egresos'!$D$13*'J)Estructura Económica Mensual'!J60</f>
        <v>1106255.1525399447</v>
      </c>
      <c r="K53" s="573">
        <f>+'A) Resumen Ingresos y Egresos'!$D$13*'J)Estructura Económica Mensual'!K60</f>
        <v>1341262.6676003344</v>
      </c>
      <c r="L53" s="573">
        <f>+'A) Resumen Ingresos y Egresos'!$D$13*'J)Estructura Económica Mensual'!L60</f>
        <v>1038510.8937518989</v>
      </c>
      <c r="M53" s="573">
        <f>+'A) Resumen Ingresos y Egresos'!$D$13*'J)Estructura Económica Mensual'!M60</f>
        <v>1362809.4946839267</v>
      </c>
      <c r="N53" s="573">
        <f>+'A) Resumen Ingresos y Egresos'!$D$13*'J)Estructura Económica Mensual'!N60</f>
        <v>1491645.5107540784</v>
      </c>
      <c r="O53" s="938">
        <f>SUM(C53:N53)</f>
        <v>15639299.999999998</v>
      </c>
      <c r="P53" s="413">
        <f>IF(Q53=12,C53+D53+E53+F53+G53+H53+I53+J53+K53+L53+M53+N53,IF(Q53=11,C53+D53+E53+F53+G53+H53+I53+J53+K53+L53+M53,IF(Q53=10,C53+D53+E53+F53+G53+H53+I53+J53+K53+L53,IF(Q53=9,C53+D53+E53+F53+G53+H53+I53+J53+K53,IF(Q53=8,C53+D53+E53+F53+G53+H53+I53+J53,IF(Q53=7,C53+D53+E53+F53+G53+H53+I53,IF(Q53=6,C53+D53+E53+F53+G53+H53,IF(Q53=5,C53+D53+E53+F53+G53,0))))))))</f>
        <v>15639299.999999998</v>
      </c>
      <c r="Q53" s="415">
        <f>COUNTA(#REF!,#REF!,#REF!,#REF!,#REF!,#REF!,#REF!,#REF!,#REF!,#REF!,#REF!,#REF!)</f>
        <v>12</v>
      </c>
      <c r="R53" s="143"/>
    </row>
    <row r="54" spans="2:18" x14ac:dyDescent="0.35">
      <c r="B54" s="576" t="s">
        <v>220</v>
      </c>
      <c r="C54" s="580">
        <f>(SUM('F) Remuneraciones'!$L$95:$L$108)-SUM('F) Remuneraciones'!$J$95:$K$108))/12</f>
        <v>442500</v>
      </c>
      <c r="D54" s="573">
        <f>(SUM('F) Remuneraciones'!$L$95:$L$108)-SUM('F) Remuneraciones'!$J$95:$K$108))/12</f>
        <v>442500</v>
      </c>
      <c r="E54" s="573">
        <f>(SUM('F) Remuneraciones'!$L$95:$L$108)-SUM('F) Remuneraciones'!$J$95:$K$108))/12</f>
        <v>442500</v>
      </c>
      <c r="F54" s="573">
        <f>(SUM('F) Remuneraciones'!$L$95:$L$108)-SUM('F) Remuneraciones'!$J$95:$K$108))/12</f>
        <v>442500</v>
      </c>
      <c r="G54" s="573">
        <f>(SUM('F) Remuneraciones'!$L$95:$L$108)-SUM('F) Remuneraciones'!$J$95:$K$108))/12</f>
        <v>442500</v>
      </c>
      <c r="H54" s="573">
        <f>(SUM('F) Remuneraciones'!$L$95:$L$108)-SUM('F) Remuneraciones'!$J$95:$K$108))/12</f>
        <v>442500</v>
      </c>
      <c r="I54" s="573">
        <f>(SUM('F) Remuneraciones'!$L$95:$L$108)-SUM('F) Remuneraciones'!$J$95:$K$108))/12</f>
        <v>442500</v>
      </c>
      <c r="J54" s="573">
        <f>(SUM('F) Remuneraciones'!$L$95:$L$108)-SUM('F) Remuneraciones'!$J$95:$K$108))/12</f>
        <v>442500</v>
      </c>
      <c r="K54" s="573">
        <f>(SUM('F) Remuneraciones'!$L$95:$L$108)-SUM('F) Remuneraciones'!$J$95:$K$108))/12</f>
        <v>442500</v>
      </c>
      <c r="L54" s="573">
        <f>(SUM('F) Remuneraciones'!$L$95:$L$108)-SUM('F) Remuneraciones'!$J$95:$K$108))/12</f>
        <v>442500</v>
      </c>
      <c r="M54" s="573">
        <f>(SUM('F) Remuneraciones'!$L$95:$L$108)-SUM('F) Remuneraciones'!$J$95:$K$108))/12</f>
        <v>442500</v>
      </c>
      <c r="N54" s="573">
        <f>(SUM('F) Remuneraciones'!$L$95:$L$108)-SUM('F) Remuneraciones'!$J$95:$K$108))/12</f>
        <v>442500</v>
      </c>
      <c r="O54" s="938">
        <f t="shared" ref="O54:O59" si="10">SUM(C54:N54)</f>
        <v>5310000</v>
      </c>
      <c r="P54" s="426">
        <f>IF(Q54=12,C54+D54+E54+F54+G54+H54+I54+J54+K54+L54+M54+N54,IF(Q54=11,C54+D54+E54+F54+G54+H54+I54+J54+K54+L54+M54,IF(Q54=10,C54+D54+E54+F54+G54+H54+I54+J54+K54+L54,IF(Q54=9,C54+D54+E54+F54+G54+H54+I54+J54+K54,IF(Q54=8,C54+D54+E54+F54+G54+H54+I54+J54,IF(Q54=7,C54+D54+E54+F54+G54+H54+I54,IF(Q54=6,C54+D54+E54+F54+G54+H54,IF(Q54=5,C54+D54+E54+F54+G54,0))))))))</f>
        <v>5310000</v>
      </c>
      <c r="Q54" s="1550">
        <f>COUNTA(#REF!,#REF!,#REF!,#REF!,#REF!,#REF!,#REF!,#REF!,#REF!,#REF!,#REF!,#REF!)</f>
        <v>12</v>
      </c>
      <c r="R54" s="936"/>
    </row>
    <row r="55" spans="2:18" x14ac:dyDescent="0.35">
      <c r="B55" s="576" t="s">
        <v>221</v>
      </c>
      <c r="C55" s="580">
        <f>SUM('F) Remuneraciones'!$I$109:$I$122)/4</f>
        <v>0</v>
      </c>
      <c r="D55" s="573">
        <f t="shared" ref="D55:E55" si="11">C55</f>
        <v>0</v>
      </c>
      <c r="E55" s="573">
        <f t="shared" si="11"/>
        <v>0</v>
      </c>
      <c r="F55" s="573">
        <v>0</v>
      </c>
      <c r="G55" s="573">
        <v>0</v>
      </c>
      <c r="H55" s="573">
        <v>0</v>
      </c>
      <c r="I55" s="573">
        <v>0</v>
      </c>
      <c r="J55" s="573">
        <v>0</v>
      </c>
      <c r="K55" s="573">
        <v>0</v>
      </c>
      <c r="L55" s="573">
        <v>0</v>
      </c>
      <c r="M55" s="573">
        <v>0</v>
      </c>
      <c r="N55" s="573">
        <f>SUM('F) Remuneraciones'!$I$109:$I$122)/4</f>
        <v>0</v>
      </c>
      <c r="O55" s="938">
        <f t="shared" si="10"/>
        <v>0</v>
      </c>
      <c r="P55" s="426">
        <f>IF(Q54=12,C55+D55+E55+F55+G55+H55+I55+J55+K55+L55+M55+N55,IF(Q54=11,C55+D55+E55+F55+G55+H55+I55+J55+K55+L55+M55,IF(Q54=10,C55+D55+E55+F55+G55+H55+I55+J55+K55+L55,IF(Q54=9,C55+D55+E55+F55+G55+H55+I55+J55+K55,IF(Q54=8,C55+D55+E55+F55+G55+H55+I55+J55,IF(Q54=7,C55+D55+E55+F55+G55+H55+I55,IF(Q54=6,C55+D55+E55+F55+G55+H55,IF(Q54=5,C55+D55+E55+F55+G55,0))))))))</f>
        <v>0</v>
      </c>
      <c r="Q55" s="1550"/>
      <c r="R55" s="143"/>
    </row>
    <row r="56" spans="2:18" x14ac:dyDescent="0.35">
      <c r="B56" s="576" t="s">
        <v>222</v>
      </c>
      <c r="C56" s="580">
        <f>SUM('F) Remuneraciones'!J95:J108)/2</f>
        <v>193238</v>
      </c>
      <c r="D56" s="573">
        <v>0</v>
      </c>
      <c r="E56" s="573">
        <v>0</v>
      </c>
      <c r="F56" s="573">
        <v>0</v>
      </c>
      <c r="G56" s="573">
        <v>0</v>
      </c>
      <c r="H56" s="573">
        <v>0</v>
      </c>
      <c r="I56" s="573">
        <v>0</v>
      </c>
      <c r="J56" s="573">
        <v>0</v>
      </c>
      <c r="K56" s="573">
        <f>SUM('F) Remuneraciones'!K95:K108)/2</f>
        <v>86236</v>
      </c>
      <c r="L56" s="573">
        <v>0</v>
      </c>
      <c r="M56" s="573">
        <v>0</v>
      </c>
      <c r="N56" s="573">
        <f>+C56+K56</f>
        <v>279474</v>
      </c>
      <c r="O56" s="938">
        <f t="shared" si="10"/>
        <v>558948</v>
      </c>
      <c r="P56" s="413">
        <f>IF(Q56=12,C56+D56+E56+F56+G56+H56+I56+J56+K56+L56+M56+N56,IF(Q56=11,C56+D56+E56+F56+G56+H56+I56+J56+K56+L56+M56,IF(Q56=10,C56+D56+E56+F56+G56+H56+I56+J56+K56+L56,IF(Q56=9,C56+D56+E56+F56+G56+H56+I56+J56+K56,IF(Q56=8,C56+D56+E56+F56+G56+H56+I56+J56,IF(Q56=7,C56+D56+E56+F56+G56+H56+I56,IF(Q56=6,C56+D56+E56+F56+G56+H56,IF(Q56=5,C56+D56+E56+F56+G56,0))))))))</f>
        <v>558948</v>
      </c>
      <c r="Q56" s="415">
        <f>COUNTA(#REF!,#REF!,#REF!,#REF!,#REF!,#REF!,#REF!,#REF!,#REF!,#REF!,#REF!,#REF!)</f>
        <v>12</v>
      </c>
      <c r="R56" s="143"/>
    </row>
    <row r="57" spans="2:18" x14ac:dyDescent="0.35">
      <c r="B57" s="576" t="s">
        <v>223</v>
      </c>
      <c r="C57" s="580">
        <f>('C) Estimación Costos Directos'!$H$299-'C) Estimación Costos Directos'!$H$300)*C61</f>
        <v>347944.31362205127</v>
      </c>
      <c r="D57" s="573">
        <f>('C) Estimación Costos Directos'!$H$299-'C) Estimación Costos Directos'!$H$300)*D61</f>
        <v>150445.90355667518</v>
      </c>
      <c r="E57" s="573">
        <f>('C) Estimación Costos Directos'!$H$299-'C) Estimación Costos Directos'!$H$300)*E61</f>
        <v>526252.78147780348</v>
      </c>
      <c r="F57" s="573">
        <f>('C) Estimación Costos Directos'!$H$299-'C) Estimación Costos Directos'!$H$300)*F61</f>
        <v>340135.01896965678</v>
      </c>
      <c r="G57" s="573">
        <f>('C) Estimación Costos Directos'!$H$299-'C) Estimación Costos Directos'!$H$300)*G61</f>
        <v>260837.81991668433</v>
      </c>
      <c r="H57" s="573">
        <f>('C) Estimación Costos Directos'!$H$299-'C) Estimación Costos Directos'!$H$300)*H61</f>
        <v>286536.1269707731</v>
      </c>
      <c r="I57" s="573">
        <f>('C) Estimación Costos Directos'!$H$299-'C) Estimación Costos Directos'!$H$300)*I61</f>
        <v>518451.44926430279</v>
      </c>
      <c r="J57" s="573">
        <f>('C) Estimación Costos Directos'!$H$299-'C) Estimación Costos Directos'!$H$300)*J61</f>
        <v>303475.08770512405</v>
      </c>
      <c r="K57" s="573">
        <f>('C) Estimación Costos Directos'!$H$299-'C) Estimación Costos Directos'!$H$300)*K61</f>
        <v>372387.20947721996</v>
      </c>
      <c r="L57" s="573">
        <f>('C) Estimación Costos Directos'!$H$299-'C) Estimación Costos Directos'!$H$300)*L61</f>
        <v>456291.21025950665</v>
      </c>
      <c r="M57" s="573">
        <f>('C) Estimación Costos Directos'!$H$299-'C) Estimación Costos Directos'!$H$300)*M61</f>
        <v>339410.70244495216</v>
      </c>
      <c r="N57" s="573">
        <f>('C) Estimación Costos Directos'!$H$299-'C) Estimación Costos Directos'!$H$300)*N61</f>
        <v>775832.37633525045</v>
      </c>
      <c r="O57" s="938">
        <f t="shared" si="10"/>
        <v>4678000</v>
      </c>
      <c r="P57" s="413">
        <f>IF(Q57=12,C57+D57+E57+F57+G57+H57+I57+J57+K57+L57+M57+N57,IF(Q57=11,C57+D57+E57+F57+G57+H57+I57+J57+K57+L57+M57,IF(Q57=10,C57+D57+E57+F57+G57+H57+I57+J57+K57+L57,IF(Q57=9,C57+D57+E57+F57+G57+H57+I57+J57+K57,IF(Q57=8,C57+D57+E57+F57+G57+H57+I57+J57,IF(Q57=7,C57+D57+E57+F57+G57+H57+I57,IF(Q57=6,C57+D57+E57+F57+G57+H57,IF(Q57=5,C57+D57+E57+F57+G57,0))))))))</f>
        <v>4678000</v>
      </c>
      <c r="Q57" s="415">
        <f>COUNTA(#REF!,#REF!,#REF!,#REF!,#REF!,#REF!,#REF!,#REF!,#REF!,#REF!,#REF!,#REF!)</f>
        <v>12</v>
      </c>
      <c r="R57" s="143"/>
    </row>
    <row r="58" spans="2:18" ht="15" thickBot="1" x14ac:dyDescent="0.4">
      <c r="B58" s="577" t="s">
        <v>275</v>
      </c>
      <c r="C58" s="581">
        <f>'C) Estimación Costos Directos'!$H$327*C62</f>
        <v>38900.144511400773</v>
      </c>
      <c r="D58" s="574">
        <f>'C) Estimación Costos Directos'!$H$327*D62</f>
        <v>16819.83915351456</v>
      </c>
      <c r="E58" s="574">
        <f>'C) Estimación Costos Directos'!$H$327*E62</f>
        <v>58835.015971118257</v>
      </c>
      <c r="F58" s="574">
        <f>'C) Estimación Costos Directos'!$H$327*F62</f>
        <v>38027.066037009507</v>
      </c>
      <c r="G58" s="574">
        <f>'C) Estimación Costos Directos'!$H$327*G62</f>
        <v>29161.645963323193</v>
      </c>
      <c r="H58" s="574">
        <f>'C) Estimación Costos Directos'!$H$327*H62</f>
        <v>32034.714494594769</v>
      </c>
      <c r="I58" s="574">
        <f>'C) Estimación Costos Directos'!$H$327*I62</f>
        <v>57962.827696714485</v>
      </c>
      <c r="J58" s="574">
        <f>'C) Estimación Costos Directos'!$H$327*J62</f>
        <v>33928.48885630181</v>
      </c>
      <c r="K58" s="574">
        <f>'C) Estimación Costos Directos'!$H$327*K62</f>
        <v>41632.858177979062</v>
      </c>
      <c r="L58" s="574">
        <f>'C) Estimación Costos Directos'!$H$327*L62</f>
        <v>51013.318291090633</v>
      </c>
      <c r="M58" s="574">
        <f>'C) Estimación Costos Directos'!$H$327*M62</f>
        <v>37946.087511481397</v>
      </c>
      <c r="N58" s="574">
        <f>'C) Estimación Costos Directos'!$H$327*N62</f>
        <v>86737.993335471561</v>
      </c>
      <c r="O58" s="939">
        <f t="shared" si="10"/>
        <v>522999.99999999994</v>
      </c>
      <c r="P58" s="413">
        <f>IF(Q58=12,C58+D58+E58+F58+G58+H58+I58+J58+K58+L58+M58+N58,IF(Q58=11,C58+D58+E58+F58+G58+H58+I58+J58+K58+L58+M58,IF(Q58=10,C58+D58+E58+F58+G58+H58+I58+J58+K58+L58,IF(Q58=9,C58+D58+E58+F58+G58+H58+I58+J58+K58,IF(Q58=8,C58+D58+E58+F58+G58+H58+I58+J58,IF(Q58=7,C58+D58+E58+F58+G58+H58+I58,IF(Q58=6,C58+D58+E58+F58+G58+H58,IF(Q58=5,C58+D58+E58+F58+G58,0))))))))</f>
        <v>522999.99999999994</v>
      </c>
      <c r="Q58" s="415">
        <f>COUNTA(#REF!,#REF!,#REF!,#REF!,#REF!,#REF!,#REF!,#REF!,#REF!,#REF!,#REF!,#REF!)</f>
        <v>12</v>
      </c>
      <c r="R58" s="143"/>
    </row>
    <row r="59" spans="2:18" ht="15" thickBot="1" x14ac:dyDescent="0.4">
      <c r="B59" s="578" t="s">
        <v>224</v>
      </c>
      <c r="C59" s="582">
        <f>C53-(C54+C55+C56+C57+C58)</f>
        <v>681308.82255200285</v>
      </c>
      <c r="D59" s="428">
        <f t="shared" ref="D59:N59" si="12">D53-(D54+D55+D56+D57+D58)</f>
        <v>789695.39903559873</v>
      </c>
      <c r="E59" s="428">
        <f t="shared" si="12"/>
        <v>443859.76734900917</v>
      </c>
      <c r="F59" s="428">
        <f t="shared" si="12"/>
        <v>414139.728670176</v>
      </c>
      <c r="G59" s="428">
        <f t="shared" si="12"/>
        <v>276750.11077617889</v>
      </c>
      <c r="H59" s="428">
        <f t="shared" si="12"/>
        <v>263264.85490776226</v>
      </c>
      <c r="I59" s="428">
        <f t="shared" si="12"/>
        <v>436714.92977346655</v>
      </c>
      <c r="J59" s="428">
        <f t="shared" si="12"/>
        <v>326351.57597851893</v>
      </c>
      <c r="K59" s="428">
        <f t="shared" si="12"/>
        <v>398506.59994513541</v>
      </c>
      <c r="L59" s="428">
        <f t="shared" si="12"/>
        <v>88706.365201301523</v>
      </c>
      <c r="M59" s="428">
        <f t="shared" si="12"/>
        <v>542952.70472749311</v>
      </c>
      <c r="N59" s="428">
        <f t="shared" si="12"/>
        <v>-92898.858916643541</v>
      </c>
      <c r="O59" s="434">
        <f t="shared" si="10"/>
        <v>4569352</v>
      </c>
      <c r="P59" s="413"/>
      <c r="Q59" s="415"/>
      <c r="R59" s="813"/>
    </row>
    <row r="60" spans="2:18" x14ac:dyDescent="0.35">
      <c r="B60" s="410" t="s">
        <v>225</v>
      </c>
      <c r="C60" s="222">
        <v>0.10894933153564769</v>
      </c>
      <c r="D60" s="222">
        <v>8.9483617664843598E-2</v>
      </c>
      <c r="E60" s="222">
        <v>9.4086536149183844E-2</v>
      </c>
      <c r="F60" s="222">
        <v>7.8955056407693583E-2</v>
      </c>
      <c r="G60" s="222">
        <v>6.4532912384581559E-2</v>
      </c>
      <c r="H60" s="222">
        <v>6.5497541218157471E-2</v>
      </c>
      <c r="I60" s="222">
        <v>9.3075086911465599E-2</v>
      </c>
      <c r="J60" s="222">
        <v>7.0735592548256301E-2</v>
      </c>
      <c r="K60" s="222">
        <v>8.5762321050196266E-2</v>
      </c>
      <c r="L60" s="222">
        <v>6.6403924328576017E-2</v>
      </c>
      <c r="M60" s="222">
        <v>8.7140057079532124E-2</v>
      </c>
      <c r="N60" s="222">
        <v>9.5378022721865963E-2</v>
      </c>
      <c r="O60" s="223"/>
      <c r="R60" s="143"/>
    </row>
    <row r="61" spans="2:18" x14ac:dyDescent="0.35">
      <c r="B61" s="411" t="s">
        <v>226</v>
      </c>
      <c r="C61" s="225">
        <v>7.4378861398471843E-2</v>
      </c>
      <c r="D61" s="225">
        <v>3.2160304308823252E-2</v>
      </c>
      <c r="E61" s="225">
        <v>0.11249525042278825</v>
      </c>
      <c r="F61" s="225">
        <v>7.2709495290649157E-2</v>
      </c>
      <c r="G61" s="225">
        <v>5.5758405283600751E-2</v>
      </c>
      <c r="H61" s="225">
        <v>6.1251844157924992E-2</v>
      </c>
      <c r="I61" s="225">
        <v>0.11082758641819213</v>
      </c>
      <c r="J61" s="225">
        <v>6.4872827641112449E-2</v>
      </c>
      <c r="K61" s="225">
        <v>7.9603935330743905E-2</v>
      </c>
      <c r="L61" s="225">
        <v>9.7539805527897955E-2</v>
      </c>
      <c r="M61" s="225">
        <v>7.2554660633807638E-2</v>
      </c>
      <c r="N61" s="225">
        <v>0.16584702358598769</v>
      </c>
      <c r="O61" s="226"/>
      <c r="R61" s="143"/>
    </row>
    <row r="62" spans="2:18" ht="15" thickBot="1" x14ac:dyDescent="0.4">
      <c r="B62" s="411" t="s">
        <v>275</v>
      </c>
      <c r="C62" s="225">
        <v>7.4378861398471843E-2</v>
      </c>
      <c r="D62" s="225">
        <v>3.2160304308823252E-2</v>
      </c>
      <c r="E62" s="225">
        <v>0.11249525042278825</v>
      </c>
      <c r="F62" s="225">
        <v>7.2709495290649157E-2</v>
      </c>
      <c r="G62" s="225">
        <v>5.5758405283600751E-2</v>
      </c>
      <c r="H62" s="225">
        <v>6.1251844157924992E-2</v>
      </c>
      <c r="I62" s="225">
        <v>0.11082758641819213</v>
      </c>
      <c r="J62" s="225">
        <v>6.4872827641112449E-2</v>
      </c>
      <c r="K62" s="225">
        <v>7.9603935330743905E-2</v>
      </c>
      <c r="L62" s="225">
        <v>9.7539805527897955E-2</v>
      </c>
      <c r="M62" s="225">
        <v>7.2554660633807638E-2</v>
      </c>
      <c r="N62" s="225">
        <v>0.16584702358598769</v>
      </c>
      <c r="R62" s="143"/>
    </row>
    <row r="63" spans="2:18" x14ac:dyDescent="0.35">
      <c r="B63" s="575" t="s">
        <v>231</v>
      </c>
      <c r="C63" s="579" t="s">
        <v>185</v>
      </c>
      <c r="D63" s="429" t="s">
        <v>186</v>
      </c>
      <c r="E63" s="429" t="s">
        <v>187</v>
      </c>
      <c r="F63" s="429" t="s">
        <v>188</v>
      </c>
      <c r="G63" s="429" t="s">
        <v>189</v>
      </c>
      <c r="H63" s="429" t="s">
        <v>190</v>
      </c>
      <c r="I63" s="429" t="s">
        <v>191</v>
      </c>
      <c r="J63" s="430" t="s">
        <v>192</v>
      </c>
      <c r="K63" s="429" t="s">
        <v>193</v>
      </c>
      <c r="L63" s="429" t="s">
        <v>194</v>
      </c>
      <c r="M63" s="429" t="s">
        <v>195</v>
      </c>
      <c r="N63" s="429" t="s">
        <v>196</v>
      </c>
      <c r="O63" s="431" t="s">
        <v>298</v>
      </c>
      <c r="P63" s="413"/>
      <c r="Q63" s="414" t="s">
        <v>293</v>
      </c>
      <c r="R63" s="143"/>
    </row>
    <row r="64" spans="2:18" x14ac:dyDescent="0.35">
      <c r="B64" s="576" t="s">
        <v>219</v>
      </c>
      <c r="C64" s="580">
        <f>+'A) Resumen Ingresos y Egresos'!$D$14*'J)Estructura Económica Mensual'!C71</f>
        <v>318132.04808409128</v>
      </c>
      <c r="D64" s="573">
        <f>+'A) Resumen Ingresos y Egresos'!$D$14*'J)Estructura Económica Mensual'!D71</f>
        <v>261292.16358134331</v>
      </c>
      <c r="E64" s="573">
        <f>+'A) Resumen Ingresos y Egresos'!$D$14*'J)Estructura Económica Mensual'!E71</f>
        <v>274732.6855556168</v>
      </c>
      <c r="F64" s="573">
        <f>+'A) Resumen Ingresos y Egresos'!$D$14*'J)Estructura Económica Mensual'!F71</f>
        <v>230548.76471046527</v>
      </c>
      <c r="G64" s="573">
        <f>+'A) Resumen Ingresos y Egresos'!$D$14*'J)Estructura Económica Mensual'!G71</f>
        <v>188436.10416297815</v>
      </c>
      <c r="H64" s="573">
        <f>+'A) Resumen Ingresos y Egresos'!$D$14*'J)Estructura Económica Mensual'!H71</f>
        <v>191252.82035701981</v>
      </c>
      <c r="I64" s="573">
        <f>+'A) Resumen Ingresos y Egresos'!$D$14*'J)Estructura Económica Mensual'!I71</f>
        <v>271779.25378147955</v>
      </c>
      <c r="J64" s="573">
        <f>+'A) Resumen Ingresos y Egresos'!$D$14*'J)Estructura Económica Mensual'!J71</f>
        <v>206547.9302409084</v>
      </c>
      <c r="K64" s="573">
        <f>+'A) Resumen Ingresos y Egresos'!$D$14*'J)Estructura Económica Mensual'!K71</f>
        <v>250425.97746657309</v>
      </c>
      <c r="L64" s="573">
        <f>+'A) Resumen Ingresos y Egresos'!$D$14*'J)Estructura Económica Mensual'!L71</f>
        <v>193899.45903944198</v>
      </c>
      <c r="M64" s="573">
        <f>+'A) Resumen Ingresos y Egresos'!$D$14*'J)Estructura Económica Mensual'!M71</f>
        <v>254448.9666722338</v>
      </c>
      <c r="N64" s="573">
        <f>+'A) Resumen Ingresos y Egresos'!$D$14*'J)Estructura Económica Mensual'!N71</f>
        <v>278503.82634784863</v>
      </c>
      <c r="O64" s="938">
        <f>SUM(C64:N64)</f>
        <v>2920000</v>
      </c>
      <c r="P64" s="413">
        <f>IF(Q64=12,C64+D64+E64+F64+G64+H64+I64+J64+K64+L64+M64+N64,IF(Q64=11,C64+D64+E64+F64+G64+H64+I64+J64+K64+L64+M64,IF(Q64=10,C64+D64+E64+F64+G64+H64+I64+J64+K64+L64,IF(Q64=9,C64+D64+E64+F64+G64+H64+I64+J64+K64,IF(Q64=8,C64+D64+E64+F64+G64+H64+I64+J64,IF(Q64=7,C64+D64+E64+F64+G64+H64+I64,IF(Q64=6,C64+D64+E64+F64+G64+H64,IF(Q64=5,C64+D64+E64+F64+G64,0))))))))</f>
        <v>2920000</v>
      </c>
      <c r="Q64" s="415">
        <f>COUNTA(#REF!,#REF!,#REF!,#REF!,#REF!,#REF!,#REF!,#REF!,#REF!,#REF!,#REF!,#REF!)</f>
        <v>12</v>
      </c>
      <c r="R64" s="143"/>
    </row>
    <row r="65" spans="2:18" x14ac:dyDescent="0.35">
      <c r="B65" s="576" t="s">
        <v>220</v>
      </c>
      <c r="C65" s="580">
        <f>SUM('F) Remuneraciones'!$I$123:$I$136)/12</f>
        <v>0</v>
      </c>
      <c r="D65" s="573">
        <f>SUM('F) Remuneraciones'!$I$123:$I$136)/12</f>
        <v>0</v>
      </c>
      <c r="E65" s="573">
        <f>SUM('F) Remuneraciones'!$I$123:$I$136)/12</f>
        <v>0</v>
      </c>
      <c r="F65" s="573">
        <f>SUM('F) Remuneraciones'!$I$123:$I$136)/12</f>
        <v>0</v>
      </c>
      <c r="G65" s="573">
        <f>SUM('F) Remuneraciones'!$I$123:$I$136)/12</f>
        <v>0</v>
      </c>
      <c r="H65" s="573">
        <f>SUM('F) Remuneraciones'!$I$123:$I$136)/12</f>
        <v>0</v>
      </c>
      <c r="I65" s="573">
        <f>SUM('F) Remuneraciones'!$I$123:$I$136)/12</f>
        <v>0</v>
      </c>
      <c r="J65" s="573">
        <f>SUM('F) Remuneraciones'!$I$123:$I$136)/12</f>
        <v>0</v>
      </c>
      <c r="K65" s="573">
        <f>SUM('F) Remuneraciones'!$I$123:$I$136)/12</f>
        <v>0</v>
      </c>
      <c r="L65" s="573">
        <f>SUM('F) Remuneraciones'!$I$123:$I$136)/12</f>
        <v>0</v>
      </c>
      <c r="M65" s="573">
        <f>SUM('F) Remuneraciones'!$I$123:$I$136)/12</f>
        <v>0</v>
      </c>
      <c r="N65" s="573">
        <f>SUM('F) Remuneraciones'!$I$123:$I$136)/12</f>
        <v>0</v>
      </c>
      <c r="O65" s="938">
        <f t="shared" ref="O65:O70" si="13">SUM(C65:N65)</f>
        <v>0</v>
      </c>
      <c r="P65" s="426">
        <f>IF(Q65=12,C65+D65+E65+F65+G65+H65+I65+J65+K65+L65+M65+N65,IF(Q65=11,C65+D65+E65+F65+G65+H65+I65+J65+K65+L65+M65,IF(Q65=10,C65+D65+E65+F65+G65+H65+I65+J65+K65+L65,IF(Q65=9,C65+D65+E65+F65+G65+H65+I65+J65+K65,IF(Q65=8,C65+D65+E65+F65+G65+H65+I65+J65,IF(Q65=7,C65+D65+E65+F65+G65+H65+I65,IF(Q65=6,C65+D65+E65+F65+G65+H65,IF(Q65=5,C65+D65+E65+F65+G65,0))))))))</f>
        <v>0</v>
      </c>
      <c r="Q65" s="1550">
        <f>COUNTA(#REF!,#REF!,#REF!,#REF!,#REF!,#REF!,#REF!,#REF!,#REF!,#REF!,#REF!,#REF!)</f>
        <v>12</v>
      </c>
      <c r="R65" s="143"/>
    </row>
    <row r="66" spans="2:18" x14ac:dyDescent="0.35">
      <c r="B66" s="576" t="s">
        <v>221</v>
      </c>
      <c r="C66" s="580">
        <v>0</v>
      </c>
      <c r="D66" s="573">
        <v>0</v>
      </c>
      <c r="E66" s="573">
        <v>0</v>
      </c>
      <c r="F66" s="573">
        <v>0</v>
      </c>
      <c r="G66" s="573">
        <v>0</v>
      </c>
      <c r="H66" s="573">
        <v>0</v>
      </c>
      <c r="I66" s="573">
        <v>0</v>
      </c>
      <c r="J66" s="573">
        <v>0</v>
      </c>
      <c r="K66" s="573">
        <v>0</v>
      </c>
      <c r="L66" s="573">
        <v>0</v>
      </c>
      <c r="M66" s="573">
        <v>0</v>
      </c>
      <c r="N66" s="573">
        <v>0</v>
      </c>
      <c r="O66" s="938">
        <f t="shared" si="13"/>
        <v>0</v>
      </c>
      <c r="P66" s="426">
        <f>IF(Q65=12,C66+D66+E66+F66+G66+H66+I66+J66+K66+L66+M66+N66,IF(Q65=11,C66+D66+E66+F66+G66+H66+I66+J66+K66+L66+M66,IF(Q65=10,C66+D66+E66+F66+G66+H66+I66+J66+K66+L66,IF(Q65=9,C66+D66+E66+F66+G66+H66+I66+J66+K66,IF(Q65=8,C66+D66+E66+F66+G66+H66+I66+J66,IF(Q65=7,C66+D66+E66+F66+G66+H66+I66,IF(Q65=6,C66+D66+E66+F66+G66+H66,IF(Q65=5,C66+D66+E66+F66+G66,0))))))))</f>
        <v>0</v>
      </c>
      <c r="Q66" s="1550"/>
      <c r="R66" s="143"/>
    </row>
    <row r="67" spans="2:18" x14ac:dyDescent="0.35">
      <c r="B67" s="576" t="s">
        <v>222</v>
      </c>
      <c r="C67" s="580">
        <f>SUM('F) Remuneraciones'!$J$123:$J$136)/2</f>
        <v>0</v>
      </c>
      <c r="D67" s="573">
        <v>0</v>
      </c>
      <c r="E67" s="573">
        <v>0</v>
      </c>
      <c r="F67" s="573">
        <v>0</v>
      </c>
      <c r="G67" s="573">
        <v>0</v>
      </c>
      <c r="H67" s="573">
        <v>0</v>
      </c>
      <c r="I67" s="573">
        <v>0</v>
      </c>
      <c r="J67" s="573">
        <v>0</v>
      </c>
      <c r="K67" s="573">
        <f>SUM('F) Remuneraciones'!$J$123:$J$136)/2</f>
        <v>0</v>
      </c>
      <c r="L67" s="573">
        <v>0</v>
      </c>
      <c r="M67" s="573">
        <v>0</v>
      </c>
      <c r="N67" s="573">
        <f>+C67+K67</f>
        <v>0</v>
      </c>
      <c r="O67" s="938">
        <f t="shared" si="13"/>
        <v>0</v>
      </c>
      <c r="P67" s="413">
        <f>IF(Q67=12,C67+D67+E67+F67+G67+H67+I67+J67+K67+L67+M67+N67,IF(Q67=11,C67+D67+E67+F67+G67+H67+I67+J67+K67+L67+M67,IF(Q67=10,C67+D67+E67+F67+G67+H67+I67+J67+K67+L67,IF(Q67=9,C67+D67+E67+F67+G67+H67+I67+J67+K67,IF(Q67=8,C67+D67+E67+F67+G67+H67+I67+J67,IF(Q67=7,C67+D67+E67+F67+G67+H67+I67,IF(Q67=6,C67+D67+E67+F67+G67+H67,IF(Q67=5,C67+D67+E67+F67+G67,0))))))))</f>
        <v>0</v>
      </c>
      <c r="Q67" s="415">
        <f>COUNTA(#REF!,#REF!,#REF!,#REF!,#REF!,#REF!,#REF!,#REF!,#REF!,#REF!,#REF!,#REF!)</f>
        <v>12</v>
      </c>
      <c r="R67" s="143"/>
    </row>
    <row r="68" spans="2:18" x14ac:dyDescent="0.35">
      <c r="B68" s="576" t="s">
        <v>223</v>
      </c>
      <c r="C68" s="580">
        <f>'C) Estimación Costos Directos'!$H$371*C72</f>
        <v>68279.794763797152</v>
      </c>
      <c r="D68" s="573">
        <f>'C) Estimación Costos Directos'!$H$371*D72</f>
        <v>29523.159355499745</v>
      </c>
      <c r="E68" s="573">
        <f>'C) Estimación Costos Directos'!$H$371*E72</f>
        <v>103270.63988811962</v>
      </c>
      <c r="F68" s="573">
        <f>'C) Estimación Costos Directos'!$H$371*F72</f>
        <v>66747.316676815928</v>
      </c>
      <c r="G68" s="573">
        <f>'C) Estimación Costos Directos'!$H$371*G72</f>
        <v>51186.216050345487</v>
      </c>
      <c r="H68" s="573">
        <f>'C) Estimación Costos Directos'!$H$371*H72</f>
        <v>56229.192936975145</v>
      </c>
      <c r="I68" s="573">
        <f>'C) Estimación Costos Directos'!$H$371*I72</f>
        <v>101739.72433190038</v>
      </c>
      <c r="J68" s="573">
        <f>'C) Estimación Costos Directos'!$H$371*J72</f>
        <v>59553.255774541227</v>
      </c>
      <c r="K68" s="573">
        <f>'C) Estimación Costos Directos'!$H$371*K72</f>
        <v>73076.412633622909</v>
      </c>
      <c r="L68" s="573">
        <f>'C) Estimación Costos Directos'!$H$371*L72</f>
        <v>89541.54147461032</v>
      </c>
      <c r="M68" s="573">
        <f>'C) Estimación Costos Directos'!$H$371*M72</f>
        <v>66605.178461835414</v>
      </c>
      <c r="N68" s="573">
        <f>'C) Estimación Costos Directos'!$H$371*N72</f>
        <v>152247.5676519367</v>
      </c>
      <c r="O68" s="938">
        <f t="shared" si="13"/>
        <v>917999.99999999988</v>
      </c>
      <c r="P68" s="413">
        <f>IF(Q68=12,C68+D68+E68+F68+G68+H68+I68+J68+K68+L68+M68+N68,IF(Q68=11,C68+D68+E68+F68+G68+H68+I68+J68+K68+L68+M68,IF(Q68=10,C68+D68+E68+F68+G68+H68+I68+J68+K68+L68,IF(Q68=9,C68+D68+E68+F68+G68+H68+I68+J68+K68,IF(Q68=8,C68+D68+E68+F68+G68+H68+I68+J68,IF(Q68=7,C68+D68+E68+F68+G68+H68+I68,IF(Q68=6,C68+D68+E68+F68+G68+H68,IF(Q68=5,C68+D68+E68+F68+G68,0))))))))</f>
        <v>917999.99999999988</v>
      </c>
      <c r="Q68" s="415">
        <f>COUNTA(#REF!,#REF!,#REF!,#REF!,#REF!,#REF!,#REF!,#REF!,#REF!,#REF!,#REF!,#REF!)</f>
        <v>12</v>
      </c>
      <c r="R68" s="223"/>
    </row>
    <row r="69" spans="2:18" ht="15" thickBot="1" x14ac:dyDescent="0.4">
      <c r="B69" s="577" t="s">
        <v>275</v>
      </c>
      <c r="C69" s="581">
        <f>'C) Estimación Costos Directos'!$H$399*C73</f>
        <v>85833.206053836504</v>
      </c>
      <c r="D69" s="574">
        <f>'C) Estimación Costos Directos'!$H$399*D73</f>
        <v>37112.991172382033</v>
      </c>
      <c r="E69" s="574">
        <f>'C) Estimación Costos Directos'!$H$399*E73</f>
        <v>129819.51898789764</v>
      </c>
      <c r="F69" s="574">
        <f>'C) Estimación Costos Directos'!$H$399*F73</f>
        <v>83906.75756540912</v>
      </c>
      <c r="G69" s="574">
        <f>'C) Estimación Costos Directos'!$H$399*G73</f>
        <v>64345.199697275268</v>
      </c>
      <c r="H69" s="574">
        <f>'C) Estimación Costos Directos'!$H$399*H73</f>
        <v>70684.628158245439</v>
      </c>
      <c r="I69" s="574">
        <f>'C) Estimación Costos Directos'!$H$399*I73</f>
        <v>127895.03472659372</v>
      </c>
      <c r="J69" s="574">
        <f>'C) Estimación Costos Directos'!$H$399*J73</f>
        <v>74863.243097843762</v>
      </c>
      <c r="K69" s="574">
        <f>'C) Estimación Costos Directos'!$H$399*K73</f>
        <v>91862.941371678462</v>
      </c>
      <c r="L69" s="574">
        <f>'C) Estimación Costos Directos'!$H$399*L73</f>
        <v>112560.93557919424</v>
      </c>
      <c r="M69" s="574">
        <f>'C) Estimación Costos Directos'!$H$399*M73</f>
        <v>83728.078371414013</v>
      </c>
      <c r="N69" s="574">
        <f>'C) Estimación Costos Directos'!$H$399*N73</f>
        <v>191387.4652182298</v>
      </c>
      <c r="O69" s="939">
        <f t="shared" si="13"/>
        <v>1154000</v>
      </c>
      <c r="P69" s="413">
        <f>IF(Q69=12,C69+D69+E69+F69+G69+H69+I69+J69+K69+L69+M69+N69,IF(Q69=11,C69+D69+E69+F69+G69+H69+I69+J69+K69+L69+M69,IF(Q69=10,C69+D69+E69+F69+G69+H69+I69+J69+K69+L69,IF(Q69=9,C69+D69+E69+F69+G69+H69+I69+J69+K69,IF(Q69=8,C69+D69+E69+F69+G69+H69+I69+J69,IF(Q69=7,C69+D69+E69+F69+G69+H69+I69,IF(Q69=6,C69+D69+E69+F69+G69+H69,IF(Q69=5,C69+D69+E69+F69+G69,0))))))))</f>
        <v>1154000</v>
      </c>
      <c r="Q69" s="415">
        <f>COUNTA(#REF!,#REF!,#REF!,#REF!,#REF!,#REF!,#REF!,#REF!,#REF!,#REF!,#REF!,#REF!)</f>
        <v>12</v>
      </c>
      <c r="R69" s="143"/>
    </row>
    <row r="70" spans="2:18" ht="15" thickBot="1" x14ac:dyDescent="0.4">
      <c r="B70" s="578" t="s">
        <v>224</v>
      </c>
      <c r="C70" s="582">
        <f>C64-(C65+C66+C67+C68+C69)</f>
        <v>164019.04726645764</v>
      </c>
      <c r="D70" s="428">
        <f t="shared" ref="D70:N70" si="14">D64-(D65+D66+D67+D68+D69)</f>
        <v>194656.01305346153</v>
      </c>
      <c r="E70" s="428">
        <f t="shared" si="14"/>
        <v>41642.526679599541</v>
      </c>
      <c r="F70" s="428">
        <f t="shared" si="14"/>
        <v>79894.690468240238</v>
      </c>
      <c r="G70" s="428">
        <f t="shared" si="14"/>
        <v>72904.688415357406</v>
      </c>
      <c r="H70" s="428">
        <f t="shared" si="14"/>
        <v>64338.999261799225</v>
      </c>
      <c r="I70" s="428">
        <f t="shared" si="14"/>
        <v>42144.494722985459</v>
      </c>
      <c r="J70" s="428">
        <f t="shared" si="14"/>
        <v>72131.431368523423</v>
      </c>
      <c r="K70" s="428">
        <f t="shared" si="14"/>
        <v>85486.623461271723</v>
      </c>
      <c r="L70" s="428">
        <f t="shared" si="14"/>
        <v>-8203.0180143625767</v>
      </c>
      <c r="M70" s="428">
        <f t="shared" si="14"/>
        <v>104115.70983898439</v>
      </c>
      <c r="N70" s="428">
        <f t="shared" si="14"/>
        <v>-65131.206522317836</v>
      </c>
      <c r="O70" s="434">
        <f t="shared" si="13"/>
        <v>848000.00000000023</v>
      </c>
      <c r="P70" s="413"/>
      <c r="Q70" s="415"/>
      <c r="R70" s="813"/>
    </row>
    <row r="71" spans="2:18" x14ac:dyDescent="0.35">
      <c r="B71" s="410" t="s">
        <v>225</v>
      </c>
      <c r="C71" s="222">
        <v>0.10894933153564769</v>
      </c>
      <c r="D71" s="222">
        <v>8.9483617664843598E-2</v>
      </c>
      <c r="E71" s="222">
        <v>9.4086536149183844E-2</v>
      </c>
      <c r="F71" s="222">
        <v>7.8955056407693583E-2</v>
      </c>
      <c r="G71" s="222">
        <v>6.4532912384581559E-2</v>
      </c>
      <c r="H71" s="222">
        <v>6.5497541218157471E-2</v>
      </c>
      <c r="I71" s="222">
        <v>9.3075086911465599E-2</v>
      </c>
      <c r="J71" s="222">
        <v>7.0735592548256301E-2</v>
      </c>
      <c r="K71" s="222">
        <v>8.5762321050196266E-2</v>
      </c>
      <c r="L71" s="222">
        <v>6.6403924328576017E-2</v>
      </c>
      <c r="M71" s="222">
        <v>8.7140057079532124E-2</v>
      </c>
      <c r="N71" s="222">
        <v>9.5378022721865963E-2</v>
      </c>
      <c r="O71" s="223"/>
      <c r="R71" s="143"/>
    </row>
    <row r="72" spans="2:18" x14ac:dyDescent="0.35">
      <c r="B72" s="411" t="s">
        <v>226</v>
      </c>
      <c r="C72" s="225">
        <v>7.4378861398471843E-2</v>
      </c>
      <c r="D72" s="225">
        <v>3.2160304308823252E-2</v>
      </c>
      <c r="E72" s="225">
        <v>0.11249525042278825</v>
      </c>
      <c r="F72" s="225">
        <v>7.2709495290649157E-2</v>
      </c>
      <c r="G72" s="225">
        <v>5.5758405283600751E-2</v>
      </c>
      <c r="H72" s="225">
        <v>6.1251844157924992E-2</v>
      </c>
      <c r="I72" s="225">
        <v>0.11082758641819213</v>
      </c>
      <c r="J72" s="225">
        <v>6.4872827641112449E-2</v>
      </c>
      <c r="K72" s="225">
        <v>7.9603935330743905E-2</v>
      </c>
      <c r="L72" s="225">
        <v>9.7539805527897955E-2</v>
      </c>
      <c r="M72" s="225">
        <v>7.2554660633807638E-2</v>
      </c>
      <c r="N72" s="225">
        <v>0.16584702358598769</v>
      </c>
      <c r="O72" s="226"/>
      <c r="R72" s="143"/>
    </row>
    <row r="73" spans="2:18" ht="15" thickBot="1" x14ac:dyDescent="0.4">
      <c r="B73" s="411" t="s">
        <v>275</v>
      </c>
      <c r="C73" s="225">
        <v>7.4378861398471843E-2</v>
      </c>
      <c r="D73" s="225">
        <v>3.2160304308823252E-2</v>
      </c>
      <c r="E73" s="225">
        <v>0.11249525042278825</v>
      </c>
      <c r="F73" s="225">
        <v>7.2709495290649157E-2</v>
      </c>
      <c r="G73" s="225">
        <v>5.5758405283600751E-2</v>
      </c>
      <c r="H73" s="225">
        <v>6.1251844157924992E-2</v>
      </c>
      <c r="I73" s="225">
        <v>0.11082758641819213</v>
      </c>
      <c r="J73" s="225">
        <v>6.4872827641112449E-2</v>
      </c>
      <c r="K73" s="225">
        <v>7.9603935330743905E-2</v>
      </c>
      <c r="L73" s="225">
        <v>9.7539805527897955E-2</v>
      </c>
      <c r="M73" s="225">
        <v>7.2554660633807638E-2</v>
      </c>
      <c r="N73" s="225">
        <v>0.16584702358598769</v>
      </c>
      <c r="R73" s="143"/>
    </row>
    <row r="74" spans="2:18" x14ac:dyDescent="0.35">
      <c r="B74" s="575" t="s">
        <v>232</v>
      </c>
      <c r="C74" s="579" t="s">
        <v>185</v>
      </c>
      <c r="D74" s="429" t="s">
        <v>186</v>
      </c>
      <c r="E74" s="429" t="s">
        <v>187</v>
      </c>
      <c r="F74" s="429" t="s">
        <v>188</v>
      </c>
      <c r="G74" s="429" t="s">
        <v>189</v>
      </c>
      <c r="H74" s="429" t="s">
        <v>190</v>
      </c>
      <c r="I74" s="429" t="s">
        <v>191</v>
      </c>
      <c r="J74" s="430" t="s">
        <v>192</v>
      </c>
      <c r="K74" s="429" t="s">
        <v>193</v>
      </c>
      <c r="L74" s="429" t="s">
        <v>194</v>
      </c>
      <c r="M74" s="429" t="s">
        <v>195</v>
      </c>
      <c r="N74" s="429" t="s">
        <v>196</v>
      </c>
      <c r="O74" s="431" t="s">
        <v>298</v>
      </c>
      <c r="P74" s="413"/>
      <c r="Q74" s="414" t="s">
        <v>293</v>
      </c>
      <c r="R74" s="143"/>
    </row>
    <row r="75" spans="2:18" x14ac:dyDescent="0.35">
      <c r="B75" s="576" t="s">
        <v>219</v>
      </c>
      <c r="C75" s="580">
        <f>+'A) Resumen Ingresos y Egresos'!$D$15*'J)Estructura Económica Mensual'!C82</f>
        <v>0</v>
      </c>
      <c r="D75" s="573">
        <f>+'A) Resumen Ingresos y Egresos'!$D$15*'J)Estructura Económica Mensual'!D82</f>
        <v>0</v>
      </c>
      <c r="E75" s="573">
        <f>+'A) Resumen Ingresos y Egresos'!$D$15*'J)Estructura Económica Mensual'!E82</f>
        <v>0</v>
      </c>
      <c r="F75" s="573">
        <f>+'A) Resumen Ingresos y Egresos'!$D$15*'J)Estructura Económica Mensual'!F82</f>
        <v>0</v>
      </c>
      <c r="G75" s="573">
        <f>+'A) Resumen Ingresos y Egresos'!$D$15*'J)Estructura Económica Mensual'!G82</f>
        <v>0</v>
      </c>
      <c r="H75" s="573">
        <f>+'A) Resumen Ingresos y Egresos'!$D$15*'J)Estructura Económica Mensual'!H82</f>
        <v>0</v>
      </c>
      <c r="I75" s="573">
        <f>+'A) Resumen Ingresos y Egresos'!$D$15*'J)Estructura Económica Mensual'!I82</f>
        <v>0</v>
      </c>
      <c r="J75" s="573">
        <f>+'A) Resumen Ingresos y Egresos'!$D$15*'J)Estructura Económica Mensual'!J82</f>
        <v>0</v>
      </c>
      <c r="K75" s="573">
        <f>+'A) Resumen Ingresos y Egresos'!$D$15*'J)Estructura Económica Mensual'!K82</f>
        <v>0</v>
      </c>
      <c r="L75" s="573">
        <f>+'A) Resumen Ingresos y Egresos'!$D$15*'J)Estructura Económica Mensual'!L82</f>
        <v>0</v>
      </c>
      <c r="M75" s="573">
        <f>+'A) Resumen Ingresos y Egresos'!$D$15*'J)Estructura Económica Mensual'!M82</f>
        <v>0</v>
      </c>
      <c r="N75" s="573">
        <f>+'A) Resumen Ingresos y Egresos'!$D$15*'J)Estructura Económica Mensual'!N82</f>
        <v>0</v>
      </c>
      <c r="O75" s="433">
        <f>SUM(C75:N75)</f>
        <v>0</v>
      </c>
      <c r="P75" s="413">
        <f>IF(Q75=12,C75+D75+E75+F75+G75+H75+I75+J75+K75+L75+M75+N75,IF(Q75=11,C75+D75+E75+F75+G75+H75+I75+J75+K75+L75+M75,IF(Q75=10,C75+D75+E75+F75+G75+H75+I75+J75+K75+L75,IF(Q75=9,C75+D75+E75+F75+G75+H75+I75+J75+K75,IF(Q75=8,C75+D75+E75+F75+G75+H75+I75+J75,IF(Q75=7,C75+D75+E75+F75+G75+H75+I75,IF(Q75=6,C75+D75+E75+F75+G75+H75,IF(Q75=5,C75+D75+E75+F75+G75,0))))))))</f>
        <v>0</v>
      </c>
      <c r="Q75" s="415">
        <f>COUNTA(#REF!,#REF!,#REF!,#REF!,#REF!,#REF!,#REF!,#REF!,#REF!,#REF!,#REF!,#REF!)</f>
        <v>12</v>
      </c>
      <c r="R75" s="143"/>
    </row>
    <row r="76" spans="2:18" x14ac:dyDescent="0.35">
      <c r="B76" s="576" t="s">
        <v>220</v>
      </c>
      <c r="C76" s="580">
        <f>SUM('F) Remuneraciones'!$I$137:$I$150)/12</f>
        <v>0</v>
      </c>
      <c r="D76" s="573">
        <f>SUM('F) Remuneraciones'!$I$137:$I$150)/12</f>
        <v>0</v>
      </c>
      <c r="E76" s="573">
        <f>SUM('F) Remuneraciones'!$I$137:$I$150)/12</f>
        <v>0</v>
      </c>
      <c r="F76" s="573">
        <f>SUM('F) Remuneraciones'!$I$137:$I$150)/12</f>
        <v>0</v>
      </c>
      <c r="G76" s="573">
        <f>SUM('F) Remuneraciones'!$I$137:$I$150)/12</f>
        <v>0</v>
      </c>
      <c r="H76" s="573">
        <f>SUM('F) Remuneraciones'!$I$137:$I$150)/12</f>
        <v>0</v>
      </c>
      <c r="I76" s="573">
        <f>SUM('F) Remuneraciones'!$I$137:$I$150)/12</f>
        <v>0</v>
      </c>
      <c r="J76" s="573">
        <f>SUM('F) Remuneraciones'!$I$137:$I$150)/12</f>
        <v>0</v>
      </c>
      <c r="K76" s="573">
        <f>SUM('F) Remuneraciones'!$I$137:$I$150)/12</f>
        <v>0</v>
      </c>
      <c r="L76" s="573">
        <f>SUM('F) Remuneraciones'!$I$137:$I$150)/12</f>
        <v>0</v>
      </c>
      <c r="M76" s="573">
        <f>SUM('F) Remuneraciones'!$I$137:$I$150)/12</f>
        <v>0</v>
      </c>
      <c r="N76" s="573">
        <f>SUM('F) Remuneraciones'!$I$137:$I$150)/12</f>
        <v>0</v>
      </c>
      <c r="O76" s="433">
        <f t="shared" ref="O76:O81" si="15">SUM(C76:N76)</f>
        <v>0</v>
      </c>
      <c r="P76" s="426">
        <f>IF(Q76=12,C76+D76+E76+F76+G76+H76+I76+J76+K76+L76+M76+N76,IF(Q76=11,C76+D76+E76+F76+G76+H76+I76+J76+K76+L76+M76,IF(Q76=10,C76+D76+E76+F76+G76+H76+I76+J76+K76+L76,IF(Q76=9,C76+D76+E76+F76+G76+H76+I76+J76+K76,IF(Q76=8,C76+D76+E76+F76+G76+H76+I76+J76,IF(Q76=7,C76+D76+E76+F76+G76+H76+I76,IF(Q76=6,C76+D76+E76+F76+G76+H76,IF(Q76=5,C76+D76+E76+F76+G76,0))))))))</f>
        <v>0</v>
      </c>
      <c r="Q76" s="1550">
        <f>COUNTA(#REF!,#REF!,#REF!,#REF!,#REF!,#REF!,#REF!,#REF!,#REF!,#REF!,#REF!,#REF!)</f>
        <v>12</v>
      </c>
      <c r="R76" s="143"/>
    </row>
    <row r="77" spans="2:18" x14ac:dyDescent="0.35">
      <c r="B77" s="576" t="s">
        <v>221</v>
      </c>
      <c r="C77" s="580">
        <f>SUM('F) Remuneraciones'!$I$151:$I$164)/12</f>
        <v>0</v>
      </c>
      <c r="D77" s="573">
        <f>C77</f>
        <v>0</v>
      </c>
      <c r="E77" s="573">
        <f>SUM('F) Remuneraciones'!$I$151:$I$164)/4</f>
        <v>0</v>
      </c>
      <c r="F77" s="573">
        <f t="shared" ref="F77:N77" si="16">E77</f>
        <v>0</v>
      </c>
      <c r="G77" s="573">
        <f t="shared" si="16"/>
        <v>0</v>
      </c>
      <c r="H77" s="573">
        <f t="shared" si="16"/>
        <v>0</v>
      </c>
      <c r="I77" s="573">
        <f t="shared" si="16"/>
        <v>0</v>
      </c>
      <c r="J77" s="573">
        <f t="shared" si="16"/>
        <v>0</v>
      </c>
      <c r="K77" s="573">
        <f t="shared" si="16"/>
        <v>0</v>
      </c>
      <c r="L77" s="573">
        <f t="shared" si="16"/>
        <v>0</v>
      </c>
      <c r="M77" s="573">
        <f t="shared" si="16"/>
        <v>0</v>
      </c>
      <c r="N77" s="573">
        <f t="shared" si="16"/>
        <v>0</v>
      </c>
      <c r="O77" s="433">
        <f t="shared" si="15"/>
        <v>0</v>
      </c>
      <c r="P77" s="426">
        <f>IF(Q76=12,C77+D77+E77+F77+G77+H77+I77+J77+K77+L77+M77+N77,IF(Q76=11,C77+D77+E77+F77+G77+H77+I77+J77+K77+L77+M77,IF(Q76=10,C77+D77+E77+F77+G77+H77+I77+J77+K77+L77,IF(Q76=9,C77+D77+E77+F77+G77+H77+I77+J77+K77,IF(Q76=8,C77+D77+E77+F77+G77+H77+I77+J77,IF(Q76=7,C77+D77+E77+F77+G77+H77+I77,IF(Q76=6,C77+D77+E77+F77+G77+H77,IF(Q76=5,C77+D77+E77+F77+G77,0))))))))</f>
        <v>0</v>
      </c>
      <c r="Q77" s="1550"/>
      <c r="R77" s="143"/>
    </row>
    <row r="78" spans="2:18" x14ac:dyDescent="0.35">
      <c r="B78" s="576" t="s">
        <v>222</v>
      </c>
      <c r="C78" s="580">
        <f>SUM('F) Remuneraciones'!J137:J164)*0.5</f>
        <v>0</v>
      </c>
      <c r="D78" s="573">
        <v>0</v>
      </c>
      <c r="E78" s="573">
        <v>0</v>
      </c>
      <c r="F78" s="573">
        <v>0</v>
      </c>
      <c r="G78" s="573">
        <v>0</v>
      </c>
      <c r="H78" s="573">
        <v>0</v>
      </c>
      <c r="I78" s="573">
        <v>0</v>
      </c>
      <c r="J78" s="573">
        <v>0</v>
      </c>
      <c r="K78" s="573">
        <f>SUM('F) Remuneraciones'!K137:K164)*0.5</f>
        <v>0</v>
      </c>
      <c r="L78" s="573">
        <v>0</v>
      </c>
      <c r="M78" s="573">
        <v>0</v>
      </c>
      <c r="N78" s="573">
        <f>+C78+K78</f>
        <v>0</v>
      </c>
      <c r="O78" s="433">
        <f t="shared" si="15"/>
        <v>0</v>
      </c>
      <c r="P78" s="413">
        <f>IF(Q78=12,C78+D78+E78+F78+G78+H78+I78+J78+K78+L78+M78+N78,IF(Q78=11,C78+D78+E78+F78+G78+H78+I78+J78+K78+L78+M78,IF(Q78=10,C78+D78+E78+F78+G78+H78+I78+J78+K78+L78,IF(Q78=9,C78+D78+E78+F78+G78+H78+I78+J78+K78,IF(Q78=8,C78+D78+E78+F78+G78+H78+I78+J78,IF(Q78=7,C78+D78+E78+F78+G78+H78+I78,IF(Q78=6,C78+D78+E78+F78+G78+H78,IF(Q78=5,C78+D78+E78+F78+G78,0))))))))</f>
        <v>0</v>
      </c>
      <c r="Q78" s="415">
        <f>COUNTA(#REF!,#REF!,#REF!,#REF!,#REF!,#REF!,#REF!,#REF!,#REF!,#REF!,#REF!,#REF!)</f>
        <v>12</v>
      </c>
      <c r="R78" s="143"/>
    </row>
    <row r="79" spans="2:18" x14ac:dyDescent="0.35">
      <c r="B79" s="576" t="s">
        <v>223</v>
      </c>
      <c r="C79" s="580">
        <f>'C) Estimación Costos Directos'!$H$443*C83</f>
        <v>0</v>
      </c>
      <c r="D79" s="573">
        <f>'C) Estimación Costos Directos'!$H$443*D83</f>
        <v>0</v>
      </c>
      <c r="E79" s="573">
        <f>'C) Estimación Costos Directos'!$H$443*E83</f>
        <v>0</v>
      </c>
      <c r="F79" s="573">
        <f>'C) Estimación Costos Directos'!$H$443*F83</f>
        <v>0</v>
      </c>
      <c r="G79" s="573">
        <f>'C) Estimación Costos Directos'!$H$443*G83</f>
        <v>0</v>
      </c>
      <c r="H79" s="573">
        <f>'C) Estimación Costos Directos'!$H$443*H83</f>
        <v>0</v>
      </c>
      <c r="I79" s="573">
        <f>'C) Estimación Costos Directos'!$H$443*I83</f>
        <v>0</v>
      </c>
      <c r="J79" s="573">
        <f>'C) Estimación Costos Directos'!$H$443*J83</f>
        <v>0</v>
      </c>
      <c r="K79" s="573">
        <f>'C) Estimación Costos Directos'!$H$443*K83</f>
        <v>0</v>
      </c>
      <c r="L79" s="573">
        <f>'C) Estimación Costos Directos'!$H$443*L83</f>
        <v>0</v>
      </c>
      <c r="M79" s="573">
        <f>'C) Estimación Costos Directos'!$H$443*M83</f>
        <v>0</v>
      </c>
      <c r="N79" s="573">
        <f>'C) Estimación Costos Directos'!$H$443*N83</f>
        <v>0</v>
      </c>
      <c r="O79" s="433">
        <f t="shared" si="15"/>
        <v>0</v>
      </c>
      <c r="P79" s="413">
        <f>IF(Q79=12,C79+D79+E79+F79+G79+H79+I79+J79+K79+L79+M79+N79,IF(Q79=11,C79+D79+E79+F79+G79+H79+I79+J79+K79+L79+M79,IF(Q79=10,C79+D79+E79+F79+G79+H79+I79+J79+K79+L79,IF(Q79=9,C79+D79+E79+F79+G79+H79+I79+J79+K79,IF(Q79=8,C79+D79+E79+F79+G79+H79+I79+J79,IF(Q79=7,C79+D79+E79+F79+G79+H79+I79,IF(Q79=6,C79+D79+E79+F79+G79+H79,IF(Q79=5,C79+D79+E79+F79+G79,0))))))))</f>
        <v>0</v>
      </c>
      <c r="Q79" s="415">
        <f>COUNTA(#REF!,#REF!,#REF!,#REF!,#REF!,#REF!,#REF!,#REF!,#REF!,#REF!,#REF!,#REF!)</f>
        <v>12</v>
      </c>
      <c r="R79" s="143"/>
    </row>
    <row r="80" spans="2:18" ht="15" thickBot="1" x14ac:dyDescent="0.4">
      <c r="B80" s="577" t="s">
        <v>275</v>
      </c>
      <c r="C80" s="581">
        <f>'C) Estimación Costos Directos'!$H$471*C84</f>
        <v>0</v>
      </c>
      <c r="D80" s="574">
        <f>'C) Estimación Costos Directos'!$H$471*D84</f>
        <v>0</v>
      </c>
      <c r="E80" s="574">
        <f>'C) Estimación Costos Directos'!$H$471*E84</f>
        <v>0</v>
      </c>
      <c r="F80" s="574">
        <f>'C) Estimación Costos Directos'!$H$471*F84</f>
        <v>0</v>
      </c>
      <c r="G80" s="574">
        <f>'C) Estimación Costos Directos'!$H$471*G84</f>
        <v>0</v>
      </c>
      <c r="H80" s="574">
        <f>'C) Estimación Costos Directos'!$H$471*H84</f>
        <v>0</v>
      </c>
      <c r="I80" s="574">
        <f>'C) Estimación Costos Directos'!$H$471*I84</f>
        <v>0</v>
      </c>
      <c r="J80" s="574">
        <f>'C) Estimación Costos Directos'!$H$471*J84</f>
        <v>0</v>
      </c>
      <c r="K80" s="574">
        <f>'C) Estimación Costos Directos'!$H$471*K84</f>
        <v>0</v>
      </c>
      <c r="L80" s="574">
        <f>'C) Estimación Costos Directos'!$H$471*L84</f>
        <v>0</v>
      </c>
      <c r="M80" s="574">
        <f>'C) Estimación Costos Directos'!$H$471*M84</f>
        <v>0</v>
      </c>
      <c r="N80" s="574">
        <f>'C) Estimación Costos Directos'!$H$471*N84</f>
        <v>0</v>
      </c>
      <c r="O80" s="436">
        <f t="shared" si="15"/>
        <v>0</v>
      </c>
      <c r="P80" s="413">
        <f>IF(Q80=12,C80+D80+E80+F80+G80+H80+I80+J80+K80+L80+M80+N80,IF(Q80=11,C80+D80+E80+F80+G80+H80+I80+J80+K80+L80+M80,IF(Q80=10,C80+D80+E80+F80+G80+H80+I80+J80+K80+L80,IF(Q80=9,C80+D80+E80+F80+G80+H80+I80+J80+K80,IF(Q80=8,C80+D80+E80+F80+G80+H80+I80+J80,IF(Q80=7,C80+D80+E80+F80+G80+H80+I80,IF(Q80=6,C80+D80+E80+F80+G80+H80,IF(Q80=5,C80+D80+E80+F80+G80,0))))))))</f>
        <v>0</v>
      </c>
      <c r="Q80" s="415">
        <f>COUNTA(#REF!,#REF!,#REF!,#REF!,#REF!,#REF!,#REF!,#REF!,#REF!,#REF!,#REF!,#REF!)</f>
        <v>12</v>
      </c>
      <c r="R80" s="143"/>
    </row>
    <row r="81" spans="2:18" ht="15" thickBot="1" x14ac:dyDescent="0.4">
      <c r="B81" s="578" t="s">
        <v>224</v>
      </c>
      <c r="C81" s="582">
        <f>C75-(C76+C77+C78+C79+C80)</f>
        <v>0</v>
      </c>
      <c r="D81" s="428">
        <f t="shared" ref="D81:N81" si="17">D75-(D76+D77+D78+D79+D80)</f>
        <v>0</v>
      </c>
      <c r="E81" s="428">
        <f t="shared" si="17"/>
        <v>0</v>
      </c>
      <c r="F81" s="428">
        <f t="shared" si="17"/>
        <v>0</v>
      </c>
      <c r="G81" s="428">
        <f t="shared" si="17"/>
        <v>0</v>
      </c>
      <c r="H81" s="428">
        <f t="shared" si="17"/>
        <v>0</v>
      </c>
      <c r="I81" s="428">
        <f t="shared" si="17"/>
        <v>0</v>
      </c>
      <c r="J81" s="428">
        <f t="shared" si="17"/>
        <v>0</v>
      </c>
      <c r="K81" s="428">
        <f t="shared" si="17"/>
        <v>0</v>
      </c>
      <c r="L81" s="428">
        <f t="shared" si="17"/>
        <v>0</v>
      </c>
      <c r="M81" s="428">
        <f t="shared" si="17"/>
        <v>0</v>
      </c>
      <c r="N81" s="428">
        <f t="shared" si="17"/>
        <v>0</v>
      </c>
      <c r="O81" s="220">
        <f t="shared" si="15"/>
        <v>0</v>
      </c>
      <c r="P81" s="413"/>
      <c r="Q81" s="415"/>
      <c r="R81" s="143"/>
    </row>
    <row r="82" spans="2:18" x14ac:dyDescent="0.35">
      <c r="B82" s="410" t="s">
        <v>225</v>
      </c>
      <c r="C82" s="222">
        <v>0.10979586510112167</v>
      </c>
      <c r="D82" s="222">
        <v>9.4014737450933042E-2</v>
      </c>
      <c r="E82" s="222">
        <v>8.3457100216198399E-2</v>
      </c>
      <c r="F82" s="222">
        <v>6.9495710427385268E-2</v>
      </c>
      <c r="G82" s="222">
        <v>5.6754928779571612E-2</v>
      </c>
      <c r="H82" s="222">
        <v>7.3434264344623232E-2</v>
      </c>
      <c r="I82" s="222">
        <v>0.10383953198383421</v>
      </c>
      <c r="J82" s="222">
        <v>8.3781409183136549E-2</v>
      </c>
      <c r="K82" s="222">
        <v>7.9859136445716808E-2</v>
      </c>
      <c r="L82" s="222">
        <v>6.8952793755651803E-2</v>
      </c>
      <c r="M82" s="222">
        <v>8.5223317491121761E-2</v>
      </c>
      <c r="N82" s="222">
        <v>9.139120482070566E-2</v>
      </c>
      <c r="O82" s="223"/>
    </row>
    <row r="83" spans="2:18" x14ac:dyDescent="0.35">
      <c r="B83" s="411" t="s">
        <v>226</v>
      </c>
      <c r="C83" s="227">
        <v>8.8306666385789268E-2</v>
      </c>
      <c r="D83" s="227">
        <v>7.4690785602839385E-2</v>
      </c>
      <c r="E83" s="227">
        <v>8.9143235634440474E-2</v>
      </c>
      <c r="F83" s="227">
        <v>0.10020508964118277</v>
      </c>
      <c r="G83" s="227">
        <v>7.7963784029180944E-2</v>
      </c>
      <c r="H83" s="227">
        <v>7.6993092650882403E-2</v>
      </c>
      <c r="I83" s="227">
        <v>7.7467429911379532E-2</v>
      </c>
      <c r="J83" s="227">
        <v>7.7836961224795401E-2</v>
      </c>
      <c r="K83" s="227">
        <v>8.3676492763135088E-2</v>
      </c>
      <c r="L83" s="227">
        <v>7.7842524879880928E-2</v>
      </c>
      <c r="M83" s="227">
        <v>7.756529317775579E-2</v>
      </c>
      <c r="N83" s="227">
        <v>9.8308644098738046E-2</v>
      </c>
      <c r="O83" s="226"/>
    </row>
    <row r="84" spans="2:18" x14ac:dyDescent="0.35">
      <c r="B84" s="411" t="s">
        <v>275</v>
      </c>
      <c r="C84" s="227">
        <v>8.8306666385789268E-2</v>
      </c>
      <c r="D84" s="227">
        <v>7.4690785602839385E-2</v>
      </c>
      <c r="E84" s="227">
        <v>8.9143235634440474E-2</v>
      </c>
      <c r="F84" s="227">
        <v>0.10020508964118277</v>
      </c>
      <c r="G84" s="227">
        <v>7.7963784029180944E-2</v>
      </c>
      <c r="H84" s="227">
        <v>7.6993092650882403E-2</v>
      </c>
      <c r="I84" s="227">
        <v>7.7467429911379532E-2</v>
      </c>
      <c r="J84" s="227">
        <v>7.7836961224795401E-2</v>
      </c>
      <c r="K84" s="227">
        <v>8.3676492763135088E-2</v>
      </c>
      <c r="L84" s="227">
        <v>7.7842524879880928E-2</v>
      </c>
      <c r="M84" s="227">
        <v>7.756529317775579E-2</v>
      </c>
      <c r="N84" s="227">
        <v>9.8308644098738046E-2</v>
      </c>
    </row>
  </sheetData>
  <sheetProtection algorithmName="SHA-512" hashValue="iXr1k0eHLO1puYxIf9wyA+bhXRVj5CmOsFygQY4iCGGgamWnVxANoj5RrISN/v2Edzyk5fVdbeIR8yVW654WGA==" saltValue="GvyqW1BAaFNYA0sUdK2l+A==" spinCount="100000" sheet="1" formatCells="0" formatColumns="0"/>
  <mergeCells count="10">
    <mergeCell ref="E4:F4"/>
    <mergeCell ref="B6:K6"/>
    <mergeCell ref="C4:D4"/>
    <mergeCell ref="Q65:Q66"/>
    <mergeCell ref="Q76:Q77"/>
    <mergeCell ref="Q10:Q11"/>
    <mergeCell ref="Q21:Q22"/>
    <mergeCell ref="Q32:Q33"/>
    <mergeCell ref="Q43:Q44"/>
    <mergeCell ref="Q54:Q55"/>
  </mergeCells>
  <conditionalFormatting sqref="C9:O15">
    <cfRule type="cellIs" dxfId="11" priority="14" operator="lessThan">
      <formula>0</formula>
    </cfRule>
  </conditionalFormatting>
  <conditionalFormatting sqref="C15:O15">
    <cfRule type="cellIs" dxfId="10" priority="8" operator="greaterThan">
      <formula>0</formula>
    </cfRule>
  </conditionalFormatting>
  <conditionalFormatting sqref="C20:O26">
    <cfRule type="cellIs" dxfId="9" priority="2" operator="lessThan">
      <formula>0</formula>
    </cfRule>
  </conditionalFormatting>
  <conditionalFormatting sqref="C26:O26">
    <cfRule type="cellIs" dxfId="8" priority="1" operator="greaterThan">
      <formula>0</formula>
    </cfRule>
  </conditionalFormatting>
  <conditionalFormatting sqref="C31:O37">
    <cfRule type="cellIs" dxfId="7" priority="12" operator="lessThan">
      <formula>0</formula>
    </cfRule>
  </conditionalFormatting>
  <conditionalFormatting sqref="C37:O37">
    <cfRule type="cellIs" dxfId="6" priority="6" operator="greaterThan">
      <formula>0</formula>
    </cfRule>
  </conditionalFormatting>
  <conditionalFormatting sqref="C42:O48">
    <cfRule type="cellIs" dxfId="5" priority="11" operator="lessThan">
      <formula>0</formula>
    </cfRule>
  </conditionalFormatting>
  <conditionalFormatting sqref="C48:O48">
    <cfRule type="cellIs" dxfId="4" priority="5" operator="greaterThan">
      <formula>0</formula>
    </cfRule>
  </conditionalFormatting>
  <conditionalFormatting sqref="C53:O59">
    <cfRule type="cellIs" dxfId="3" priority="10" operator="lessThan">
      <formula>0</formula>
    </cfRule>
  </conditionalFormatting>
  <conditionalFormatting sqref="C59:O59">
    <cfRule type="cellIs" dxfId="2" priority="4" operator="greaterThan">
      <formula>0</formula>
    </cfRule>
  </conditionalFormatting>
  <conditionalFormatting sqref="C64:O70">
    <cfRule type="cellIs" dxfId="1" priority="9" operator="lessThan">
      <formula>0</formula>
    </cfRule>
  </conditionalFormatting>
  <conditionalFormatting sqref="C70:O70">
    <cfRule type="cellIs" dxfId="0" priority="3" operator="greaterThan">
      <formula>0</formula>
    </cfRule>
  </conditionalFormatting>
  <hyperlinks>
    <hyperlink ref="B6:K6" location="'Índice Tablas'!A1" display="TABLA N°13:  INGRESO POR ARRIENDOS " xr:uid="{00000000-0004-0000-0900-000000000000}"/>
  </hyperlinks>
  <pageMargins left="0.7" right="0.7" top="0.75" bottom="0.75" header="0.3" footer="0.3"/>
  <pageSetup orientation="portrait" r:id="rId1"/>
  <ignoredErrors>
    <ignoredError sqref="L45 M78 C78 D78 D67 D56 D45 D34 D23 D12 E78 E67 E56 E45 E34 E23 E12 F78 F67 F56 F34 F23 F12 G78 G67 G45 G23 H78 H67 H56 H45 H34 H23 H12 I78 I67 I56 I45 I34 I23 I12 J78 J67 J56 J45 J34 J23 J12 K78 L78" formulaRange="1"/>
    <ignoredError sqref="E77"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A60"/>
  <sheetViews>
    <sheetView showGridLines="0" zoomScale="75" zoomScaleNormal="75" workbookViewId="0">
      <selection activeCell="C52" sqref="C52"/>
    </sheetView>
  </sheetViews>
  <sheetFormatPr baseColWidth="10" defaultRowHeight="14.5" x14ac:dyDescent="0.35"/>
  <cols>
    <col min="2" max="2" width="65.81640625" bestFit="1" customWidth="1"/>
    <col min="3" max="6" width="14.26953125" bestFit="1" customWidth="1"/>
    <col min="7" max="7" width="13.81640625" bestFit="1" customWidth="1"/>
    <col min="8" max="13" width="14.26953125" bestFit="1" customWidth="1"/>
    <col min="14" max="14" width="11.453125" bestFit="1" customWidth="1"/>
    <col min="15" max="15" width="14.26953125" bestFit="1" customWidth="1"/>
    <col min="16" max="16" width="11" bestFit="1" customWidth="1"/>
    <col min="17" max="17" width="14.26953125" bestFit="1" customWidth="1"/>
    <col min="18" max="18" width="13.26953125" bestFit="1" customWidth="1"/>
    <col min="19" max="19" width="14.26953125" bestFit="1" customWidth="1"/>
    <col min="20" max="20" width="16.7265625" bestFit="1" customWidth="1"/>
    <col min="21" max="21" width="14.26953125" bestFit="1" customWidth="1"/>
    <col min="22" max="22" width="14" bestFit="1" customWidth="1"/>
    <col min="23" max="23" width="14.26953125" bestFit="1" customWidth="1"/>
    <col min="24" max="24" width="16.7265625" bestFit="1" customWidth="1"/>
    <col min="25" max="25" width="14.26953125" bestFit="1" customWidth="1"/>
    <col min="26" max="26" width="15.7265625" bestFit="1" customWidth="1"/>
    <col min="27" max="27" width="15.453125" bestFit="1" customWidth="1"/>
  </cols>
  <sheetData>
    <row r="2" spans="2:27" ht="15" thickBot="1" x14ac:dyDescent="0.4"/>
    <row r="3" spans="2:27" ht="29.5" thickBot="1" x14ac:dyDescent="0.4">
      <c r="B3" s="206" t="s">
        <v>217</v>
      </c>
      <c r="C3" s="240" t="s">
        <v>185</v>
      </c>
      <c r="D3" s="241" t="s">
        <v>233</v>
      </c>
      <c r="E3" s="242" t="s">
        <v>186</v>
      </c>
      <c r="F3" s="241" t="s">
        <v>234</v>
      </c>
      <c r="G3" s="242" t="s">
        <v>187</v>
      </c>
      <c r="H3" s="241" t="s">
        <v>235</v>
      </c>
      <c r="I3" s="242" t="s">
        <v>188</v>
      </c>
      <c r="J3" s="241" t="s">
        <v>236</v>
      </c>
      <c r="K3" s="242" t="s">
        <v>189</v>
      </c>
      <c r="L3" s="241" t="s">
        <v>237</v>
      </c>
      <c r="M3" s="242" t="s">
        <v>190</v>
      </c>
      <c r="N3" s="241" t="s">
        <v>238</v>
      </c>
      <c r="O3" s="242" t="s">
        <v>191</v>
      </c>
      <c r="P3" s="241" t="s">
        <v>239</v>
      </c>
      <c r="Q3" s="242" t="s">
        <v>192</v>
      </c>
      <c r="R3" s="241" t="s">
        <v>240</v>
      </c>
      <c r="S3" s="242" t="s">
        <v>193</v>
      </c>
      <c r="T3" s="241" t="s">
        <v>241</v>
      </c>
      <c r="U3" s="242" t="s">
        <v>194</v>
      </c>
      <c r="V3" s="241" t="s">
        <v>242</v>
      </c>
      <c r="W3" s="242" t="s">
        <v>195</v>
      </c>
      <c r="X3" s="241" t="s">
        <v>243</v>
      </c>
      <c r="Y3" s="242" t="s">
        <v>196</v>
      </c>
      <c r="Z3" s="243" t="s">
        <v>244</v>
      </c>
      <c r="AA3" s="207" t="s">
        <v>218</v>
      </c>
    </row>
    <row r="4" spans="2:27" x14ac:dyDescent="0.35">
      <c r="B4" s="208" t="s">
        <v>219</v>
      </c>
      <c r="C4" s="209">
        <f>+'A) Resumen Ingresos y Egresos'!$D$9*'J)Estructura Económica Mensual'!C16</f>
        <v>26594934.940378282</v>
      </c>
      <c r="D4" s="209">
        <v>0</v>
      </c>
      <c r="E4" s="209">
        <f>+'A) Resumen Ingresos y Egresos'!$D$9*'J)Estructura Económica Mensual'!D16</f>
        <v>21843282.161373682</v>
      </c>
      <c r="F4" s="209">
        <v>0</v>
      </c>
      <c r="G4" s="209">
        <f>+'A) Resumen Ingresos y Egresos'!$D$9*'J)Estructura Económica Mensual'!E16</f>
        <v>22966871.594199527</v>
      </c>
      <c r="H4" s="209">
        <v>0</v>
      </c>
      <c r="I4" s="209">
        <f>+'A) Resumen Ingresos y Egresos'!$D$9*'J)Estructura Económica Mensual'!F16</f>
        <v>19273221.402826712</v>
      </c>
      <c r="J4" s="209">
        <v>0</v>
      </c>
      <c r="K4" s="209">
        <f>+'A) Resumen Ingresos y Egresos'!$D$9*'J)Estructura Económica Mensual'!G16</f>
        <v>15752722.684852181</v>
      </c>
      <c r="L4" s="209">
        <v>0</v>
      </c>
      <c r="M4" s="209">
        <f>+'A) Resumen Ingresos y Egresos'!$D$9*'J)Estructura Económica Mensual'!H16</f>
        <v>15988192.152254745</v>
      </c>
      <c r="N4" s="209"/>
      <c r="O4" s="209">
        <f>+'A) Resumen Ingresos y Egresos'!$D$9*'J)Estructura Económica Mensual'!I16</f>
        <v>22719973.092910323</v>
      </c>
      <c r="P4" s="209"/>
      <c r="Q4" s="209">
        <f>+'A) Resumen Ingresos y Egresos'!$D$9*'J)Estructura Económica Mensual'!J16</f>
        <v>17266819.862721793</v>
      </c>
      <c r="R4" s="209"/>
      <c r="S4" s="209">
        <f>+'A) Resumen Ingresos y Egresos'!$D$9*'J)Estructura Económica Mensual'!K16</f>
        <v>20934899.888940793</v>
      </c>
      <c r="T4" s="209"/>
      <c r="U4" s="209">
        <f>+'A) Resumen Ingresos y Egresos'!$D$9*'J)Estructura Económica Mensual'!L16</f>
        <v>16209443.623125421</v>
      </c>
      <c r="V4" s="209"/>
      <c r="W4" s="209">
        <f>+'A) Resumen Ingresos y Egresos'!$D$9*'J)Estructura Económica Mensual'!M16</f>
        <v>21271210.351324987</v>
      </c>
      <c r="X4" s="209"/>
      <c r="Y4" s="209">
        <f>+'A) Resumen Ingresos y Egresos'!$D$9*'J)Estructura Económica Mensual'!N16</f>
        <v>23282128.245091554</v>
      </c>
      <c r="Z4" s="230"/>
      <c r="AA4" s="210">
        <f>SUM(C4:Y4)</f>
        <v>244103700</v>
      </c>
    </row>
    <row r="5" spans="2:27" x14ac:dyDescent="0.35">
      <c r="B5" s="211" t="s">
        <v>220</v>
      </c>
      <c r="C5" s="209">
        <f>SUM('F) Remuneraciones'!$I$11:$I$24)/12</f>
        <v>9761780.416666666</v>
      </c>
      <c r="D5" s="1551">
        <v>0</v>
      </c>
      <c r="E5" s="209">
        <f>SUM('F) Remuneraciones'!$I$11:$I$24)/12</f>
        <v>9761780.416666666</v>
      </c>
      <c r="F5" s="1551">
        <v>0</v>
      </c>
      <c r="G5" s="209">
        <f>SUM('F) Remuneraciones'!$I$11:$I$24)/12</f>
        <v>9761780.416666666</v>
      </c>
      <c r="H5" s="1551">
        <v>0</v>
      </c>
      <c r="I5" s="209">
        <f>SUM('F) Remuneraciones'!$I$11:$I$24)/12</f>
        <v>9761780.416666666</v>
      </c>
      <c r="J5" s="1551">
        <v>0</v>
      </c>
      <c r="K5" s="209">
        <f>SUM('F) Remuneraciones'!$I$11:$I$24)/12</f>
        <v>9761780.416666666</v>
      </c>
      <c r="L5" s="1551">
        <v>0</v>
      </c>
      <c r="M5" s="209">
        <f>SUM('F) Remuneraciones'!$I$11:$I$24)/12</f>
        <v>9761780.416666666</v>
      </c>
      <c r="N5" s="1560"/>
      <c r="O5" s="209">
        <f>SUM('F) Remuneraciones'!$I$11:$I$24)/12</f>
        <v>9761780.416666666</v>
      </c>
      <c r="P5" s="1560"/>
      <c r="Q5" s="209">
        <f>SUM('F) Remuneraciones'!$I$11:$I$24)/12</f>
        <v>9761780.416666666</v>
      </c>
      <c r="R5" s="1560"/>
      <c r="S5" s="209">
        <f>SUM('F) Remuneraciones'!$I$11:$I$24)/12</f>
        <v>9761780.416666666</v>
      </c>
      <c r="T5" s="1560"/>
      <c r="U5" s="209">
        <f>SUM('F) Remuneraciones'!$I$11:$I$24)/12</f>
        <v>9761780.416666666</v>
      </c>
      <c r="V5" s="1560"/>
      <c r="W5" s="209">
        <f>SUM('F) Remuneraciones'!$I$11:$I$24)/12</f>
        <v>9761780.416666666</v>
      </c>
      <c r="X5" s="1554"/>
      <c r="Y5" s="209">
        <f>SUM('F) Remuneraciones'!$I$11:$I$24)/12</f>
        <v>9761780.416666666</v>
      </c>
      <c r="Z5" s="1557"/>
      <c r="AA5" s="210">
        <f>SUM(C5:Y5)</f>
        <v>117141365.00000001</v>
      </c>
    </row>
    <row r="6" spans="2:27" x14ac:dyDescent="0.35">
      <c r="B6" s="211" t="s">
        <v>221</v>
      </c>
      <c r="C6" s="209">
        <f>SUM('F) Remuneraciones'!$I$25:$I$38)/4</f>
        <v>0</v>
      </c>
      <c r="D6" s="1552"/>
      <c r="E6" s="209">
        <f>SUM('F) Remuneraciones'!$I$25:$I$38)/4</f>
        <v>0</v>
      </c>
      <c r="F6" s="1552"/>
      <c r="G6" s="209">
        <f>SUM('F) Remuneraciones'!$I$25:$I$38)/4</f>
        <v>0</v>
      </c>
      <c r="H6" s="1552"/>
      <c r="I6" s="209">
        <f>SUM('F) Remuneraciones'!$I$25:$I$38)/4</f>
        <v>0</v>
      </c>
      <c r="J6" s="1552"/>
      <c r="K6" s="209">
        <f>SUM('F) Remuneraciones'!$I$25:$I$38)/4</f>
        <v>0</v>
      </c>
      <c r="L6" s="1552"/>
      <c r="M6" s="209">
        <f>SUM('F) Remuneraciones'!$I$25:$I$38)/4</f>
        <v>0</v>
      </c>
      <c r="N6" s="1561"/>
      <c r="O6" s="209">
        <f>SUM('F) Remuneraciones'!$I$25:$I$38)/4</f>
        <v>0</v>
      </c>
      <c r="P6" s="1561"/>
      <c r="Q6" s="209">
        <f>SUM('F) Remuneraciones'!$I$25:$I$38)/4</f>
        <v>0</v>
      </c>
      <c r="R6" s="1561"/>
      <c r="S6" s="209">
        <f>SUM('F) Remuneraciones'!$I$25:$I$38)/4</f>
        <v>0</v>
      </c>
      <c r="T6" s="1561"/>
      <c r="U6" s="209">
        <f>SUM('F) Remuneraciones'!$I$25:$I$38)/4</f>
        <v>0</v>
      </c>
      <c r="V6" s="1561"/>
      <c r="W6" s="209">
        <f>SUM('F) Remuneraciones'!$I$25:$I$38)/4</f>
        <v>0</v>
      </c>
      <c r="X6" s="1555"/>
      <c r="Y6" s="209">
        <f>SUM('F) Remuneraciones'!$I$25:$I$38)/4</f>
        <v>0</v>
      </c>
      <c r="Z6" s="1558"/>
      <c r="AA6" s="210">
        <f t="shared" ref="AA6:AA9" si="0">SUM(C6:Y6)</f>
        <v>0</v>
      </c>
    </row>
    <row r="7" spans="2:27" x14ac:dyDescent="0.35">
      <c r="B7" s="211" t="s">
        <v>222</v>
      </c>
      <c r="C7" s="209">
        <f>SUM('F) Remuneraciones'!J6:J33)*0.5</f>
        <v>1946609.5</v>
      </c>
      <c r="D7" s="1552"/>
      <c r="E7" s="212">
        <v>0</v>
      </c>
      <c r="F7" s="1552"/>
      <c r="G7" s="212">
        <v>0</v>
      </c>
      <c r="H7" s="1552"/>
      <c r="I7" s="212">
        <v>0</v>
      </c>
      <c r="J7" s="1552"/>
      <c r="K7" s="212">
        <v>0</v>
      </c>
      <c r="L7" s="1552"/>
      <c r="M7" s="212">
        <v>0</v>
      </c>
      <c r="N7" s="1561"/>
      <c r="O7" s="212">
        <v>0</v>
      </c>
      <c r="P7" s="1561"/>
      <c r="Q7" s="212">
        <v>0</v>
      </c>
      <c r="R7" s="1561"/>
      <c r="S7" s="212">
        <f>SUM('F) Remuneraciones'!K6:K33)*0.5</f>
        <v>922093.2</v>
      </c>
      <c r="T7" s="1561"/>
      <c r="U7" s="212"/>
      <c r="V7" s="1561"/>
      <c r="W7" s="212"/>
      <c r="X7" s="1555"/>
      <c r="Y7" s="213">
        <f>+C7+S7</f>
        <v>2868702.7</v>
      </c>
      <c r="Z7" s="1558"/>
      <c r="AA7" s="210">
        <f t="shared" si="0"/>
        <v>5737405.4000000004</v>
      </c>
    </row>
    <row r="8" spans="2:27" x14ac:dyDescent="0.35">
      <c r="B8" s="228" t="s">
        <v>245</v>
      </c>
      <c r="C8" s="215">
        <f>SUM(C5:C7)</f>
        <v>11708389.916666666</v>
      </c>
      <c r="D8" s="1553"/>
      <c r="E8" s="215">
        <f>SUM(E5:E7)</f>
        <v>9761780.416666666</v>
      </c>
      <c r="F8" s="1553"/>
      <c r="G8" s="215">
        <f>SUM(G5:G7)</f>
        <v>9761780.416666666</v>
      </c>
      <c r="H8" s="1553"/>
      <c r="I8" s="215">
        <f>SUM(I5:I7)</f>
        <v>9761780.416666666</v>
      </c>
      <c r="J8" s="1553"/>
      <c r="K8" s="215">
        <f>SUM(K5:K7)</f>
        <v>9761780.416666666</v>
      </c>
      <c r="L8" s="1553"/>
      <c r="M8" s="215">
        <f>SUM(M5:M7)</f>
        <v>9761780.416666666</v>
      </c>
      <c r="N8" s="1562"/>
      <c r="O8" s="215">
        <f>SUM(O5:O7)</f>
        <v>9761780.416666666</v>
      </c>
      <c r="P8" s="1562"/>
      <c r="Q8" s="215">
        <f>SUM(Q5:Q7)</f>
        <v>9761780.416666666</v>
      </c>
      <c r="R8" s="1562"/>
      <c r="S8" s="215"/>
      <c r="T8" s="1562"/>
      <c r="U8" s="215"/>
      <c r="V8" s="1562"/>
      <c r="W8" s="215"/>
      <c r="X8" s="1556"/>
      <c r="Y8" s="231"/>
      <c r="Z8" s="1559"/>
      <c r="AA8" s="210"/>
    </row>
    <row r="9" spans="2:27" ht="15" thickBot="1" x14ac:dyDescent="0.4">
      <c r="B9" s="214" t="s">
        <v>223</v>
      </c>
      <c r="C9" s="215">
        <f>(+'C) Estimación Costos Directos'!$H$80-'C) Estimación Costos Directos'!$D$13)*C12</f>
        <v>7315049.4502476081</v>
      </c>
      <c r="D9" s="215">
        <v>0</v>
      </c>
      <c r="E9" s="215">
        <f>(+'C) Estimación Costos Directos'!$H$80-'C) Estimación Costos Directos'!$D$13)*E12</f>
        <v>3162917.6883163038</v>
      </c>
      <c r="F9" s="215">
        <v>0</v>
      </c>
      <c r="G9" s="215">
        <f>(+'C) Estimación Costos Directos'!$H$80-'C) Estimación Costos Directos'!$D$13)*G12</f>
        <v>11063739.136205591</v>
      </c>
      <c r="H9" s="215">
        <v>0</v>
      </c>
      <c r="I9" s="215">
        <f>(+'C) Estimación Costos Directos'!$H$80-'C) Estimación Costos Directos'!$D$13)*I12</f>
        <v>7150869.797592409</v>
      </c>
      <c r="J9" s="215">
        <v>0</v>
      </c>
      <c r="K9" s="215">
        <f>(+'C) Estimación Costos Directos'!$H$80-'C) Estimación Costos Directos'!$D$13)*K12</f>
        <v>5483755.5220342083</v>
      </c>
      <c r="L9" s="215">
        <v>0</v>
      </c>
      <c r="M9" s="215">
        <f>(+'C) Estimación Costos Directos'!$H$80-'C) Estimación Costos Directos'!$D$13)*M12</f>
        <v>6024026.9951656861</v>
      </c>
      <c r="N9" s="215"/>
      <c r="O9" s="215">
        <f>(+'C) Estimación Costos Directos'!$H$80-'C) Estimación Costos Directos'!$D$13)*O12</f>
        <v>10899726.882849569</v>
      </c>
      <c r="P9" s="215"/>
      <c r="Q9" s="215">
        <f>(+'C) Estimación Costos Directos'!$H$80-'C) Estimación Costos Directos'!$D$13)*Q12</f>
        <v>6380145.2892619474</v>
      </c>
      <c r="R9" s="215"/>
      <c r="S9" s="215">
        <f>(+'C) Estimación Costos Directos'!$H$80-'C) Estimación Costos Directos'!$D$13)*S12</f>
        <v>7828927.6338756671</v>
      </c>
      <c r="T9" s="215"/>
      <c r="U9" s="215">
        <f>(+'C) Estimación Costos Directos'!$H$80-'C) Estimación Costos Directos'!$D$13)*U12</f>
        <v>9592893.5639604721</v>
      </c>
      <c r="V9" s="215"/>
      <c r="W9" s="215">
        <f>(+'C) Estimación Costos Directos'!$H$80-'C) Estimación Costos Directos'!$D$13)*W12</f>
        <v>7135642.0413440308</v>
      </c>
      <c r="X9" s="215"/>
      <c r="Y9" s="215">
        <f>(+'C) Estimación Costos Directos'!$H$80-'C) Estimación Costos Directos'!$D$13)*Y12</f>
        <v>16310805.99914651</v>
      </c>
      <c r="Z9" s="231"/>
      <c r="AA9" s="210">
        <f t="shared" si="0"/>
        <v>98348500</v>
      </c>
    </row>
    <row r="10" spans="2:27" ht="15" thickBot="1" x14ac:dyDescent="0.4">
      <c r="B10" s="216" t="s">
        <v>224</v>
      </c>
      <c r="C10" s="217">
        <f>+C4-C5-C6-C7-C9</f>
        <v>7571495.5734640062</v>
      </c>
      <c r="D10" s="217">
        <f>+D4-D5-D9</f>
        <v>0</v>
      </c>
      <c r="E10" s="218">
        <f t="shared" ref="E10:AA10" si="1">+E4-E5-E6-E7-E9</f>
        <v>8918584.056390712</v>
      </c>
      <c r="F10" s="218">
        <f>+F4-F5-F9</f>
        <v>0</v>
      </c>
      <c r="G10" s="218">
        <f t="shared" si="1"/>
        <v>2141352.0413272697</v>
      </c>
      <c r="H10" s="218">
        <f>+H4-H5-H9</f>
        <v>0</v>
      </c>
      <c r="I10" s="218">
        <f t="shared" si="1"/>
        <v>2360571.1885676365</v>
      </c>
      <c r="J10" s="218">
        <f>+J4-J5-J9</f>
        <v>0</v>
      </c>
      <c r="K10" s="218">
        <f t="shared" si="1"/>
        <v>507186.74615130667</v>
      </c>
      <c r="L10" s="218">
        <f>+L4-L5-L9</f>
        <v>0</v>
      </c>
      <c r="M10" s="218">
        <f t="shared" si="1"/>
        <v>202384.7404223932</v>
      </c>
      <c r="N10" s="218"/>
      <c r="O10" s="218">
        <f t="shared" si="1"/>
        <v>2058465.7933940887</v>
      </c>
      <c r="P10" s="218"/>
      <c r="Q10" s="218">
        <f t="shared" si="1"/>
        <v>1124894.1567931799</v>
      </c>
      <c r="R10" s="218"/>
      <c r="S10" s="218">
        <f t="shared" si="1"/>
        <v>2422098.6383984601</v>
      </c>
      <c r="T10" s="218"/>
      <c r="U10" s="218">
        <f t="shared" si="1"/>
        <v>-3145230.3575017173</v>
      </c>
      <c r="V10" s="218"/>
      <c r="W10" s="218">
        <f t="shared" si="1"/>
        <v>4373787.8933142899</v>
      </c>
      <c r="X10" s="219"/>
      <c r="Y10" s="219">
        <f t="shared" si="1"/>
        <v>-5659160.8707216233</v>
      </c>
      <c r="Z10" s="232"/>
      <c r="AA10" s="220">
        <f t="shared" si="1"/>
        <v>22876429.599999979</v>
      </c>
    </row>
    <row r="11" spans="2:27" x14ac:dyDescent="0.35">
      <c r="C11" s="222">
        <v>0.10894933153564769</v>
      </c>
      <c r="D11" s="222"/>
      <c r="E11" s="222">
        <v>8.9483617664843598E-2</v>
      </c>
      <c r="F11" s="222"/>
      <c r="G11" s="222">
        <v>9.4086536149183844E-2</v>
      </c>
      <c r="H11" s="222"/>
      <c r="I11" s="222">
        <v>7.8955056407693583E-2</v>
      </c>
      <c r="J11" s="222"/>
      <c r="K11" s="222">
        <v>6.4532912384581559E-2</v>
      </c>
      <c r="L11" s="222"/>
      <c r="M11" s="222">
        <v>6.5497541218157471E-2</v>
      </c>
      <c r="N11" s="222"/>
      <c r="O11" s="222">
        <v>9.3075086911465599E-2</v>
      </c>
      <c r="P11" s="222"/>
      <c r="Q11" s="222">
        <v>7.0735592548256301E-2</v>
      </c>
      <c r="R11" s="222"/>
      <c r="S11" s="222">
        <v>8.5762321050196266E-2</v>
      </c>
      <c r="T11" s="222"/>
      <c r="U11" s="222">
        <v>6.6403924328576017E-2</v>
      </c>
      <c r="V11" s="222"/>
      <c r="W11" s="222">
        <v>8.7140057079532124E-2</v>
      </c>
      <c r="X11" s="222"/>
      <c r="Y11" s="222">
        <v>9.5378022721865963E-2</v>
      </c>
      <c r="Z11" s="222"/>
      <c r="AA11" s="223"/>
    </row>
    <row r="12" spans="2:27" x14ac:dyDescent="0.35">
      <c r="C12" s="225">
        <v>7.4378861398471843E-2</v>
      </c>
      <c r="D12" s="225"/>
      <c r="E12" s="225">
        <v>3.2160304308823252E-2</v>
      </c>
      <c r="F12" s="225"/>
      <c r="G12" s="225">
        <v>0.11249525042278825</v>
      </c>
      <c r="H12" s="225"/>
      <c r="I12" s="225">
        <v>7.2709495290649157E-2</v>
      </c>
      <c r="J12" s="225"/>
      <c r="K12" s="225">
        <v>5.5758405283600751E-2</v>
      </c>
      <c r="L12" s="225"/>
      <c r="M12" s="225">
        <v>6.1251844157924992E-2</v>
      </c>
      <c r="N12" s="225"/>
      <c r="O12" s="225">
        <v>0.11082758641819213</v>
      </c>
      <c r="P12" s="225"/>
      <c r="Q12" s="225">
        <v>6.4872827641112449E-2</v>
      </c>
      <c r="R12" s="225"/>
      <c r="S12" s="225">
        <v>7.9603935330743905E-2</v>
      </c>
      <c r="T12" s="225"/>
      <c r="U12" s="225">
        <v>9.7539805527897955E-2</v>
      </c>
      <c r="V12" s="225"/>
      <c r="W12" s="225">
        <v>7.2554660633807638E-2</v>
      </c>
      <c r="X12" s="225"/>
      <c r="Y12" s="225">
        <v>0.16584702358598769</v>
      </c>
      <c r="Z12" s="225"/>
      <c r="AA12" s="226"/>
    </row>
    <row r="13" spans="2:27" x14ac:dyDescent="0.35">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143"/>
    </row>
    <row r="14" spans="2:27" ht="15" thickBot="1" x14ac:dyDescent="0.4"/>
    <row r="15" spans="2:27" ht="29.5" thickBot="1" x14ac:dyDescent="0.4">
      <c r="B15" s="206" t="s">
        <v>227</v>
      </c>
      <c r="C15" s="240" t="s">
        <v>185</v>
      </c>
      <c r="D15" s="241" t="s">
        <v>233</v>
      </c>
      <c r="E15" s="242" t="s">
        <v>186</v>
      </c>
      <c r="F15" s="241" t="s">
        <v>234</v>
      </c>
      <c r="G15" s="242" t="s">
        <v>187</v>
      </c>
      <c r="H15" s="241" t="s">
        <v>235</v>
      </c>
      <c r="I15" s="242" t="s">
        <v>188</v>
      </c>
      <c r="J15" s="241" t="s">
        <v>236</v>
      </c>
      <c r="K15" s="242" t="s">
        <v>189</v>
      </c>
      <c r="L15" s="241" t="s">
        <v>237</v>
      </c>
      <c r="M15" s="242" t="s">
        <v>190</v>
      </c>
      <c r="N15" s="241" t="s">
        <v>238</v>
      </c>
      <c r="O15" s="242" t="s">
        <v>191</v>
      </c>
      <c r="P15" s="241" t="s">
        <v>239</v>
      </c>
      <c r="Q15" s="242" t="s">
        <v>192</v>
      </c>
      <c r="R15" s="241" t="s">
        <v>240</v>
      </c>
      <c r="S15" s="242" t="s">
        <v>193</v>
      </c>
      <c r="T15" s="241" t="s">
        <v>241</v>
      </c>
      <c r="U15" s="242" t="s">
        <v>194</v>
      </c>
      <c r="V15" s="241" t="s">
        <v>242</v>
      </c>
      <c r="W15" s="242" t="s">
        <v>195</v>
      </c>
      <c r="X15" s="241" t="s">
        <v>243</v>
      </c>
      <c r="Y15" s="242" t="s">
        <v>196</v>
      </c>
      <c r="Z15" s="243" t="s">
        <v>244</v>
      </c>
      <c r="AA15" s="207" t="s">
        <v>218</v>
      </c>
    </row>
    <row r="16" spans="2:27" x14ac:dyDescent="0.35">
      <c r="B16" s="211" t="s">
        <v>219</v>
      </c>
      <c r="C16" s="209">
        <f>+'A) Resumen Ingresos y Egresos'!$D$10*'J)Estructura Económica Mensual'!C27</f>
        <v>8036820</v>
      </c>
      <c r="D16" s="209">
        <v>0</v>
      </c>
      <c r="E16" s="209">
        <f>+'A) Resumen Ingresos y Egresos'!$D$10*'J)Estructura Económica Mensual'!D27</f>
        <v>6429456</v>
      </c>
      <c r="F16" s="209">
        <v>0</v>
      </c>
      <c r="G16" s="209">
        <f>+'A) Resumen Ingresos y Egresos'!$D$10*'J)Estructura Económica Mensual'!E27</f>
        <v>3214728</v>
      </c>
      <c r="H16" s="209">
        <v>0</v>
      </c>
      <c r="I16" s="209">
        <f>+'A) Resumen Ingresos y Egresos'!$D$10*'J)Estructura Económica Mensual'!F27</f>
        <v>2678940</v>
      </c>
      <c r="J16" s="209">
        <v>0</v>
      </c>
      <c r="K16" s="209">
        <f>+'A) Resumen Ingresos y Egresos'!$D$10*'J)Estructura Económica Mensual'!G27</f>
        <v>535788</v>
      </c>
      <c r="L16" s="209">
        <v>0</v>
      </c>
      <c r="M16" s="209">
        <f>+'A) Resumen Ingresos y Egresos'!$D$10*'J)Estructura Económica Mensual'!H27</f>
        <v>1071576</v>
      </c>
      <c r="N16" s="209"/>
      <c r="O16" s="209">
        <f>+'A) Resumen Ingresos y Egresos'!$D$10*'J)Estructura Económica Mensual'!I27</f>
        <v>2143152</v>
      </c>
      <c r="P16" s="209"/>
      <c r="Q16" s="209">
        <f>+'A) Resumen Ingresos y Egresos'!$D$10*'J)Estructura Económica Mensual'!J27</f>
        <v>2678940</v>
      </c>
      <c r="R16" s="209"/>
      <c r="S16" s="209">
        <f>+'A) Resumen Ingresos y Egresos'!$D$10*'J)Estructura Económica Mensual'!K27</f>
        <v>2678940</v>
      </c>
      <c r="T16" s="209"/>
      <c r="U16" s="209">
        <f>+'A) Resumen Ingresos y Egresos'!$D$10*'J)Estructura Económica Mensual'!L27</f>
        <v>4286304</v>
      </c>
      <c r="V16" s="209"/>
      <c r="W16" s="209">
        <f>+'A) Resumen Ingresos y Egresos'!$D$10*'J)Estructura Económica Mensual'!M27</f>
        <v>8572608</v>
      </c>
      <c r="X16" s="209"/>
      <c r="Y16" s="209">
        <f>+'A) Resumen Ingresos y Egresos'!$D$10*'J)Estructura Económica Mensual'!N27</f>
        <v>11251548</v>
      </c>
      <c r="Z16" s="230"/>
      <c r="AA16" s="210">
        <f>SUM(C16:Y16)</f>
        <v>53578800</v>
      </c>
    </row>
    <row r="17" spans="2:27" x14ac:dyDescent="0.35">
      <c r="B17" s="211" t="s">
        <v>220</v>
      </c>
      <c r="C17" s="209">
        <f>SUM('F) Remuneraciones'!$I$39:$I$52)/12</f>
        <v>0</v>
      </c>
      <c r="D17" s="1551">
        <v>0</v>
      </c>
      <c r="E17" s="209">
        <f>SUM('F) Remuneraciones'!$I$39:$I$52)/12</f>
        <v>0</v>
      </c>
      <c r="F17" s="1551">
        <v>0</v>
      </c>
      <c r="G17" s="209">
        <f>SUM('F) Remuneraciones'!$I$39:$I$52)/12</f>
        <v>0</v>
      </c>
      <c r="H17" s="1551">
        <v>0</v>
      </c>
      <c r="I17" s="209">
        <f>SUM('F) Remuneraciones'!$I$39:$I$52)/12</f>
        <v>0</v>
      </c>
      <c r="J17" s="1551">
        <v>0</v>
      </c>
      <c r="K17" s="209">
        <f>SUM('F) Remuneraciones'!$I$39:$I$52)/12</f>
        <v>0</v>
      </c>
      <c r="L17" s="1551">
        <v>0</v>
      </c>
      <c r="M17" s="209">
        <f>SUM('F) Remuneraciones'!$I$39:$I$52)/12</f>
        <v>0</v>
      </c>
      <c r="N17" s="1560"/>
      <c r="O17" s="209">
        <f>SUM('F) Remuneraciones'!$I$39:$I$52)/12</f>
        <v>0</v>
      </c>
      <c r="P17" s="1560"/>
      <c r="Q17" s="209">
        <f>SUM('F) Remuneraciones'!$I$39:$I$52)/12</f>
        <v>0</v>
      </c>
      <c r="R17" s="1560"/>
      <c r="S17" s="209">
        <f>SUM('F) Remuneraciones'!$I$39:$I$52)/12</f>
        <v>0</v>
      </c>
      <c r="T17" s="1560"/>
      <c r="U17" s="209">
        <f>SUM('F) Remuneraciones'!$I$39:$I$52)/12</f>
        <v>0</v>
      </c>
      <c r="V17" s="1560"/>
      <c r="W17" s="209">
        <f>SUM('F) Remuneraciones'!$I$39:$I$52)/12</f>
        <v>0</v>
      </c>
      <c r="X17" s="1554"/>
      <c r="Y17" s="209">
        <f>SUM('F) Remuneraciones'!$I$39:$I$52)/12</f>
        <v>0</v>
      </c>
      <c r="Z17" s="1557"/>
      <c r="AA17" s="210">
        <f>SUM(C17:Y17)</f>
        <v>0</v>
      </c>
    </row>
    <row r="18" spans="2:27" x14ac:dyDescent="0.35">
      <c r="B18" s="211" t="s">
        <v>221</v>
      </c>
      <c r="C18" s="209">
        <v>0</v>
      </c>
      <c r="D18" s="1552"/>
      <c r="E18" s="209">
        <v>0</v>
      </c>
      <c r="F18" s="1552"/>
      <c r="G18" s="209">
        <v>0</v>
      </c>
      <c r="H18" s="1552"/>
      <c r="I18" s="209">
        <v>0</v>
      </c>
      <c r="J18" s="1552"/>
      <c r="K18" s="209">
        <v>0</v>
      </c>
      <c r="L18" s="1552"/>
      <c r="M18" s="209">
        <v>0</v>
      </c>
      <c r="N18" s="1561"/>
      <c r="O18" s="209">
        <v>0</v>
      </c>
      <c r="P18" s="1561"/>
      <c r="Q18" s="209">
        <v>0</v>
      </c>
      <c r="R18" s="1561"/>
      <c r="S18" s="209">
        <v>0</v>
      </c>
      <c r="T18" s="1561"/>
      <c r="U18" s="209">
        <v>0</v>
      </c>
      <c r="V18" s="1561"/>
      <c r="W18" s="209">
        <v>0</v>
      </c>
      <c r="X18" s="1555"/>
      <c r="Y18" s="209">
        <v>0</v>
      </c>
      <c r="Z18" s="1558"/>
      <c r="AA18" s="210">
        <f t="shared" ref="AA18:AA21" si="2">SUM(C18:Y18)</f>
        <v>0</v>
      </c>
    </row>
    <row r="19" spans="2:27" x14ac:dyDescent="0.35">
      <c r="B19" s="211" t="s">
        <v>222</v>
      </c>
      <c r="C19" s="209">
        <f>SUM('F) Remuneraciones'!J35:J48)*0.5</f>
        <v>0</v>
      </c>
      <c r="D19" s="1552"/>
      <c r="E19" s="212">
        <v>0</v>
      </c>
      <c r="F19" s="1552"/>
      <c r="G19" s="212">
        <v>0</v>
      </c>
      <c r="H19" s="1552"/>
      <c r="I19" s="212">
        <v>0</v>
      </c>
      <c r="J19" s="1552"/>
      <c r="K19" s="212">
        <v>0</v>
      </c>
      <c r="L19" s="1552"/>
      <c r="M19" s="212">
        <v>0</v>
      </c>
      <c r="N19" s="1561"/>
      <c r="O19" s="212">
        <v>0</v>
      </c>
      <c r="P19" s="1561"/>
      <c r="Q19" s="212">
        <v>0</v>
      </c>
      <c r="R19" s="1561"/>
      <c r="S19" s="212">
        <f>SUM('F) Remuneraciones'!K35:K48)*0.5</f>
        <v>0</v>
      </c>
      <c r="T19" s="1561"/>
      <c r="U19" s="212"/>
      <c r="V19" s="1561"/>
      <c r="W19" s="212"/>
      <c r="X19" s="1555"/>
      <c r="Y19" s="213">
        <f>+C19+S19</f>
        <v>0</v>
      </c>
      <c r="Z19" s="1558"/>
      <c r="AA19" s="210">
        <f t="shared" si="2"/>
        <v>0</v>
      </c>
    </row>
    <row r="20" spans="2:27" x14ac:dyDescent="0.35">
      <c r="B20" s="228" t="s">
        <v>245</v>
      </c>
      <c r="C20" s="215">
        <f>SUM(C17:C19)</f>
        <v>0</v>
      </c>
      <c r="D20" s="1553"/>
      <c r="E20" s="215">
        <f>SUM(E17:E19)</f>
        <v>0</v>
      </c>
      <c r="F20" s="1553"/>
      <c r="G20" s="215">
        <f>SUM(G17:G19)</f>
        <v>0</v>
      </c>
      <c r="H20" s="1553"/>
      <c r="I20" s="215">
        <f>SUM(I17:I19)</f>
        <v>0</v>
      </c>
      <c r="J20" s="1553"/>
      <c r="K20" s="215">
        <f>SUM(K17:K19)</f>
        <v>0</v>
      </c>
      <c r="L20" s="1553"/>
      <c r="M20" s="215">
        <f>SUM(M17:M19)</f>
        <v>0</v>
      </c>
      <c r="N20" s="1562"/>
      <c r="O20" s="215">
        <f>SUM(O17:O19)</f>
        <v>0</v>
      </c>
      <c r="P20" s="1562"/>
      <c r="Q20" s="215">
        <f>SUM(Q17:Q19)</f>
        <v>0</v>
      </c>
      <c r="R20" s="1562"/>
      <c r="S20" s="215"/>
      <c r="T20" s="1562"/>
      <c r="U20" s="215"/>
      <c r="V20" s="1562"/>
      <c r="W20" s="215"/>
      <c r="X20" s="1556"/>
      <c r="Y20" s="231"/>
      <c r="Z20" s="1559"/>
      <c r="AA20" s="210"/>
    </row>
    <row r="21" spans="2:27" ht="15" thickBot="1" x14ac:dyDescent="0.4">
      <c r="B21" s="228" t="s">
        <v>223</v>
      </c>
      <c r="C21" s="215">
        <f>(+'C) Estimación Costos Directos'!$H$152-'C) Estimación Costos Directos'!$D$85)*C24</f>
        <v>0</v>
      </c>
      <c r="D21" s="215">
        <v>0</v>
      </c>
      <c r="E21" s="215">
        <f>(+'C) Estimación Costos Directos'!$H$152-'C) Estimación Costos Directos'!$D$85)*E24</f>
        <v>0</v>
      </c>
      <c r="F21" s="215">
        <v>0</v>
      </c>
      <c r="G21" s="215">
        <f>(+'C) Estimación Costos Directos'!$H$152-'C) Estimación Costos Directos'!$D$85)*G24</f>
        <v>1835885.8829504102</v>
      </c>
      <c r="H21" s="215">
        <v>0</v>
      </c>
      <c r="I21" s="215">
        <f>(+'C) Estimación Costos Directos'!$H$152-'C) Estimación Costos Directos'!$D$85)*I24</f>
        <v>1380510.9800971658</v>
      </c>
      <c r="J21" s="215">
        <v>0</v>
      </c>
      <c r="K21" s="215">
        <f>(+'C) Estimación Costos Directos'!$H$152-'C) Estimación Costos Directos'!$D$85)*K24</f>
        <v>82666.519275978251</v>
      </c>
      <c r="L21" s="215">
        <v>0</v>
      </c>
      <c r="M21" s="215">
        <f>(+'C) Estimación Costos Directos'!$H$152-'C) Estimación Costos Directos'!$D$85)*M24</f>
        <v>1198013.2330873003</v>
      </c>
      <c r="N21" s="215"/>
      <c r="O21" s="215">
        <f>(+'C) Estimación Costos Directos'!$H$152-'C) Estimación Costos Directos'!$D$85)*O24</f>
        <v>5337890.6613107072</v>
      </c>
      <c r="P21" s="215"/>
      <c r="Q21" s="215">
        <f>(+'C) Estimación Costos Directos'!$H$152-'C) Estimación Costos Directos'!$D$85)*Q24</f>
        <v>1515775.2994589312</v>
      </c>
      <c r="R21" s="215"/>
      <c r="S21" s="215">
        <f>(+'C) Estimación Costos Directos'!$H$152-'C) Estimación Costos Directos'!$D$85)*S24</f>
        <v>5519868.6545317546</v>
      </c>
      <c r="T21" s="215"/>
      <c r="U21" s="215">
        <f>(+'C) Estimación Costos Directos'!$H$152-'C) Estimación Costos Directos'!$D$85)*U24</f>
        <v>3776781.281382571</v>
      </c>
      <c r="V21" s="215"/>
      <c r="W21" s="215">
        <f>(+'C) Estimación Costos Directos'!$H$152-'C) Estimación Costos Directos'!$D$85)*W24</f>
        <v>537329.16693713749</v>
      </c>
      <c r="X21" s="215"/>
      <c r="Y21" s="215">
        <f>(+'C) Estimación Costos Directos'!$H$152-'C) Estimación Costos Directos'!$D$85)*Y24</f>
        <v>4022278.320968044</v>
      </c>
      <c r="Z21" s="231"/>
      <c r="AA21" s="210">
        <f t="shared" si="2"/>
        <v>25207000.000000004</v>
      </c>
    </row>
    <row r="22" spans="2:27" ht="15" thickBot="1" x14ac:dyDescent="0.4">
      <c r="B22" s="216" t="s">
        <v>224</v>
      </c>
      <c r="C22" s="218">
        <f>+C16-C17-C18-C19-C21</f>
        <v>8036820</v>
      </c>
      <c r="D22" s="218">
        <f>+D16-D17-D21</f>
        <v>0</v>
      </c>
      <c r="E22" s="218">
        <f t="shared" ref="E22:AA22" si="3">+E16-E17-E18-E19-E21</f>
        <v>6429456</v>
      </c>
      <c r="F22" s="218">
        <f>+F16-F17-F21</f>
        <v>0</v>
      </c>
      <c r="G22" s="218">
        <f t="shared" si="3"/>
        <v>1378842.1170495898</v>
      </c>
      <c r="H22" s="218">
        <f>+H16-H17-H21</f>
        <v>0</v>
      </c>
      <c r="I22" s="218">
        <f t="shared" si="3"/>
        <v>1298429.0199028342</v>
      </c>
      <c r="J22" s="218">
        <f>+J16-J17-J21</f>
        <v>0</v>
      </c>
      <c r="K22" s="218">
        <f t="shared" si="3"/>
        <v>453121.48072402173</v>
      </c>
      <c r="L22" s="218">
        <f>+L16-L17-L21</f>
        <v>0</v>
      </c>
      <c r="M22" s="218">
        <f t="shared" si="3"/>
        <v>-126437.23308730032</v>
      </c>
      <c r="N22" s="218"/>
      <c r="O22" s="218">
        <f t="shared" si="3"/>
        <v>-3194738.6613107072</v>
      </c>
      <c r="P22" s="218"/>
      <c r="Q22" s="218">
        <f t="shared" si="3"/>
        <v>1163164.7005410688</v>
      </c>
      <c r="R22" s="218"/>
      <c r="S22" s="218">
        <f t="shared" si="3"/>
        <v>-2840928.6545317546</v>
      </c>
      <c r="T22" s="218"/>
      <c r="U22" s="218">
        <f t="shared" si="3"/>
        <v>509522.71861742903</v>
      </c>
      <c r="V22" s="218"/>
      <c r="W22" s="218">
        <f t="shared" si="3"/>
        <v>8035278.833062863</v>
      </c>
      <c r="X22" s="219"/>
      <c r="Y22" s="219">
        <f t="shared" si="3"/>
        <v>7229269.679031956</v>
      </c>
      <c r="Z22" s="232"/>
      <c r="AA22" s="220">
        <f t="shared" si="3"/>
        <v>28371799.999999996</v>
      </c>
    </row>
    <row r="23" spans="2:27" x14ac:dyDescent="0.35">
      <c r="B23" s="221" t="s">
        <v>225</v>
      </c>
      <c r="C23" s="222">
        <v>0.14262152417263191</v>
      </c>
      <c r="D23" s="222"/>
      <c r="E23" s="222">
        <v>0.1146595592167898</v>
      </c>
      <c r="F23" s="222"/>
      <c r="G23" s="222">
        <v>6.2603871793254121E-2</v>
      </c>
      <c r="H23" s="222"/>
      <c r="I23" s="222">
        <v>5.4756044941283964E-2</v>
      </c>
      <c r="J23" s="222"/>
      <c r="K23" s="222">
        <v>1.3971059355174559E-2</v>
      </c>
      <c r="L23" s="222"/>
      <c r="M23" s="222">
        <v>2.3682340867826224E-2</v>
      </c>
      <c r="N23" s="222"/>
      <c r="O23" s="222">
        <v>3.6411202793438312E-2</v>
      </c>
      <c r="P23" s="222"/>
      <c r="Q23" s="222">
        <v>4.860110917051888E-2</v>
      </c>
      <c r="R23" s="222"/>
      <c r="S23" s="222">
        <v>4.9632162838127235E-2</v>
      </c>
      <c r="T23" s="222"/>
      <c r="U23" s="222">
        <v>7.897550256812319E-2</v>
      </c>
      <c r="V23" s="222"/>
      <c r="W23" s="222">
        <v>0.16019325043774288</v>
      </c>
      <c r="X23" s="222"/>
      <c r="Y23" s="222">
        <v>0.21389237184508897</v>
      </c>
      <c r="Z23" s="222"/>
      <c r="AA23" s="223"/>
    </row>
    <row r="24" spans="2:27" x14ac:dyDescent="0.35">
      <c r="B24" s="224" t="s">
        <v>226</v>
      </c>
      <c r="C24" s="225">
        <v>0</v>
      </c>
      <c r="D24" s="225"/>
      <c r="E24" s="225">
        <v>0</v>
      </c>
      <c r="F24" s="225"/>
      <c r="G24" s="225">
        <v>7.28323831852426E-2</v>
      </c>
      <c r="H24" s="225"/>
      <c r="I24" s="225">
        <v>5.4766968703025581E-2</v>
      </c>
      <c r="J24" s="225"/>
      <c r="K24" s="225">
        <v>3.2795064575704466E-3</v>
      </c>
      <c r="L24" s="225"/>
      <c r="M24" s="225">
        <v>4.7527005716162189E-2</v>
      </c>
      <c r="N24" s="225"/>
      <c r="O24" s="225">
        <v>0.21176223514542419</v>
      </c>
      <c r="P24" s="225"/>
      <c r="Q24" s="225">
        <v>6.0133109828973345E-2</v>
      </c>
      <c r="R24" s="225"/>
      <c r="S24" s="225">
        <v>0.21898157870955506</v>
      </c>
      <c r="T24" s="225"/>
      <c r="U24" s="225">
        <v>0.14983065344478005</v>
      </c>
      <c r="V24" s="225"/>
      <c r="W24" s="225">
        <v>2.1316664693820663E-2</v>
      </c>
      <c r="X24" s="225"/>
      <c r="Y24" s="225">
        <v>0.15956989411544586</v>
      </c>
      <c r="Z24" s="225"/>
      <c r="AA24" s="143"/>
    </row>
    <row r="27" spans="2:27" ht="15" thickBot="1" x14ac:dyDescent="0.4"/>
    <row r="28" spans="2:27" ht="29.5" thickBot="1" x14ac:dyDescent="0.4">
      <c r="B28" s="206" t="s">
        <v>228</v>
      </c>
      <c r="C28" s="240" t="s">
        <v>185</v>
      </c>
      <c r="D28" s="241" t="s">
        <v>233</v>
      </c>
      <c r="E28" s="242" t="s">
        <v>186</v>
      </c>
      <c r="F28" s="241" t="s">
        <v>234</v>
      </c>
      <c r="G28" s="242" t="s">
        <v>187</v>
      </c>
      <c r="H28" s="241" t="s">
        <v>235</v>
      </c>
      <c r="I28" s="242" t="s">
        <v>188</v>
      </c>
      <c r="J28" s="241" t="s">
        <v>236</v>
      </c>
      <c r="K28" s="242" t="s">
        <v>189</v>
      </c>
      <c r="L28" s="241" t="s">
        <v>237</v>
      </c>
      <c r="M28" s="242" t="s">
        <v>190</v>
      </c>
      <c r="N28" s="241" t="s">
        <v>238</v>
      </c>
      <c r="O28" s="242" t="s">
        <v>191</v>
      </c>
      <c r="P28" s="241" t="s">
        <v>239</v>
      </c>
      <c r="Q28" s="242" t="s">
        <v>192</v>
      </c>
      <c r="R28" s="241" t="s">
        <v>240</v>
      </c>
      <c r="S28" s="242" t="s">
        <v>193</v>
      </c>
      <c r="T28" s="241" t="s">
        <v>241</v>
      </c>
      <c r="U28" s="242" t="s">
        <v>194</v>
      </c>
      <c r="V28" s="241" t="s">
        <v>242</v>
      </c>
      <c r="W28" s="242" t="s">
        <v>195</v>
      </c>
      <c r="X28" s="241" t="s">
        <v>243</v>
      </c>
      <c r="Y28" s="242" t="s">
        <v>196</v>
      </c>
      <c r="Z28" s="243" t="s">
        <v>244</v>
      </c>
      <c r="AA28" s="207" t="s">
        <v>218</v>
      </c>
    </row>
    <row r="29" spans="2:27" x14ac:dyDescent="0.35">
      <c r="B29" s="211" t="s">
        <v>219</v>
      </c>
      <c r="C29" s="209">
        <f>+'A) Resumen Ingresos y Egresos'!$D$11*'J)Estructura Económica Mensual'!C38</f>
        <v>12949052.955404717</v>
      </c>
      <c r="D29" s="209">
        <v>0</v>
      </c>
      <c r="E29" s="209">
        <f>+'A) Resumen Ingresos y Egresos'!$D$11*'J)Estructura Económica Mensual'!D38</f>
        <v>10635476.945575554</v>
      </c>
      <c r="F29" s="209">
        <v>0</v>
      </c>
      <c r="G29" s="209">
        <f>+'A) Resumen Ingresos y Egresos'!$D$11*'J)Estructura Económica Mensual'!E38</f>
        <v>11182551.758821482</v>
      </c>
      <c r="H29" s="209">
        <v>0</v>
      </c>
      <c r="I29" s="209">
        <f>+'A) Resumen Ingresos y Egresos'!$D$11*'J)Estructura Económica Mensual'!F38</f>
        <v>9384116.3787743729</v>
      </c>
      <c r="J29" s="209">
        <v>0</v>
      </c>
      <c r="K29" s="209">
        <f>+'A) Resumen Ingresos y Egresos'!$D$11*'J)Estructura Económica Mensual'!G38</f>
        <v>7669988.3152658185</v>
      </c>
      <c r="L29" s="209">
        <v>0</v>
      </c>
      <c r="M29" s="209">
        <f>+'A) Resumen Ingresos y Egresos'!$D$11*'J)Estructura Económica Mensual'!H38</f>
        <v>7784638.2141887667</v>
      </c>
      <c r="N29" s="209"/>
      <c r="O29" s="209">
        <f>+'A) Resumen Ingresos y Egresos'!$D$11*'J)Estructura Económica Mensual'!I38</f>
        <v>11062337.072266642</v>
      </c>
      <c r="P29" s="209"/>
      <c r="Q29" s="209">
        <f>+'A) Resumen Ingresos y Egresos'!$D$11*'J)Estructura Económica Mensual'!J38</f>
        <v>8407201.043171199</v>
      </c>
      <c r="R29" s="209"/>
      <c r="S29" s="209">
        <f>+'A) Resumen Ingresos y Egresos'!$D$11*'J)Estructura Económica Mensual'!K38</f>
        <v>10193186.329867922</v>
      </c>
      <c r="T29" s="209"/>
      <c r="U29" s="209">
        <f>+'A) Resumen Ingresos y Egresos'!$D$11*'J)Estructura Económica Mensual'!L38</f>
        <v>7892365.3817561409</v>
      </c>
      <c r="V29" s="209"/>
      <c r="W29" s="209">
        <f>+'A) Resumen Ingresos y Egresos'!$D$11*'J)Estructura Económica Mensual'!M38</f>
        <v>10356935.630125003</v>
      </c>
      <c r="X29" s="209"/>
      <c r="Y29" s="209">
        <f>+'A) Resumen Ingresos y Egresos'!$D$11*'J)Estructura Económica Mensual'!N38</f>
        <v>11336049.974782385</v>
      </c>
      <c r="Z29" s="230"/>
      <c r="AA29" s="210">
        <f>SUM(C29:Y29)</f>
        <v>118853900</v>
      </c>
    </row>
    <row r="30" spans="2:27" x14ac:dyDescent="0.35">
      <c r="B30" s="211" t="s">
        <v>220</v>
      </c>
      <c r="C30" s="209">
        <f>SUM('F) Remuneraciones'!$I$53:$I$66)/12</f>
        <v>6632440.833333333</v>
      </c>
      <c r="D30" s="1551">
        <v>0</v>
      </c>
      <c r="E30" s="209">
        <f>SUM('F) Remuneraciones'!$I$53:$I$66)/12</f>
        <v>6632440.833333333</v>
      </c>
      <c r="F30" s="1551">
        <v>0</v>
      </c>
      <c r="G30" s="209">
        <f>SUM('F) Remuneraciones'!$I$53:$I$66)/12</f>
        <v>6632440.833333333</v>
      </c>
      <c r="H30" s="1551">
        <v>0</v>
      </c>
      <c r="I30" s="209">
        <f>SUM('F) Remuneraciones'!$I$53:$I$66)/12</f>
        <v>6632440.833333333</v>
      </c>
      <c r="J30" s="1551">
        <v>0</v>
      </c>
      <c r="K30" s="209">
        <f>SUM('F) Remuneraciones'!$I$53:$I$66)/12</f>
        <v>6632440.833333333</v>
      </c>
      <c r="L30" s="1551">
        <v>0</v>
      </c>
      <c r="M30" s="209">
        <f>SUM('F) Remuneraciones'!$I$53:$I$66)/12</f>
        <v>6632440.833333333</v>
      </c>
      <c r="N30" s="1560"/>
      <c r="O30" s="209">
        <f>SUM('F) Remuneraciones'!$I$53:$I$66)/12</f>
        <v>6632440.833333333</v>
      </c>
      <c r="P30" s="1560"/>
      <c r="Q30" s="209">
        <f>SUM('F) Remuneraciones'!$I$53:$I$66)/12</f>
        <v>6632440.833333333</v>
      </c>
      <c r="R30" s="1560"/>
      <c r="S30" s="209">
        <f>SUM('F) Remuneraciones'!$I$53:$I$66)/12</f>
        <v>6632440.833333333</v>
      </c>
      <c r="T30" s="1560"/>
      <c r="U30" s="209">
        <f>SUM('F) Remuneraciones'!$I$53:$I$66)/12</f>
        <v>6632440.833333333</v>
      </c>
      <c r="V30" s="1560"/>
      <c r="W30" s="209">
        <f>SUM('F) Remuneraciones'!$I$53:$I$66)/12</f>
        <v>6632440.833333333</v>
      </c>
      <c r="X30" s="1554"/>
      <c r="Y30" s="209">
        <f>SUM('F) Remuneraciones'!$I$53:$I$66)/12</f>
        <v>6632440.833333333</v>
      </c>
      <c r="Z30" s="1557"/>
      <c r="AA30" s="210">
        <f>SUM(C30:Y30)</f>
        <v>79589290</v>
      </c>
    </row>
    <row r="31" spans="2:27" x14ac:dyDescent="0.35">
      <c r="B31" s="211" t="s">
        <v>221</v>
      </c>
      <c r="C31" s="209">
        <f>SUM('F) Remuneraciones'!$I$67:$I$80)/4</f>
        <v>0</v>
      </c>
      <c r="D31" s="1552"/>
      <c r="E31" s="209">
        <f>SUM('F) Remuneraciones'!$I$67:$I$80)/4</f>
        <v>0</v>
      </c>
      <c r="F31" s="1552"/>
      <c r="G31" s="209">
        <f>SUM('F) Remuneraciones'!$I$67:$I$80)/4</f>
        <v>0</v>
      </c>
      <c r="H31" s="1552"/>
      <c r="I31" s="209">
        <v>0</v>
      </c>
      <c r="J31" s="1552"/>
      <c r="K31" s="209">
        <v>0</v>
      </c>
      <c r="L31" s="1552"/>
      <c r="M31" s="209">
        <v>0</v>
      </c>
      <c r="N31" s="1561"/>
      <c r="O31" s="209">
        <v>0</v>
      </c>
      <c r="P31" s="1561"/>
      <c r="Q31" s="209">
        <v>0</v>
      </c>
      <c r="R31" s="1561"/>
      <c r="S31" s="209">
        <v>0</v>
      </c>
      <c r="T31" s="1561"/>
      <c r="U31" s="209">
        <v>0</v>
      </c>
      <c r="V31" s="1561"/>
      <c r="W31" s="209">
        <v>0</v>
      </c>
      <c r="X31" s="1555"/>
      <c r="Y31" s="209">
        <f>SUM('F) Remuneraciones'!$I$67:$I$80)/4</f>
        <v>0</v>
      </c>
      <c r="Z31" s="1558"/>
      <c r="AA31" s="210">
        <f t="shared" ref="AA31:AA34" si="4">SUM(C31:Y31)</f>
        <v>0</v>
      </c>
    </row>
    <row r="32" spans="2:27" x14ac:dyDescent="0.35">
      <c r="B32" s="211" t="s">
        <v>222</v>
      </c>
      <c r="C32" s="209">
        <f>SUM('F) Remuneraciones'!J51:J78)*0.5</f>
        <v>1410637.4</v>
      </c>
      <c r="D32" s="1552"/>
      <c r="E32" s="212">
        <v>0</v>
      </c>
      <c r="F32" s="1552"/>
      <c r="G32" s="212">
        <v>0</v>
      </c>
      <c r="H32" s="1552"/>
      <c r="I32" s="212">
        <v>0</v>
      </c>
      <c r="J32" s="1552"/>
      <c r="K32" s="212">
        <v>0</v>
      </c>
      <c r="L32" s="1552"/>
      <c r="M32" s="212">
        <v>0</v>
      </c>
      <c r="N32" s="1561"/>
      <c r="O32" s="212">
        <v>0</v>
      </c>
      <c r="P32" s="1561"/>
      <c r="Q32" s="212">
        <v>0</v>
      </c>
      <c r="R32" s="1561"/>
      <c r="S32" s="212">
        <f>SUM('F) Remuneraciones'!K51:K78)*0.5</f>
        <v>629522.80000000005</v>
      </c>
      <c r="T32" s="1561"/>
      <c r="U32" s="212"/>
      <c r="V32" s="1561"/>
      <c r="W32" s="212"/>
      <c r="X32" s="1555"/>
      <c r="Y32" s="213">
        <f>+C32+S32</f>
        <v>2040160.2</v>
      </c>
      <c r="Z32" s="1558"/>
      <c r="AA32" s="210">
        <f t="shared" si="4"/>
        <v>4080320.4</v>
      </c>
    </row>
    <row r="33" spans="2:27" x14ac:dyDescent="0.35">
      <c r="B33" s="228" t="s">
        <v>245</v>
      </c>
      <c r="C33" s="215">
        <f>SUM(C30:C32)</f>
        <v>8043078.2333333325</v>
      </c>
      <c r="D33" s="1553"/>
      <c r="E33" s="215">
        <f>SUM(E30:E32)</f>
        <v>6632440.833333333</v>
      </c>
      <c r="F33" s="1553"/>
      <c r="G33" s="215">
        <f>SUM(G30:G32)</f>
        <v>6632440.833333333</v>
      </c>
      <c r="H33" s="1553"/>
      <c r="I33" s="215">
        <f>SUM(I30:I32)</f>
        <v>6632440.833333333</v>
      </c>
      <c r="J33" s="1553"/>
      <c r="K33" s="215">
        <f>SUM(K30:K32)</f>
        <v>6632440.833333333</v>
      </c>
      <c r="L33" s="1553"/>
      <c r="M33" s="215">
        <f>SUM(M30:M32)</f>
        <v>6632440.833333333</v>
      </c>
      <c r="N33" s="1562"/>
      <c r="O33" s="215">
        <f>SUM(O30:O32)</f>
        <v>6632440.833333333</v>
      </c>
      <c r="P33" s="1562"/>
      <c r="Q33" s="215">
        <f>SUM(Q30:Q32)</f>
        <v>6632440.833333333</v>
      </c>
      <c r="R33" s="1562"/>
      <c r="S33" s="215"/>
      <c r="T33" s="1562"/>
      <c r="U33" s="215"/>
      <c r="V33" s="1562"/>
      <c r="W33" s="215"/>
      <c r="X33" s="1556"/>
      <c r="Y33" s="231"/>
      <c r="Z33" s="1559"/>
      <c r="AA33" s="210"/>
    </row>
    <row r="34" spans="2:27" ht="15" thickBot="1" x14ac:dyDescent="0.4">
      <c r="B34" s="228" t="s">
        <v>223</v>
      </c>
      <c r="C34" s="215">
        <f>(+'C) Estimación Costos Directos'!$H$224-'C) Estimación Costos Directos'!$D$157)*C37</f>
        <v>0</v>
      </c>
      <c r="D34" s="215">
        <v>0</v>
      </c>
      <c r="E34" s="215">
        <f>(+'C) Estimación Costos Directos'!$H$224-'C) Estimación Costos Directos'!$D$157)*E37</f>
        <v>0</v>
      </c>
      <c r="F34" s="215">
        <v>0</v>
      </c>
      <c r="G34" s="215">
        <f>(+'C) Estimación Costos Directos'!$H$224-'C) Estimación Costos Directos'!$D$157)*G37</f>
        <v>0</v>
      </c>
      <c r="H34" s="215">
        <v>0</v>
      </c>
      <c r="I34" s="215">
        <f>(+'C) Estimación Costos Directos'!$H$224-'C) Estimación Costos Directos'!$D$157)*I37</f>
        <v>0</v>
      </c>
      <c r="J34" s="215">
        <v>0</v>
      </c>
      <c r="K34" s="215">
        <f>(+'C) Estimación Costos Directos'!$H$224-'C) Estimación Costos Directos'!$D$157)*K37</f>
        <v>0</v>
      </c>
      <c r="L34" s="215">
        <v>0</v>
      </c>
      <c r="M34" s="215">
        <f>(+'C) Estimación Costos Directos'!$H$224-'C) Estimación Costos Directos'!$D$157)*M37</f>
        <v>0</v>
      </c>
      <c r="N34" s="215"/>
      <c r="O34" s="215">
        <f>(+'C) Estimación Costos Directos'!$H$224-'C) Estimación Costos Directos'!$D$157)*O37</f>
        <v>0</v>
      </c>
      <c r="P34" s="215"/>
      <c r="Q34" s="215">
        <f>(+'C) Estimación Costos Directos'!$H$224-'C) Estimación Costos Directos'!$D$157)*Q37</f>
        <v>0</v>
      </c>
      <c r="R34" s="215"/>
      <c r="S34" s="215">
        <f>(+'C) Estimación Costos Directos'!$H$224-'C) Estimación Costos Directos'!$D$157)*S37</f>
        <v>0</v>
      </c>
      <c r="T34" s="215"/>
      <c r="U34" s="215">
        <f>(+'C) Estimación Costos Directos'!$H$224-'C) Estimación Costos Directos'!$D$157)*U37</f>
        <v>0</v>
      </c>
      <c r="V34" s="215"/>
      <c r="W34" s="215">
        <f>(+'C) Estimación Costos Directos'!$H$224-'C) Estimación Costos Directos'!$D$157)*W37</f>
        <v>0</v>
      </c>
      <c r="X34" s="215"/>
      <c r="Y34" s="215">
        <f>(+'C) Estimación Costos Directos'!$H$224-'C) Estimación Costos Directos'!$D$157)*Y37</f>
        <v>0</v>
      </c>
      <c r="Z34" s="231"/>
      <c r="AA34" s="210">
        <f t="shared" si="4"/>
        <v>0</v>
      </c>
    </row>
    <row r="35" spans="2:27" ht="15" thickBot="1" x14ac:dyDescent="0.4">
      <c r="B35" s="216" t="s">
        <v>224</v>
      </c>
      <c r="C35" s="218">
        <f>+C29-C30-C31-C32-C34</f>
        <v>4905974.722071385</v>
      </c>
      <c r="D35" s="218">
        <f>+D29-D30-D34</f>
        <v>0</v>
      </c>
      <c r="E35" s="218">
        <f t="shared" ref="E35:AA35" si="5">+E29-E30-E31-E32-E34</f>
        <v>4003036.1122422209</v>
      </c>
      <c r="F35" s="218">
        <f>+F29-F30-F34</f>
        <v>0</v>
      </c>
      <c r="G35" s="218">
        <f t="shared" si="5"/>
        <v>4550110.9254881488</v>
      </c>
      <c r="H35" s="218">
        <f>+H29-H30-H34</f>
        <v>0</v>
      </c>
      <c r="I35" s="218">
        <f t="shared" si="5"/>
        <v>2751675.5454410398</v>
      </c>
      <c r="J35" s="218">
        <f>+J29-J30-J34</f>
        <v>0</v>
      </c>
      <c r="K35" s="218">
        <f t="shared" si="5"/>
        <v>1037547.4819324855</v>
      </c>
      <c r="L35" s="218">
        <f>+L29-L30-L34</f>
        <v>0</v>
      </c>
      <c r="M35" s="218">
        <f t="shared" si="5"/>
        <v>1152197.3808554336</v>
      </c>
      <c r="N35" s="218"/>
      <c r="O35" s="218">
        <f t="shared" si="5"/>
        <v>4429896.238933309</v>
      </c>
      <c r="P35" s="218"/>
      <c r="Q35" s="218">
        <f t="shared" si="5"/>
        <v>1774760.209837866</v>
      </c>
      <c r="R35" s="218"/>
      <c r="S35" s="218">
        <f t="shared" si="5"/>
        <v>2931222.6965345889</v>
      </c>
      <c r="T35" s="218"/>
      <c r="U35" s="218">
        <f t="shared" si="5"/>
        <v>1259924.5484228078</v>
      </c>
      <c r="V35" s="218"/>
      <c r="W35" s="218">
        <f t="shared" si="5"/>
        <v>3724494.7967916699</v>
      </c>
      <c r="X35" s="219"/>
      <c r="Y35" s="219">
        <f t="shared" si="5"/>
        <v>2663448.9414490517</v>
      </c>
      <c r="Z35" s="232"/>
      <c r="AA35" s="220">
        <f t="shared" si="5"/>
        <v>35184289.600000001</v>
      </c>
    </row>
    <row r="38" spans="2:27" ht="15" thickBot="1" x14ac:dyDescent="0.4"/>
    <row r="39" spans="2:27" ht="29.5" thickBot="1" x14ac:dyDescent="0.4">
      <c r="B39" s="206" t="s">
        <v>229</v>
      </c>
      <c r="C39" s="240" t="s">
        <v>185</v>
      </c>
      <c r="D39" s="241" t="s">
        <v>233</v>
      </c>
      <c r="E39" s="242" t="s">
        <v>186</v>
      </c>
      <c r="F39" s="241" t="s">
        <v>234</v>
      </c>
      <c r="G39" s="242" t="s">
        <v>187</v>
      </c>
      <c r="H39" s="241" t="s">
        <v>235</v>
      </c>
      <c r="I39" s="242" t="s">
        <v>188</v>
      </c>
      <c r="J39" s="241" t="s">
        <v>236</v>
      </c>
      <c r="K39" s="242" t="s">
        <v>189</v>
      </c>
      <c r="L39" s="241" t="s">
        <v>237</v>
      </c>
      <c r="M39" s="242" t="s">
        <v>190</v>
      </c>
      <c r="N39" s="241" t="s">
        <v>238</v>
      </c>
      <c r="O39" s="242" t="s">
        <v>191</v>
      </c>
      <c r="P39" s="241" t="s">
        <v>239</v>
      </c>
      <c r="Q39" s="242" t="s">
        <v>192</v>
      </c>
      <c r="R39" s="241" t="s">
        <v>240</v>
      </c>
      <c r="S39" s="242" t="s">
        <v>193</v>
      </c>
      <c r="T39" s="241" t="s">
        <v>241</v>
      </c>
      <c r="U39" s="242" t="s">
        <v>194</v>
      </c>
      <c r="V39" s="241" t="s">
        <v>242</v>
      </c>
      <c r="W39" s="242" t="s">
        <v>195</v>
      </c>
      <c r="X39" s="241" t="s">
        <v>243</v>
      </c>
      <c r="Y39" s="242" t="s">
        <v>196</v>
      </c>
      <c r="Z39" s="243" t="s">
        <v>244</v>
      </c>
      <c r="AA39" s="207" t="s">
        <v>218</v>
      </c>
    </row>
    <row r="40" spans="2:27" x14ac:dyDescent="0.35">
      <c r="B40" s="211" t="s">
        <v>219</v>
      </c>
      <c r="C40" s="209">
        <f>+'A) Resumen Ingresos y Egresos'!$D$12*'J)Estructura Económica Mensual'!C49</f>
        <v>2251025.4427290414</v>
      </c>
      <c r="D40" s="209">
        <v>0</v>
      </c>
      <c r="E40" s="209">
        <f>+'A) Resumen Ingresos y Egresos'!$D$12*'J)Estructura Económica Mensual'!D49</f>
        <v>1097555.1281318443</v>
      </c>
      <c r="F40" s="209">
        <v>0</v>
      </c>
      <c r="G40" s="209">
        <f>+'A) Resumen Ingresos y Egresos'!$D$12*'J)Estructura Económica Mensual'!E49</f>
        <v>780715.94142916368</v>
      </c>
      <c r="H40" s="209">
        <v>0</v>
      </c>
      <c r="I40" s="209">
        <f>+'A) Resumen Ingresos y Egresos'!$D$12*'J)Estructura Económica Mensual'!F49</f>
        <v>460906.22284384177</v>
      </c>
      <c r="J40" s="209">
        <v>0</v>
      </c>
      <c r="K40" s="209">
        <f>+'A) Resumen Ingresos y Egresos'!$D$12*'J)Estructura Económica Mensual'!G49</f>
        <v>126251.36517919357</v>
      </c>
      <c r="L40" s="209">
        <v>0</v>
      </c>
      <c r="M40" s="209">
        <f>+'A) Resumen Ingresos y Egresos'!$D$12*'J)Estructura Económica Mensual'!H49</f>
        <v>0</v>
      </c>
      <c r="N40" s="209"/>
      <c r="O40" s="209">
        <f>+'A) Resumen Ingresos y Egresos'!$D$12*'J)Estructura Económica Mensual'!I49</f>
        <v>0</v>
      </c>
      <c r="P40" s="209"/>
      <c r="Q40" s="209">
        <f>+'A) Resumen Ingresos y Egresos'!$D$12*'J)Estructura Económica Mensual'!J49</f>
        <v>373459.78048598714</v>
      </c>
      <c r="R40" s="209"/>
      <c r="S40" s="209">
        <f>+'A) Resumen Ingresos y Egresos'!$D$12*'J)Estructura Económica Mensual'!K49</f>
        <v>721876.84915122646</v>
      </c>
      <c r="T40" s="209"/>
      <c r="U40" s="209">
        <f>+'A) Resumen Ingresos y Egresos'!$D$12*'J)Estructura Económica Mensual'!L49</f>
        <v>497545.28950771061</v>
      </c>
      <c r="V40" s="209"/>
      <c r="W40" s="209">
        <f>+'A) Resumen Ingresos y Egresos'!$D$12*'J)Estructura Económica Mensual'!M49</f>
        <v>721878.35321800248</v>
      </c>
      <c r="X40" s="209"/>
      <c r="Y40" s="209">
        <f>+'A) Resumen Ingresos y Egresos'!$D$12*'J)Estructura Económica Mensual'!N49</f>
        <v>1283585.6273239881</v>
      </c>
      <c r="Z40" s="230"/>
      <c r="AA40" s="210">
        <f>SUM(C40:Y40)</f>
        <v>8314799.9999999991</v>
      </c>
    </row>
    <row r="41" spans="2:27" x14ac:dyDescent="0.35">
      <c r="B41" s="211" t="s">
        <v>220</v>
      </c>
      <c r="C41" s="209">
        <f>SUM('F) Remuneraciones'!$I$81:$I$94)/12</f>
        <v>0</v>
      </c>
      <c r="D41" s="1551">
        <v>0</v>
      </c>
      <c r="E41" s="209">
        <f>SUM('F) Remuneraciones'!$I$81:$I$94)/12</f>
        <v>0</v>
      </c>
      <c r="F41" s="1551">
        <v>0</v>
      </c>
      <c r="G41" s="209">
        <f>SUM('F) Remuneraciones'!$I$81:$I$94)/12</f>
        <v>0</v>
      </c>
      <c r="H41" s="1551">
        <v>0</v>
      </c>
      <c r="I41" s="209">
        <f>SUM('F) Remuneraciones'!$I$81:$I$94)/12</f>
        <v>0</v>
      </c>
      <c r="J41" s="1551">
        <v>0</v>
      </c>
      <c r="K41" s="209">
        <f>SUM('F) Remuneraciones'!$I$81:$I$94)/12</f>
        <v>0</v>
      </c>
      <c r="L41" s="1551">
        <v>0</v>
      </c>
      <c r="M41" s="209">
        <f>SUM('F) Remuneraciones'!$I$81:$I$94)/12</f>
        <v>0</v>
      </c>
      <c r="N41" s="1560"/>
      <c r="O41" s="209">
        <f>SUM('F) Remuneraciones'!$I$81:$I$94)/12</f>
        <v>0</v>
      </c>
      <c r="P41" s="1560"/>
      <c r="Q41" s="209">
        <f>SUM('F) Remuneraciones'!$I$81:$I$94)/12</f>
        <v>0</v>
      </c>
      <c r="R41" s="1560"/>
      <c r="S41" s="209">
        <f>SUM('F) Remuneraciones'!$I$81:$I$94)/12</f>
        <v>0</v>
      </c>
      <c r="T41" s="1560"/>
      <c r="U41" s="209">
        <f>SUM('F) Remuneraciones'!$I$81:$I$94)/12</f>
        <v>0</v>
      </c>
      <c r="V41" s="1560"/>
      <c r="W41" s="209">
        <f>SUM('F) Remuneraciones'!$I$81:$I$94)/12</f>
        <v>0</v>
      </c>
      <c r="X41" s="1554"/>
      <c r="Y41" s="209">
        <f>SUM('F) Remuneraciones'!$I$81:$I$94)/12</f>
        <v>0</v>
      </c>
      <c r="Z41" s="1557"/>
      <c r="AA41" s="210">
        <f>SUM(C41:Y41)</f>
        <v>0</v>
      </c>
    </row>
    <row r="42" spans="2:27" x14ac:dyDescent="0.35">
      <c r="B42" s="211" t="s">
        <v>221</v>
      </c>
      <c r="C42" s="209">
        <v>0</v>
      </c>
      <c r="D42" s="1552"/>
      <c r="E42" s="209">
        <v>0</v>
      </c>
      <c r="F42" s="1552"/>
      <c r="G42" s="209">
        <v>0</v>
      </c>
      <c r="H42" s="1552"/>
      <c r="I42" s="209">
        <v>0</v>
      </c>
      <c r="J42" s="1552"/>
      <c r="K42" s="209">
        <v>0</v>
      </c>
      <c r="L42" s="1552"/>
      <c r="M42" s="209">
        <v>0</v>
      </c>
      <c r="N42" s="1561"/>
      <c r="O42" s="209">
        <v>0</v>
      </c>
      <c r="P42" s="1561"/>
      <c r="Q42" s="209">
        <v>0</v>
      </c>
      <c r="R42" s="1561"/>
      <c r="S42" s="209">
        <v>0</v>
      </c>
      <c r="T42" s="1561"/>
      <c r="U42" s="209">
        <v>0</v>
      </c>
      <c r="V42" s="1561"/>
      <c r="W42" s="209">
        <v>0</v>
      </c>
      <c r="X42" s="1555"/>
      <c r="Y42" s="229">
        <v>0</v>
      </c>
      <c r="Z42" s="1558"/>
      <c r="AA42" s="210">
        <f t="shared" ref="AA42:AA45" si="6">SUM(C42:Y42)</f>
        <v>0</v>
      </c>
    </row>
    <row r="43" spans="2:27" x14ac:dyDescent="0.35">
      <c r="B43" s="211" t="s">
        <v>222</v>
      </c>
      <c r="C43" s="209">
        <f>SUM('F) Remuneraciones'!J79:J92)*0.5</f>
        <v>0</v>
      </c>
      <c r="D43" s="1552"/>
      <c r="E43" s="212">
        <v>0</v>
      </c>
      <c r="F43" s="1552"/>
      <c r="G43" s="212">
        <v>0</v>
      </c>
      <c r="H43" s="1552"/>
      <c r="I43" s="212">
        <v>0</v>
      </c>
      <c r="J43" s="1552"/>
      <c r="K43" s="212">
        <v>0</v>
      </c>
      <c r="L43" s="1552"/>
      <c r="M43" s="212">
        <v>0</v>
      </c>
      <c r="N43" s="1561"/>
      <c r="O43" s="212">
        <v>0</v>
      </c>
      <c r="P43" s="1561"/>
      <c r="Q43" s="212">
        <v>0</v>
      </c>
      <c r="R43" s="1561"/>
      <c r="S43" s="212">
        <f>SUM('F) Remuneraciones'!K79:K92)*0.5</f>
        <v>0</v>
      </c>
      <c r="T43" s="1561"/>
      <c r="U43" s="212">
        <v>0</v>
      </c>
      <c r="V43" s="1561"/>
      <c r="W43" s="212">
        <v>0</v>
      </c>
      <c r="X43" s="1555"/>
      <c r="Y43" s="213">
        <f>+C43+S43</f>
        <v>0</v>
      </c>
      <c r="Z43" s="1558"/>
      <c r="AA43" s="210">
        <f t="shared" si="6"/>
        <v>0</v>
      </c>
    </row>
    <row r="44" spans="2:27" x14ac:dyDescent="0.35">
      <c r="B44" s="228" t="s">
        <v>245</v>
      </c>
      <c r="C44" s="215">
        <f>SUM(C41:C43)</f>
        <v>0</v>
      </c>
      <c r="D44" s="1553"/>
      <c r="E44" s="215">
        <f>SUM(E41:E43)</f>
        <v>0</v>
      </c>
      <c r="F44" s="1553"/>
      <c r="G44" s="215">
        <f>SUM(G41:G43)</f>
        <v>0</v>
      </c>
      <c r="H44" s="1553"/>
      <c r="I44" s="215">
        <f>SUM(I41:I43)</f>
        <v>0</v>
      </c>
      <c r="J44" s="1553"/>
      <c r="K44" s="215">
        <f>SUM(K41:K43)</f>
        <v>0</v>
      </c>
      <c r="L44" s="1553"/>
      <c r="M44" s="215">
        <f>SUM(M41:M43)</f>
        <v>0</v>
      </c>
      <c r="N44" s="1562"/>
      <c r="O44" s="215">
        <f>SUM(O41:O43)</f>
        <v>0</v>
      </c>
      <c r="P44" s="1562"/>
      <c r="Q44" s="215">
        <f>SUM(Q41:Q43)</f>
        <v>0</v>
      </c>
      <c r="R44" s="1562"/>
      <c r="S44" s="215"/>
      <c r="T44" s="1562"/>
      <c r="U44" s="215"/>
      <c r="V44" s="1562"/>
      <c r="W44" s="215"/>
      <c r="X44" s="1556"/>
      <c r="Y44" s="231"/>
      <c r="Z44" s="1559"/>
      <c r="AA44" s="210"/>
    </row>
    <row r="45" spans="2:27" ht="15" thickBot="1" x14ac:dyDescent="0.4">
      <c r="B45" s="228" t="s">
        <v>223</v>
      </c>
      <c r="C45" s="215">
        <f>(+'C) Estimación Costos Directos'!$H$296-'C) Estimación Costos Directos'!$D$229)*C48</f>
        <v>347516.23704449367</v>
      </c>
      <c r="D45" s="215">
        <v>0</v>
      </c>
      <c r="E45" s="215">
        <f>(+'C) Estimación Costos Directos'!$H$296-'C) Estimación Costos Directos'!$D$229)*E48</f>
        <v>380195.51621610892</v>
      </c>
      <c r="F45" s="215">
        <v>0</v>
      </c>
      <c r="G45" s="215">
        <f>(+'C) Estimación Costos Directos'!$H$296-'C) Estimación Costos Directos'!$D$229)*G48</f>
        <v>350234.19660486461</v>
      </c>
      <c r="H45" s="215">
        <v>0</v>
      </c>
      <c r="I45" s="215">
        <f>(+'C) Estimación Costos Directos'!$H$296-'C) Estimación Costos Directos'!$D$229)*I48</f>
        <v>157285.63633818066</v>
      </c>
      <c r="J45" s="215">
        <v>0</v>
      </c>
      <c r="K45" s="215">
        <f>(+'C) Estimación Costos Directos'!$H$296-'C) Estimación Costos Directos'!$D$229)*K48</f>
        <v>244050.45096480168</v>
      </c>
      <c r="L45" s="215">
        <f>0-0+0</f>
        <v>0</v>
      </c>
      <c r="M45" s="215">
        <f>(+'C) Estimación Costos Directos'!$H$296-'C) Estimación Costos Directos'!$D$229)*M48</f>
        <v>0</v>
      </c>
      <c r="N45" s="215"/>
      <c r="O45" s="215">
        <f>(+'C) Estimación Costos Directos'!$H$296-'C) Estimación Costos Directos'!$D$229)*O48</f>
        <v>292824.93934142869</v>
      </c>
      <c r="P45" s="215"/>
      <c r="Q45" s="215">
        <f>(+'C) Estimación Costos Directos'!$H$296-'C) Estimación Costos Directos'!$D$229)*Q48</f>
        <v>0</v>
      </c>
      <c r="R45" s="215"/>
      <c r="S45" s="215">
        <f>(+'C) Estimación Costos Directos'!$H$296-'C) Estimación Costos Directos'!$D$229)*S48</f>
        <v>3187321.6853901711</v>
      </c>
      <c r="T45" s="215"/>
      <c r="U45" s="215">
        <f>(+'C) Estimación Costos Directos'!$H$296-'C) Estimación Costos Directos'!$D$229)*U48</f>
        <v>510607.09492657508</v>
      </c>
      <c r="V45" s="215"/>
      <c r="W45" s="215">
        <f>(+'C) Estimación Costos Directos'!$H$296-'C) Estimación Costos Directos'!$D$229)*W48</f>
        <v>0</v>
      </c>
      <c r="X45" s="215"/>
      <c r="Y45" s="215">
        <f>(+'C) Estimación Costos Directos'!$H$296-'C) Estimación Costos Directos'!$D$229)*Y48</f>
        <v>621464.24317337549</v>
      </c>
      <c r="Z45" s="231"/>
      <c r="AA45" s="210">
        <f t="shared" si="6"/>
        <v>6091500</v>
      </c>
    </row>
    <row r="46" spans="2:27" ht="15" thickBot="1" x14ac:dyDescent="0.4">
      <c r="B46" s="216" t="s">
        <v>224</v>
      </c>
      <c r="C46" s="218">
        <f>+C40-C41-C42-C43-C45</f>
        <v>1903509.2056845478</v>
      </c>
      <c r="D46" s="218">
        <f>+D40-D41-D45</f>
        <v>0</v>
      </c>
      <c r="E46" s="218">
        <f t="shared" ref="E46:Y46" si="7">+E40-E41-E42-E43-E45</f>
        <v>717359.61191573541</v>
      </c>
      <c r="F46" s="218">
        <f>+F40-F41-F45</f>
        <v>0</v>
      </c>
      <c r="G46" s="218">
        <f t="shared" si="7"/>
        <v>430481.74482429906</v>
      </c>
      <c r="H46" s="218">
        <f>+H40-H41-H45</f>
        <v>0</v>
      </c>
      <c r="I46" s="218">
        <f t="shared" si="7"/>
        <v>303620.58650566114</v>
      </c>
      <c r="J46" s="218">
        <f>+J40-J41-J45</f>
        <v>0</v>
      </c>
      <c r="K46" s="218">
        <f t="shared" si="7"/>
        <v>-117799.08578560811</v>
      </c>
      <c r="L46" s="218">
        <f>+L40-L41-L45</f>
        <v>0</v>
      </c>
      <c r="M46" s="218">
        <f t="shared" si="7"/>
        <v>0</v>
      </c>
      <c r="N46" s="218"/>
      <c r="O46" s="218">
        <f t="shared" si="7"/>
        <v>-292824.93934142869</v>
      </c>
      <c r="P46" s="218"/>
      <c r="Q46" s="218">
        <f t="shared" si="7"/>
        <v>373459.78048598714</v>
      </c>
      <c r="R46" s="218"/>
      <c r="S46" s="218">
        <f t="shared" si="7"/>
        <v>-2465444.8362389449</v>
      </c>
      <c r="T46" s="218"/>
      <c r="U46" s="218">
        <f t="shared" si="7"/>
        <v>-13061.805418864475</v>
      </c>
      <c r="V46" s="218"/>
      <c r="W46" s="218">
        <f t="shared" si="7"/>
        <v>721878.35321800248</v>
      </c>
      <c r="X46" s="219"/>
      <c r="Y46" s="219">
        <f t="shared" si="7"/>
        <v>662121.38415061263</v>
      </c>
      <c r="Z46" s="232"/>
      <c r="AA46" s="220">
        <f>+AA40-AA41-AA42-AA43-AA45</f>
        <v>2223299.9999999991</v>
      </c>
    </row>
    <row r="47" spans="2:27" x14ac:dyDescent="0.35">
      <c r="B47" s="221" t="s">
        <v>225</v>
      </c>
      <c r="C47" s="222">
        <v>0.27072514585185953</v>
      </c>
      <c r="D47" s="222"/>
      <c r="E47" s="222">
        <v>0.13200018378455819</v>
      </c>
      <c r="F47" s="222"/>
      <c r="G47" s="222">
        <v>9.3894734861832363E-2</v>
      </c>
      <c r="H47" s="222"/>
      <c r="I47" s="222">
        <v>5.5432027570577976E-2</v>
      </c>
      <c r="J47" s="222"/>
      <c r="K47" s="222">
        <v>1.5183932888246689E-2</v>
      </c>
      <c r="L47" s="222"/>
      <c r="M47" s="222">
        <v>0</v>
      </c>
      <c r="N47" s="222"/>
      <c r="O47" s="222">
        <v>0</v>
      </c>
      <c r="P47" s="222"/>
      <c r="Q47" s="222">
        <v>4.4915064762349924E-2</v>
      </c>
      <c r="R47" s="222"/>
      <c r="S47" s="222">
        <v>8.6818305810269211E-2</v>
      </c>
      <c r="T47" s="222"/>
      <c r="U47" s="222">
        <v>5.9838515599618829E-2</v>
      </c>
      <c r="V47" s="222"/>
      <c r="W47" s="222">
        <v>8.6818486700582398E-2</v>
      </c>
      <c r="X47" s="222"/>
      <c r="Y47" s="222">
        <v>0.1543736021701049</v>
      </c>
      <c r="Z47" s="222"/>
      <c r="AA47" s="223"/>
    </row>
    <row r="48" spans="2:27" x14ac:dyDescent="0.35">
      <c r="B48" s="224" t="s">
        <v>226</v>
      </c>
      <c r="C48" s="225">
        <v>5.7049369949026298E-2</v>
      </c>
      <c r="D48" s="225"/>
      <c r="E48" s="225">
        <v>6.2414104279095287E-2</v>
      </c>
      <c r="F48" s="225"/>
      <c r="G48" s="225">
        <v>5.74955588286735E-2</v>
      </c>
      <c r="H48" s="225"/>
      <c r="I48" s="225">
        <v>2.5820509946348297E-2</v>
      </c>
      <c r="J48" s="225"/>
      <c r="K48" s="225">
        <v>4.0064097671312762E-2</v>
      </c>
      <c r="L48" s="225"/>
      <c r="M48" s="225">
        <v>0</v>
      </c>
      <c r="N48" s="225"/>
      <c r="O48" s="225">
        <v>4.8071072698256376E-2</v>
      </c>
      <c r="P48" s="225"/>
      <c r="Q48" s="225">
        <v>0</v>
      </c>
      <c r="R48" s="225"/>
      <c r="S48" s="225">
        <v>0.52324085781665786</v>
      </c>
      <c r="T48" s="225"/>
      <c r="U48" s="225">
        <v>8.3822883514171401E-2</v>
      </c>
      <c r="V48" s="225"/>
      <c r="W48" s="225">
        <v>0</v>
      </c>
      <c r="X48" s="225"/>
      <c r="Y48" s="225">
        <v>0.10202154529645827</v>
      </c>
      <c r="Z48" s="225"/>
      <c r="AA48" s="143"/>
    </row>
    <row r="50" spans="2:27" ht="15" thickBot="1" x14ac:dyDescent="0.4"/>
    <row r="51" spans="2:27" ht="29.5" thickBot="1" x14ac:dyDescent="0.4">
      <c r="B51" s="206" t="s">
        <v>232</v>
      </c>
      <c r="C51" s="240" t="s">
        <v>185</v>
      </c>
      <c r="D51" s="241" t="s">
        <v>233</v>
      </c>
      <c r="E51" s="242" t="s">
        <v>186</v>
      </c>
      <c r="F51" s="241" t="s">
        <v>234</v>
      </c>
      <c r="G51" s="242" t="s">
        <v>187</v>
      </c>
      <c r="H51" s="241" t="s">
        <v>235</v>
      </c>
      <c r="I51" s="242" t="s">
        <v>188</v>
      </c>
      <c r="J51" s="241" t="s">
        <v>236</v>
      </c>
      <c r="K51" s="242" t="s">
        <v>189</v>
      </c>
      <c r="L51" s="241" t="s">
        <v>237</v>
      </c>
      <c r="M51" s="242" t="s">
        <v>190</v>
      </c>
      <c r="N51" s="241" t="s">
        <v>238</v>
      </c>
      <c r="O51" s="242" t="s">
        <v>191</v>
      </c>
      <c r="P51" s="241" t="s">
        <v>239</v>
      </c>
      <c r="Q51" s="242" t="s">
        <v>192</v>
      </c>
      <c r="R51" s="241" t="s">
        <v>240</v>
      </c>
      <c r="S51" s="242" t="s">
        <v>193</v>
      </c>
      <c r="T51" s="241" t="s">
        <v>241</v>
      </c>
      <c r="U51" s="242" t="s">
        <v>194</v>
      </c>
      <c r="V51" s="241" t="s">
        <v>242</v>
      </c>
      <c r="W51" s="242" t="s">
        <v>195</v>
      </c>
      <c r="X51" s="241" t="s">
        <v>243</v>
      </c>
      <c r="Y51" s="242" t="s">
        <v>196</v>
      </c>
      <c r="Z51" s="243" t="s">
        <v>244</v>
      </c>
      <c r="AA51" s="207" t="s">
        <v>218</v>
      </c>
    </row>
    <row r="52" spans="2:27" x14ac:dyDescent="0.35">
      <c r="B52" s="211" t="s">
        <v>219</v>
      </c>
      <c r="C52" s="209">
        <f>+'A) Resumen Ingresos y Egresos'!$D$15*'J)Estructura Económica Mensual'!C82</f>
        <v>0</v>
      </c>
      <c r="D52" s="209">
        <v>0</v>
      </c>
      <c r="E52" s="209">
        <f>+'A) Resumen Ingresos y Egresos'!$D$15*'J)Estructura Económica Mensual'!D82</f>
        <v>0</v>
      </c>
      <c r="F52" s="209">
        <v>0</v>
      </c>
      <c r="G52" s="209">
        <f>+'A) Resumen Ingresos y Egresos'!$D$15*'J)Estructura Económica Mensual'!E82</f>
        <v>0</v>
      </c>
      <c r="H52" s="209">
        <v>0</v>
      </c>
      <c r="I52" s="209">
        <f>+'A) Resumen Ingresos y Egresos'!$D$15*'J)Estructura Económica Mensual'!F82</f>
        <v>0</v>
      </c>
      <c r="J52" s="209">
        <v>0</v>
      </c>
      <c r="K52" s="209">
        <f>+'A) Resumen Ingresos y Egresos'!$D$15*'J)Estructura Económica Mensual'!G82</f>
        <v>0</v>
      </c>
      <c r="L52" s="209">
        <v>0</v>
      </c>
      <c r="M52" s="209">
        <f>+'A) Resumen Ingresos y Egresos'!$D$15*'J)Estructura Económica Mensual'!H82</f>
        <v>0</v>
      </c>
      <c r="N52" s="209"/>
      <c r="O52" s="209">
        <f>+'A) Resumen Ingresos y Egresos'!$D$15*'J)Estructura Económica Mensual'!I82</f>
        <v>0</v>
      </c>
      <c r="P52" s="209"/>
      <c r="Q52" s="209">
        <f>+'A) Resumen Ingresos y Egresos'!$D$15*'J)Estructura Económica Mensual'!J82</f>
        <v>0</v>
      </c>
      <c r="R52" s="209"/>
      <c r="S52" s="209">
        <f>+'A) Resumen Ingresos y Egresos'!$D$15*'J)Estructura Económica Mensual'!K82</f>
        <v>0</v>
      </c>
      <c r="T52" s="209"/>
      <c r="U52" s="209">
        <f>+'A) Resumen Ingresos y Egresos'!$D$15*'J)Estructura Económica Mensual'!L82</f>
        <v>0</v>
      </c>
      <c r="V52" s="209"/>
      <c r="W52" s="209">
        <f>+'A) Resumen Ingresos y Egresos'!$D$15*'J)Estructura Económica Mensual'!M82</f>
        <v>0</v>
      </c>
      <c r="X52" s="209"/>
      <c r="Y52" s="209">
        <f>+'A) Resumen Ingresos y Egresos'!$D$15*'J)Estructura Económica Mensual'!N82</f>
        <v>0</v>
      </c>
      <c r="Z52" s="230"/>
      <c r="AA52" s="210">
        <f>SUM(C52:Y52)</f>
        <v>0</v>
      </c>
    </row>
    <row r="53" spans="2:27" x14ac:dyDescent="0.35">
      <c r="B53" s="211" t="s">
        <v>220</v>
      </c>
      <c r="C53" s="209">
        <f>SUM('F) Remuneraciones'!$I$137:$I$150)/12</f>
        <v>0</v>
      </c>
      <c r="D53" s="1551">
        <v>0</v>
      </c>
      <c r="E53" s="209">
        <f>SUM('F) Remuneraciones'!$I$137:$I$150)/12</f>
        <v>0</v>
      </c>
      <c r="F53" s="1551">
        <v>0</v>
      </c>
      <c r="G53" s="209">
        <f>SUM('F) Remuneraciones'!$I$137:$I$150)/12</f>
        <v>0</v>
      </c>
      <c r="H53" s="1551">
        <v>0</v>
      </c>
      <c r="I53" s="209">
        <f>SUM('F) Remuneraciones'!$I$137:$I$150)/12</f>
        <v>0</v>
      </c>
      <c r="J53" s="1551">
        <v>0</v>
      </c>
      <c r="K53" s="209">
        <f>SUM('F) Remuneraciones'!$I$137:$I$150)/12</f>
        <v>0</v>
      </c>
      <c r="L53" s="1551">
        <v>0</v>
      </c>
      <c r="M53" s="209">
        <f>SUM('F) Remuneraciones'!$I$137:$I$150)/12</f>
        <v>0</v>
      </c>
      <c r="N53" s="1560"/>
      <c r="O53" s="209">
        <f>SUM('F) Remuneraciones'!$I$137:$I$150)/12</f>
        <v>0</v>
      </c>
      <c r="P53" s="1560"/>
      <c r="Q53" s="209">
        <f>SUM('F) Remuneraciones'!$I$137:$I$150)/12</f>
        <v>0</v>
      </c>
      <c r="R53" s="1560"/>
      <c r="S53" s="209">
        <f>SUM('F) Remuneraciones'!$I$137:$I$150)/12</f>
        <v>0</v>
      </c>
      <c r="T53" s="1560"/>
      <c r="U53" s="209">
        <f>SUM('F) Remuneraciones'!$I$137:$I$150)/12</f>
        <v>0</v>
      </c>
      <c r="V53" s="1560"/>
      <c r="W53" s="209">
        <f>SUM('F) Remuneraciones'!$I$137:$I$150)/12</f>
        <v>0</v>
      </c>
      <c r="X53" s="1554"/>
      <c r="Y53" s="209">
        <f>SUM('F) Remuneraciones'!$I$137:$I$150)/12</f>
        <v>0</v>
      </c>
      <c r="Z53" s="1557"/>
      <c r="AA53" s="210">
        <f>SUM(C53:Y53)</f>
        <v>0</v>
      </c>
    </row>
    <row r="54" spans="2:27" x14ac:dyDescent="0.35">
      <c r="B54" s="211" t="s">
        <v>221</v>
      </c>
      <c r="C54" s="209">
        <f>SUM('F) Remuneraciones'!$I$151:$I$164)/4</f>
        <v>0</v>
      </c>
      <c r="D54" s="1552"/>
      <c r="E54" s="209">
        <f>SUM('F) Remuneraciones'!$I$151:$I$164)/4</f>
        <v>0</v>
      </c>
      <c r="F54" s="1552"/>
      <c r="G54" s="209">
        <f>SUM('F) Remuneraciones'!$I$151:$I$164)/4</f>
        <v>0</v>
      </c>
      <c r="H54" s="1552"/>
      <c r="I54" s="209">
        <f>SUM('F) Remuneraciones'!$I$151:$I$164)/4</f>
        <v>0</v>
      </c>
      <c r="J54" s="1552"/>
      <c r="K54" s="209">
        <f>SUM('F) Remuneraciones'!$I$151:$I$164)/4</f>
        <v>0</v>
      </c>
      <c r="L54" s="1552"/>
      <c r="M54" s="209">
        <f>SUM('F) Remuneraciones'!$I$151:$I$164)/4</f>
        <v>0</v>
      </c>
      <c r="N54" s="1561"/>
      <c r="O54" s="209">
        <f>SUM('F) Remuneraciones'!$I$151:$I$164)/4</f>
        <v>0</v>
      </c>
      <c r="P54" s="1561"/>
      <c r="Q54" s="209">
        <f>SUM('F) Remuneraciones'!$I$151:$I$164)/4</f>
        <v>0</v>
      </c>
      <c r="R54" s="1561"/>
      <c r="S54" s="209">
        <f>SUM('F) Remuneraciones'!$I$151:$I$164)/4</f>
        <v>0</v>
      </c>
      <c r="T54" s="1561"/>
      <c r="U54" s="209">
        <f>SUM('F) Remuneraciones'!$I$151:$I$164)/4</f>
        <v>0</v>
      </c>
      <c r="V54" s="1561"/>
      <c r="W54" s="209">
        <f>SUM('F) Remuneraciones'!$I$151:$I$164)/4</f>
        <v>0</v>
      </c>
      <c r="X54" s="1555"/>
      <c r="Y54" s="209">
        <f>SUM('F) Remuneraciones'!$I$151:$I$164)/4</f>
        <v>0</v>
      </c>
      <c r="Z54" s="1558"/>
      <c r="AA54" s="210">
        <f t="shared" ref="AA54:AA57" si="8">SUM(C54:Y54)</f>
        <v>0</v>
      </c>
    </row>
    <row r="55" spans="2:27" x14ac:dyDescent="0.35">
      <c r="B55" s="211" t="s">
        <v>222</v>
      </c>
      <c r="C55" s="209">
        <f>SUM('F) Remuneraciones'!J116:J143)*0.5</f>
        <v>0</v>
      </c>
      <c r="D55" s="1552"/>
      <c r="E55" s="212">
        <v>0</v>
      </c>
      <c r="F55" s="1552"/>
      <c r="G55" s="212">
        <v>0</v>
      </c>
      <c r="H55" s="1552"/>
      <c r="I55" s="212">
        <v>0</v>
      </c>
      <c r="J55" s="1552"/>
      <c r="K55" s="212">
        <v>0</v>
      </c>
      <c r="L55" s="1552"/>
      <c r="M55" s="212">
        <v>0</v>
      </c>
      <c r="N55" s="1561"/>
      <c r="O55" s="212">
        <v>0</v>
      </c>
      <c r="P55" s="1561"/>
      <c r="Q55" s="212">
        <v>0</v>
      </c>
      <c r="R55" s="1561"/>
      <c r="S55" s="212">
        <f>SUM('F) Remuneraciones'!K116:K143)*0.5</f>
        <v>0</v>
      </c>
      <c r="T55" s="1561"/>
      <c r="U55" s="212">
        <v>0</v>
      </c>
      <c r="V55" s="1561"/>
      <c r="W55" s="212">
        <v>0</v>
      </c>
      <c r="X55" s="1555"/>
      <c r="Y55" s="213">
        <f>+C55+S55</f>
        <v>0</v>
      </c>
      <c r="Z55" s="1558"/>
      <c r="AA55" s="210">
        <f t="shared" si="8"/>
        <v>0</v>
      </c>
    </row>
    <row r="56" spans="2:27" x14ac:dyDescent="0.35">
      <c r="B56" s="228" t="s">
        <v>245</v>
      </c>
      <c r="C56" s="215">
        <f>SUM(C53:C55)</f>
        <v>0</v>
      </c>
      <c r="D56" s="1553"/>
      <c r="E56" s="215">
        <f>SUM(E53:E55)</f>
        <v>0</v>
      </c>
      <c r="F56" s="1553"/>
      <c r="G56" s="215">
        <f>SUM(G53:G55)</f>
        <v>0</v>
      </c>
      <c r="H56" s="1553"/>
      <c r="I56" s="215">
        <f>SUM(I53:I55)</f>
        <v>0</v>
      </c>
      <c r="J56" s="1553"/>
      <c r="K56" s="215">
        <f>SUM(K53:K55)</f>
        <v>0</v>
      </c>
      <c r="L56" s="1553"/>
      <c r="M56" s="215">
        <f>SUM(M53:M55)</f>
        <v>0</v>
      </c>
      <c r="N56" s="1562"/>
      <c r="O56" s="215">
        <f>SUM(O53:O55)</f>
        <v>0</v>
      </c>
      <c r="P56" s="1562"/>
      <c r="Q56" s="215">
        <f>SUM(Q53:Q55)</f>
        <v>0</v>
      </c>
      <c r="R56" s="1562"/>
      <c r="S56" s="215"/>
      <c r="T56" s="1562"/>
      <c r="U56" s="215"/>
      <c r="V56" s="1562"/>
      <c r="W56" s="215"/>
      <c r="X56" s="1556"/>
      <c r="Y56" s="231"/>
      <c r="Z56" s="1559"/>
      <c r="AA56" s="210"/>
    </row>
    <row r="57" spans="2:27" ht="15" thickBot="1" x14ac:dyDescent="0.4">
      <c r="B57" s="228" t="s">
        <v>223</v>
      </c>
      <c r="C57" s="215">
        <f>(+'C) Estimación Costos Directos'!$H$512-'C) Estimación Costos Directos'!$D$445)*C60</f>
        <v>0</v>
      </c>
      <c r="D57" s="215">
        <v>0</v>
      </c>
      <c r="E57" s="215">
        <f>(+'C) Estimación Costos Directos'!$H$512-'C) Estimación Costos Directos'!$D$445)*E60</f>
        <v>0</v>
      </c>
      <c r="F57" s="215">
        <v>0</v>
      </c>
      <c r="G57" s="215">
        <f>(+'C) Estimación Costos Directos'!$H$512-'C) Estimación Costos Directos'!$D$445)*G60</f>
        <v>0</v>
      </c>
      <c r="H57" s="215">
        <v>0</v>
      </c>
      <c r="I57" s="215">
        <f>(+'C) Estimación Costos Directos'!$H$512-'C) Estimación Costos Directos'!$D$445)*I60</f>
        <v>0</v>
      </c>
      <c r="J57" s="215">
        <v>0</v>
      </c>
      <c r="K57" s="215">
        <f>(+'C) Estimación Costos Directos'!$H$512-'C) Estimación Costos Directos'!$D$445)*K60</f>
        <v>0</v>
      </c>
      <c r="L57" s="215">
        <v>0</v>
      </c>
      <c r="M57" s="215">
        <f>(+'C) Estimación Costos Directos'!$H$512-'C) Estimación Costos Directos'!$D$445)*M60</f>
        <v>0</v>
      </c>
      <c r="N57" s="215"/>
      <c r="O57" s="215">
        <f>(+'C) Estimación Costos Directos'!$H$512-'C) Estimación Costos Directos'!$D$445)*O60</f>
        <v>0</v>
      </c>
      <c r="P57" s="215"/>
      <c r="Q57" s="215">
        <f>(+'C) Estimación Costos Directos'!$H$512-'C) Estimación Costos Directos'!$D$445)*Q60</f>
        <v>0</v>
      </c>
      <c r="R57" s="215"/>
      <c r="S57" s="215">
        <f>(+'C) Estimación Costos Directos'!$H$512-'C) Estimación Costos Directos'!$D$445)*S60</f>
        <v>0</v>
      </c>
      <c r="T57" s="215"/>
      <c r="U57" s="215">
        <f>(+'C) Estimación Costos Directos'!$H$512-'C) Estimación Costos Directos'!$D$445)*U60</f>
        <v>0</v>
      </c>
      <c r="V57" s="215"/>
      <c r="W57" s="215">
        <f>(+'C) Estimación Costos Directos'!$H$512-'C) Estimación Costos Directos'!$D$445)*W60</f>
        <v>0</v>
      </c>
      <c r="X57" s="215"/>
      <c r="Y57" s="215">
        <f>(+'C) Estimación Costos Directos'!$H$512-'C) Estimación Costos Directos'!$D$445)*Y60</f>
        <v>0</v>
      </c>
      <c r="Z57" s="231"/>
      <c r="AA57" s="210">
        <f t="shared" si="8"/>
        <v>0</v>
      </c>
    </row>
    <row r="58" spans="2:27" ht="15" thickBot="1" x14ac:dyDescent="0.4">
      <c r="B58" s="216" t="s">
        <v>224</v>
      </c>
      <c r="C58" s="218">
        <f>+C52-C53-C54-C55-C57</f>
        <v>0</v>
      </c>
      <c r="D58" s="218">
        <f>+D52-D53-D57</f>
        <v>0</v>
      </c>
      <c r="E58" s="218">
        <f t="shared" ref="E58:AA58" si="9">+E52-E53-E54-E55-E57</f>
        <v>0</v>
      </c>
      <c r="F58" s="218">
        <f>+F52-F53-F57</f>
        <v>0</v>
      </c>
      <c r="G58" s="218">
        <f t="shared" si="9"/>
        <v>0</v>
      </c>
      <c r="H58" s="218">
        <f>+H52-H53-H57</f>
        <v>0</v>
      </c>
      <c r="I58" s="218">
        <f t="shared" si="9"/>
        <v>0</v>
      </c>
      <c r="J58" s="218">
        <f>+J52-J53-J57</f>
        <v>0</v>
      </c>
      <c r="K58" s="218">
        <f t="shared" si="9"/>
        <v>0</v>
      </c>
      <c r="L58" s="218">
        <f>+L52-L53-L57</f>
        <v>0</v>
      </c>
      <c r="M58" s="218">
        <f t="shared" si="9"/>
        <v>0</v>
      </c>
      <c r="N58" s="218"/>
      <c r="O58" s="218">
        <f t="shared" si="9"/>
        <v>0</v>
      </c>
      <c r="P58" s="218"/>
      <c r="Q58" s="218">
        <f t="shared" si="9"/>
        <v>0</v>
      </c>
      <c r="R58" s="218"/>
      <c r="S58" s="218">
        <f t="shared" si="9"/>
        <v>0</v>
      </c>
      <c r="T58" s="218"/>
      <c r="U58" s="218">
        <f t="shared" si="9"/>
        <v>0</v>
      </c>
      <c r="V58" s="218"/>
      <c r="W58" s="218">
        <f t="shared" si="9"/>
        <v>0</v>
      </c>
      <c r="X58" s="219"/>
      <c r="Y58" s="219">
        <f t="shared" si="9"/>
        <v>0</v>
      </c>
      <c r="Z58" s="232"/>
      <c r="AA58" s="220">
        <f t="shared" si="9"/>
        <v>0</v>
      </c>
    </row>
    <row r="59" spans="2:27" x14ac:dyDescent="0.35">
      <c r="B59" s="221" t="s">
        <v>225</v>
      </c>
      <c r="C59" s="222">
        <v>0.10979586510112167</v>
      </c>
      <c r="D59" s="222"/>
      <c r="E59" s="222">
        <v>9.4014737450933042E-2</v>
      </c>
      <c r="F59" s="222"/>
      <c r="G59" s="222">
        <v>8.3457100216198399E-2</v>
      </c>
      <c r="H59" s="222"/>
      <c r="I59" s="222">
        <v>6.9495710427385268E-2</v>
      </c>
      <c r="J59" s="222"/>
      <c r="K59" s="222">
        <v>5.6754928779571612E-2</v>
      </c>
      <c r="L59" s="222"/>
      <c r="M59" s="222">
        <v>7.3434264344623232E-2</v>
      </c>
      <c r="N59" s="222"/>
      <c r="O59" s="222">
        <v>0.10383953198383421</v>
      </c>
      <c r="P59" s="222"/>
      <c r="Q59" s="222">
        <v>8.3781409183136549E-2</v>
      </c>
      <c r="R59" s="222"/>
      <c r="S59" s="222">
        <v>7.9859136445716808E-2</v>
      </c>
      <c r="T59" s="222"/>
      <c r="U59" s="222">
        <v>6.8952793755651803E-2</v>
      </c>
      <c r="V59" s="222"/>
      <c r="W59" s="222">
        <v>8.5223317491121761E-2</v>
      </c>
      <c r="X59" s="222"/>
      <c r="Y59" s="222">
        <v>9.139120482070566E-2</v>
      </c>
      <c r="Z59" s="222"/>
      <c r="AA59" s="223"/>
    </row>
    <row r="60" spans="2:27" x14ac:dyDescent="0.35">
      <c r="B60" s="224" t="s">
        <v>226</v>
      </c>
      <c r="C60" s="227">
        <v>8.8306666385789268E-2</v>
      </c>
      <c r="D60" s="227"/>
      <c r="E60" s="227">
        <v>7.4690785602839385E-2</v>
      </c>
      <c r="F60" s="227"/>
      <c r="G60" s="227">
        <v>8.9143235634440474E-2</v>
      </c>
      <c r="H60" s="227"/>
      <c r="I60" s="227">
        <v>0.10020508964118277</v>
      </c>
      <c r="J60" s="227"/>
      <c r="K60" s="227">
        <v>7.7963784029180944E-2</v>
      </c>
      <c r="L60" s="227"/>
      <c r="M60" s="227">
        <v>7.6993092650882403E-2</v>
      </c>
      <c r="N60" s="227"/>
      <c r="O60" s="227">
        <v>7.7467429911379532E-2</v>
      </c>
      <c r="P60" s="227"/>
      <c r="Q60" s="227">
        <v>7.7836961224795401E-2</v>
      </c>
      <c r="R60" s="227"/>
      <c r="S60" s="227">
        <v>8.3676492763135088E-2</v>
      </c>
      <c r="T60" s="227"/>
      <c r="U60" s="227">
        <v>7.7842524879880928E-2</v>
      </c>
      <c r="V60" s="227"/>
      <c r="W60" s="227">
        <v>7.756529317775579E-2</v>
      </c>
      <c r="X60" s="227"/>
      <c r="Y60" s="227">
        <v>9.8308644098738046E-2</v>
      </c>
      <c r="Z60" s="227"/>
      <c r="AA60" s="143"/>
    </row>
  </sheetData>
  <mergeCells count="60">
    <mergeCell ref="X5:X8"/>
    <mergeCell ref="V5:V8"/>
    <mergeCell ref="T5:T8"/>
    <mergeCell ref="Z5:Z8"/>
    <mergeCell ref="D5:D8"/>
    <mergeCell ref="F5:F8"/>
    <mergeCell ref="H5:H8"/>
    <mergeCell ref="J5:J8"/>
    <mergeCell ref="L5:L8"/>
    <mergeCell ref="N5:N8"/>
    <mergeCell ref="P5:P8"/>
    <mergeCell ref="R5:R8"/>
    <mergeCell ref="T17:T20"/>
    <mergeCell ref="V17:V20"/>
    <mergeCell ref="T30:T33"/>
    <mergeCell ref="D17:D20"/>
    <mergeCell ref="F17:F20"/>
    <mergeCell ref="H17:H20"/>
    <mergeCell ref="J17:J20"/>
    <mergeCell ref="D30:D33"/>
    <mergeCell ref="L17:L20"/>
    <mergeCell ref="N17:N20"/>
    <mergeCell ref="P17:P20"/>
    <mergeCell ref="R17:R20"/>
    <mergeCell ref="L30:L33"/>
    <mergeCell ref="N30:N33"/>
    <mergeCell ref="P30:P33"/>
    <mergeCell ref="R30:R33"/>
    <mergeCell ref="X17:X20"/>
    <mergeCell ref="Z17:Z20"/>
    <mergeCell ref="X30:X33"/>
    <mergeCell ref="Z30:Z33"/>
    <mergeCell ref="V30:V33"/>
    <mergeCell ref="X53:X56"/>
    <mergeCell ref="Z53:Z56"/>
    <mergeCell ref="D53:D56"/>
    <mergeCell ref="F53:F56"/>
    <mergeCell ref="H53:H56"/>
    <mergeCell ref="J53:J56"/>
    <mergeCell ref="V53:V56"/>
    <mergeCell ref="L53:L56"/>
    <mergeCell ref="N53:N56"/>
    <mergeCell ref="P53:P56"/>
    <mergeCell ref="R53:R56"/>
    <mergeCell ref="T53:T56"/>
    <mergeCell ref="D41:D44"/>
    <mergeCell ref="F41:F44"/>
    <mergeCell ref="H41:H44"/>
    <mergeCell ref="J41:J44"/>
    <mergeCell ref="L41:L44"/>
    <mergeCell ref="F30:F33"/>
    <mergeCell ref="H30:H33"/>
    <mergeCell ref="J30:J33"/>
    <mergeCell ref="X41:X44"/>
    <mergeCell ref="Z41:Z44"/>
    <mergeCell ref="N41:N44"/>
    <mergeCell ref="P41:P44"/>
    <mergeCell ref="R41:R44"/>
    <mergeCell ref="T41:T44"/>
    <mergeCell ref="V41:V4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AA54"/>
  <sheetViews>
    <sheetView showGridLines="0" zoomScale="80" zoomScaleNormal="80" workbookViewId="0">
      <selection activeCell="C28" sqref="C28:AA31"/>
    </sheetView>
  </sheetViews>
  <sheetFormatPr baseColWidth="10" defaultRowHeight="14.5" x14ac:dyDescent="0.35"/>
  <cols>
    <col min="2" max="2" width="63.453125" bestFit="1" customWidth="1"/>
    <col min="3" max="3" width="13.1796875" bestFit="1" customWidth="1"/>
    <col min="4" max="4" width="14.81640625" bestFit="1" customWidth="1"/>
    <col min="5" max="5" width="13.1796875" bestFit="1" customWidth="1"/>
    <col min="6" max="6" width="14.7265625" bestFit="1" customWidth="1"/>
    <col min="7" max="9" width="13.1796875" bestFit="1" customWidth="1"/>
    <col min="10" max="10" width="13" bestFit="1" customWidth="1"/>
    <col min="11" max="11" width="13.1796875" bestFit="1" customWidth="1"/>
    <col min="12" max="12" width="13" bestFit="1" customWidth="1"/>
    <col min="13" max="13" width="13.1796875" bestFit="1" customWidth="1"/>
    <col min="14" max="14" width="12" bestFit="1" customWidth="1"/>
    <col min="15" max="15" width="13.1796875" bestFit="1" customWidth="1"/>
    <col min="17" max="17" width="13.1796875" bestFit="1" customWidth="1"/>
    <col min="18" max="18" width="13.81640625" bestFit="1" customWidth="1"/>
    <col min="19" max="19" width="15.453125" bestFit="1" customWidth="1"/>
    <col min="20" max="20" width="17.81640625" bestFit="1" customWidth="1"/>
    <col min="21" max="21" width="13.81640625" bestFit="1" customWidth="1"/>
    <col min="22" max="22" width="14.81640625" bestFit="1" customWidth="1"/>
    <col min="23" max="23" width="14.7265625" bestFit="1" customWidth="1"/>
    <col min="24" max="24" width="17.7265625" bestFit="1" customWidth="1"/>
    <col min="25" max="25" width="14.26953125" bestFit="1" customWidth="1"/>
    <col min="26" max="26" width="16.54296875" bestFit="1" customWidth="1"/>
    <col min="27" max="27" width="26.453125" bestFit="1" customWidth="1"/>
  </cols>
  <sheetData>
    <row r="3" spans="2:27" x14ac:dyDescent="0.35">
      <c r="B3" s="236" t="s">
        <v>217</v>
      </c>
      <c r="C3" s="237" t="s">
        <v>185</v>
      </c>
      <c r="D3" s="238" t="s">
        <v>233</v>
      </c>
      <c r="E3" s="237" t="s">
        <v>186</v>
      </c>
      <c r="F3" s="238" t="s">
        <v>234</v>
      </c>
      <c r="G3" s="237" t="s">
        <v>187</v>
      </c>
      <c r="H3" s="238" t="s">
        <v>235</v>
      </c>
      <c r="I3" s="237" t="s">
        <v>188</v>
      </c>
      <c r="J3" s="238" t="s">
        <v>236</v>
      </c>
      <c r="K3" s="237" t="s">
        <v>189</v>
      </c>
      <c r="L3" s="238" t="s">
        <v>237</v>
      </c>
      <c r="M3" s="237" t="s">
        <v>190</v>
      </c>
      <c r="N3" s="238" t="s">
        <v>238</v>
      </c>
      <c r="O3" s="237" t="s">
        <v>191</v>
      </c>
      <c r="P3" s="238" t="s">
        <v>239</v>
      </c>
      <c r="Q3" s="237" t="s">
        <v>192</v>
      </c>
      <c r="R3" s="238" t="s">
        <v>240</v>
      </c>
      <c r="S3" s="237" t="s">
        <v>193</v>
      </c>
      <c r="T3" s="238" t="s">
        <v>241</v>
      </c>
      <c r="U3" s="237" t="s">
        <v>194</v>
      </c>
      <c r="V3" s="238" t="s">
        <v>242</v>
      </c>
      <c r="W3" s="237" t="s">
        <v>195</v>
      </c>
      <c r="X3" s="238" t="s">
        <v>243</v>
      </c>
      <c r="Y3" s="237" t="s">
        <v>196</v>
      </c>
      <c r="Z3" s="238" t="s">
        <v>244</v>
      </c>
      <c r="AA3" t="s">
        <v>218</v>
      </c>
    </row>
    <row r="4" spans="2:27" x14ac:dyDescent="0.35">
      <c r="B4" s="234" t="s">
        <v>219</v>
      </c>
      <c r="C4" s="239">
        <v>0</v>
      </c>
      <c r="D4" s="239">
        <v>0</v>
      </c>
      <c r="E4" s="239">
        <v>0</v>
      </c>
      <c r="F4" s="239">
        <v>0</v>
      </c>
      <c r="G4" s="239">
        <v>0</v>
      </c>
      <c r="H4" s="239">
        <v>0</v>
      </c>
      <c r="I4" s="239">
        <v>0</v>
      </c>
      <c r="J4" s="239">
        <v>0</v>
      </c>
      <c r="K4" s="239">
        <v>0</v>
      </c>
      <c r="L4" s="239">
        <v>0</v>
      </c>
      <c r="M4" s="239">
        <v>0</v>
      </c>
      <c r="N4" s="239">
        <v>0</v>
      </c>
      <c r="O4" s="239">
        <v>0</v>
      </c>
      <c r="P4" s="239">
        <v>0</v>
      </c>
      <c r="Q4" s="239">
        <v>0</v>
      </c>
      <c r="R4" s="239">
        <v>0</v>
      </c>
      <c r="S4" s="239">
        <v>0</v>
      </c>
      <c r="T4" s="239">
        <v>0</v>
      </c>
      <c r="U4" s="239">
        <v>0</v>
      </c>
      <c r="V4" s="239">
        <v>0</v>
      </c>
      <c r="W4" s="239">
        <v>0</v>
      </c>
      <c r="X4" s="239">
        <v>0</v>
      </c>
      <c r="Y4" s="239">
        <v>0</v>
      </c>
      <c r="Z4" s="239">
        <v>0</v>
      </c>
      <c r="AA4" s="239">
        <v>0</v>
      </c>
    </row>
    <row r="5" spans="2:27" x14ac:dyDescent="0.35">
      <c r="B5" s="234" t="s">
        <v>245</v>
      </c>
      <c r="C5" s="239">
        <v>0</v>
      </c>
      <c r="D5" s="239">
        <v>0</v>
      </c>
      <c r="E5" s="239">
        <v>0</v>
      </c>
      <c r="F5" s="239">
        <v>0</v>
      </c>
      <c r="G5" s="239">
        <v>0</v>
      </c>
      <c r="H5" s="239">
        <v>0</v>
      </c>
      <c r="I5" s="239">
        <v>0</v>
      </c>
      <c r="J5" s="239">
        <v>0</v>
      </c>
      <c r="K5" s="239">
        <v>0</v>
      </c>
      <c r="L5" s="239">
        <v>0</v>
      </c>
      <c r="M5" s="239">
        <v>0</v>
      </c>
      <c r="N5" s="239">
        <v>0</v>
      </c>
      <c r="O5" s="239">
        <v>0</v>
      </c>
      <c r="P5" s="239">
        <v>0</v>
      </c>
      <c r="Q5" s="239">
        <v>0</v>
      </c>
      <c r="R5" s="239">
        <v>0</v>
      </c>
      <c r="S5" s="239">
        <v>0</v>
      </c>
      <c r="T5" s="239">
        <v>0</v>
      </c>
      <c r="U5" s="239">
        <v>0</v>
      </c>
      <c r="V5" s="239">
        <v>0</v>
      </c>
      <c r="W5" s="239">
        <v>0</v>
      </c>
      <c r="X5" s="239">
        <v>0</v>
      </c>
      <c r="Y5" s="239">
        <v>0</v>
      </c>
      <c r="Z5" s="239">
        <v>0</v>
      </c>
      <c r="AA5" s="239">
        <v>0</v>
      </c>
    </row>
    <row r="6" spans="2:27" x14ac:dyDescent="0.35">
      <c r="B6" s="234" t="s">
        <v>223</v>
      </c>
      <c r="C6" s="239">
        <v>0</v>
      </c>
      <c r="D6" s="239">
        <v>0</v>
      </c>
      <c r="E6" s="239">
        <v>0</v>
      </c>
      <c r="F6" s="239">
        <v>0</v>
      </c>
      <c r="G6" s="239">
        <v>0</v>
      </c>
      <c r="H6" s="239">
        <v>0</v>
      </c>
      <c r="I6" s="239">
        <v>0</v>
      </c>
      <c r="J6" s="239">
        <v>0</v>
      </c>
      <c r="K6" s="239">
        <v>0</v>
      </c>
      <c r="L6" s="239">
        <v>0</v>
      </c>
      <c r="M6" s="239">
        <v>0</v>
      </c>
      <c r="N6" s="239">
        <v>0</v>
      </c>
      <c r="O6" s="239">
        <v>0</v>
      </c>
      <c r="P6" s="239">
        <v>0</v>
      </c>
      <c r="Q6" s="239">
        <v>0</v>
      </c>
      <c r="R6" s="239">
        <v>0</v>
      </c>
      <c r="S6" s="239">
        <v>0</v>
      </c>
      <c r="T6" s="239">
        <v>0</v>
      </c>
      <c r="U6" s="239">
        <v>0</v>
      </c>
      <c r="V6" s="239">
        <v>0</v>
      </c>
      <c r="W6" s="239">
        <v>0</v>
      </c>
      <c r="X6" s="239">
        <v>0</v>
      </c>
      <c r="Y6" s="239">
        <v>0</v>
      </c>
      <c r="Z6" s="239">
        <v>0</v>
      </c>
      <c r="AA6" s="239">
        <v>0</v>
      </c>
    </row>
    <row r="7" spans="2:27" x14ac:dyDescent="0.35">
      <c r="B7" s="234" t="s">
        <v>224</v>
      </c>
      <c r="C7" s="239">
        <v>0</v>
      </c>
      <c r="D7" s="239">
        <v>0</v>
      </c>
      <c r="E7" s="239">
        <v>0</v>
      </c>
      <c r="F7" s="239">
        <v>0</v>
      </c>
      <c r="G7" s="239">
        <v>0</v>
      </c>
      <c r="H7" s="239">
        <v>0</v>
      </c>
      <c r="I7" s="239">
        <v>0</v>
      </c>
      <c r="J7" s="239">
        <v>0</v>
      </c>
      <c r="K7" s="239">
        <v>0</v>
      </c>
      <c r="L7" s="239">
        <v>0</v>
      </c>
      <c r="M7" s="239">
        <v>0</v>
      </c>
      <c r="N7" s="239">
        <v>0</v>
      </c>
      <c r="O7" s="239">
        <v>0</v>
      </c>
      <c r="P7" s="239">
        <v>0</v>
      </c>
      <c r="Q7" s="239">
        <v>0</v>
      </c>
      <c r="R7" s="239">
        <v>0</v>
      </c>
      <c r="S7" s="239">
        <v>0</v>
      </c>
      <c r="T7" s="239">
        <v>0</v>
      </c>
      <c r="U7" s="239">
        <v>0</v>
      </c>
      <c r="V7" s="239">
        <v>0</v>
      </c>
      <c r="W7" s="239">
        <v>0</v>
      </c>
      <c r="X7" s="239">
        <v>0</v>
      </c>
      <c r="Y7" s="239">
        <v>0</v>
      </c>
      <c r="Z7" s="239">
        <v>0</v>
      </c>
      <c r="AA7" s="239">
        <v>0</v>
      </c>
    </row>
    <row r="9" spans="2:27" x14ac:dyDescent="0.35">
      <c r="B9" s="236" t="s">
        <v>227</v>
      </c>
      <c r="C9" s="237" t="s">
        <v>185</v>
      </c>
      <c r="D9" s="238" t="s">
        <v>233</v>
      </c>
      <c r="E9" s="237" t="s">
        <v>186</v>
      </c>
      <c r="F9" s="238" t="s">
        <v>234</v>
      </c>
      <c r="G9" s="237" t="s">
        <v>187</v>
      </c>
      <c r="H9" s="238" t="s">
        <v>235</v>
      </c>
      <c r="I9" s="237" t="s">
        <v>188</v>
      </c>
      <c r="J9" s="238" t="s">
        <v>236</v>
      </c>
      <c r="K9" s="237" t="s">
        <v>189</v>
      </c>
      <c r="L9" s="238" t="s">
        <v>237</v>
      </c>
      <c r="M9" s="237" t="s">
        <v>190</v>
      </c>
      <c r="N9" s="238" t="s">
        <v>238</v>
      </c>
      <c r="O9" s="237" t="s">
        <v>191</v>
      </c>
      <c r="P9" s="238" t="s">
        <v>239</v>
      </c>
      <c r="Q9" s="237" t="s">
        <v>192</v>
      </c>
      <c r="R9" s="238" t="s">
        <v>240</v>
      </c>
      <c r="S9" s="237" t="s">
        <v>193</v>
      </c>
      <c r="T9" s="238" t="s">
        <v>241</v>
      </c>
      <c r="U9" s="237" t="s">
        <v>194</v>
      </c>
      <c r="V9" s="238" t="s">
        <v>242</v>
      </c>
      <c r="W9" s="237" t="s">
        <v>195</v>
      </c>
      <c r="X9" s="238" t="s">
        <v>243</v>
      </c>
      <c r="Y9" s="237" t="s">
        <v>196</v>
      </c>
      <c r="Z9" s="238" t="s">
        <v>244</v>
      </c>
      <c r="AA9" t="s">
        <v>218</v>
      </c>
    </row>
    <row r="10" spans="2:27" x14ac:dyDescent="0.35">
      <c r="B10" s="234" t="s">
        <v>219</v>
      </c>
      <c r="C10" s="239">
        <v>0</v>
      </c>
      <c r="D10" s="239">
        <v>0</v>
      </c>
      <c r="E10" s="239">
        <v>0</v>
      </c>
      <c r="F10" s="239">
        <v>0</v>
      </c>
      <c r="G10" s="239">
        <v>0</v>
      </c>
      <c r="H10" s="239">
        <v>0</v>
      </c>
      <c r="I10" s="239">
        <v>0</v>
      </c>
      <c r="J10" s="239">
        <v>0</v>
      </c>
      <c r="K10" s="239">
        <v>0</v>
      </c>
      <c r="L10" s="239">
        <v>0</v>
      </c>
      <c r="M10" s="239">
        <v>0</v>
      </c>
      <c r="N10" s="239">
        <v>0</v>
      </c>
      <c r="O10" s="239">
        <v>0</v>
      </c>
      <c r="P10" s="239">
        <v>0</v>
      </c>
      <c r="Q10" s="239">
        <v>0</v>
      </c>
      <c r="R10" s="239">
        <v>0</v>
      </c>
      <c r="S10" s="239">
        <v>0</v>
      </c>
      <c r="T10" s="239">
        <v>0</v>
      </c>
      <c r="U10" s="239">
        <v>0</v>
      </c>
      <c r="V10" s="239">
        <v>0</v>
      </c>
      <c r="W10" s="239">
        <v>0</v>
      </c>
      <c r="X10" s="239">
        <v>0</v>
      </c>
      <c r="Y10" s="239">
        <v>0</v>
      </c>
      <c r="Z10" s="239">
        <v>0</v>
      </c>
      <c r="AA10" s="239">
        <v>0</v>
      </c>
    </row>
    <row r="11" spans="2:27" x14ac:dyDescent="0.35">
      <c r="B11" s="234" t="s">
        <v>245</v>
      </c>
      <c r="C11" s="239">
        <v>0</v>
      </c>
      <c r="D11" s="239">
        <v>0</v>
      </c>
      <c r="E11" s="239">
        <v>0</v>
      </c>
      <c r="F11" s="239">
        <v>0</v>
      </c>
      <c r="G11" s="239">
        <v>0</v>
      </c>
      <c r="H11" s="239">
        <v>0</v>
      </c>
      <c r="I11" s="239">
        <v>0</v>
      </c>
      <c r="J11" s="239">
        <v>0</v>
      </c>
      <c r="K11" s="239">
        <v>0</v>
      </c>
      <c r="L11" s="239">
        <v>0</v>
      </c>
      <c r="M11" s="239">
        <v>0</v>
      </c>
      <c r="N11" s="239">
        <v>0</v>
      </c>
      <c r="O11" s="239">
        <v>0</v>
      </c>
      <c r="P11" s="239">
        <v>0</v>
      </c>
      <c r="Q11" s="239">
        <v>0</v>
      </c>
      <c r="R11" s="239">
        <v>0</v>
      </c>
      <c r="S11" s="239">
        <v>0</v>
      </c>
      <c r="T11" s="239">
        <v>0</v>
      </c>
      <c r="U11" s="239">
        <v>0</v>
      </c>
      <c r="V11" s="239">
        <v>0</v>
      </c>
      <c r="W11" s="239">
        <v>0</v>
      </c>
      <c r="X11" s="239">
        <v>0</v>
      </c>
      <c r="Y11" s="239">
        <v>0</v>
      </c>
      <c r="Z11" s="239">
        <v>0</v>
      </c>
      <c r="AA11" s="239">
        <v>0</v>
      </c>
    </row>
    <row r="12" spans="2:27" x14ac:dyDescent="0.35">
      <c r="B12" s="234" t="s">
        <v>223</v>
      </c>
      <c r="C12" s="239">
        <v>0</v>
      </c>
      <c r="D12" s="239">
        <v>0</v>
      </c>
      <c r="E12" s="239">
        <v>0</v>
      </c>
      <c r="F12" s="239">
        <v>0</v>
      </c>
      <c r="G12" s="239">
        <v>0</v>
      </c>
      <c r="H12" s="239">
        <v>0</v>
      </c>
      <c r="I12" s="239">
        <v>0</v>
      </c>
      <c r="J12" s="239">
        <v>0</v>
      </c>
      <c r="K12" s="239">
        <v>0</v>
      </c>
      <c r="L12" s="239">
        <v>0</v>
      </c>
      <c r="M12" s="239">
        <v>0</v>
      </c>
      <c r="N12" s="239">
        <v>0</v>
      </c>
      <c r="O12" s="239">
        <v>0</v>
      </c>
      <c r="P12" s="239">
        <v>0</v>
      </c>
      <c r="Q12" s="239">
        <v>0</v>
      </c>
      <c r="R12" s="239">
        <v>0</v>
      </c>
      <c r="S12" s="239">
        <v>0</v>
      </c>
      <c r="T12" s="239">
        <v>0</v>
      </c>
      <c r="U12" s="239">
        <v>0</v>
      </c>
      <c r="V12" s="239">
        <v>0</v>
      </c>
      <c r="W12" s="239">
        <v>0</v>
      </c>
      <c r="X12" s="239">
        <v>0</v>
      </c>
      <c r="Y12" s="239">
        <v>0</v>
      </c>
      <c r="Z12" s="239">
        <v>0</v>
      </c>
      <c r="AA12" s="239">
        <v>0</v>
      </c>
    </row>
    <row r="13" spans="2:27" x14ac:dyDescent="0.35">
      <c r="B13" s="234" t="s">
        <v>224</v>
      </c>
      <c r="C13" s="239">
        <v>0</v>
      </c>
      <c r="D13" s="239">
        <v>0</v>
      </c>
      <c r="E13" s="239">
        <v>0</v>
      </c>
      <c r="F13" s="239">
        <v>0</v>
      </c>
      <c r="G13" s="239">
        <v>0</v>
      </c>
      <c r="H13" s="239">
        <v>0</v>
      </c>
      <c r="I13" s="239">
        <v>0</v>
      </c>
      <c r="J13" s="239">
        <v>0</v>
      </c>
      <c r="K13" s="239">
        <v>0</v>
      </c>
      <c r="L13" s="239">
        <v>0</v>
      </c>
      <c r="M13" s="239">
        <v>0</v>
      </c>
      <c r="N13" s="239">
        <v>0</v>
      </c>
      <c r="O13" s="239">
        <v>0</v>
      </c>
      <c r="P13" s="239">
        <v>0</v>
      </c>
      <c r="Q13" s="239">
        <v>0</v>
      </c>
      <c r="R13" s="239">
        <v>0</v>
      </c>
      <c r="S13" s="239">
        <v>0</v>
      </c>
      <c r="T13" s="239">
        <v>0</v>
      </c>
      <c r="U13" s="239">
        <v>0</v>
      </c>
      <c r="V13" s="239">
        <v>0</v>
      </c>
      <c r="W13" s="239">
        <v>0</v>
      </c>
      <c r="X13" s="239">
        <v>0</v>
      </c>
      <c r="Y13" s="239">
        <v>0</v>
      </c>
      <c r="Z13" s="239">
        <v>0</v>
      </c>
      <c r="AA13" s="239">
        <v>0</v>
      </c>
    </row>
    <row r="15" spans="2:27" x14ac:dyDescent="0.35">
      <c r="B15" s="236" t="s">
        <v>228</v>
      </c>
      <c r="C15" s="237" t="s">
        <v>185</v>
      </c>
      <c r="D15" s="238" t="s">
        <v>233</v>
      </c>
      <c r="E15" s="237" t="s">
        <v>186</v>
      </c>
      <c r="F15" s="238" t="s">
        <v>234</v>
      </c>
      <c r="G15" s="237" t="s">
        <v>187</v>
      </c>
      <c r="H15" s="238" t="s">
        <v>235</v>
      </c>
      <c r="I15" s="237" t="s">
        <v>188</v>
      </c>
      <c r="J15" s="238" t="s">
        <v>236</v>
      </c>
      <c r="K15" s="237" t="s">
        <v>189</v>
      </c>
      <c r="L15" s="238" t="s">
        <v>237</v>
      </c>
      <c r="M15" s="237" t="s">
        <v>190</v>
      </c>
      <c r="N15" s="238" t="s">
        <v>238</v>
      </c>
      <c r="O15" s="237" t="s">
        <v>191</v>
      </c>
      <c r="P15" s="238" t="s">
        <v>239</v>
      </c>
      <c r="Q15" s="237" t="s">
        <v>192</v>
      </c>
      <c r="R15" s="238" t="s">
        <v>240</v>
      </c>
      <c r="S15" s="237" t="s">
        <v>193</v>
      </c>
      <c r="T15" s="238" t="s">
        <v>241</v>
      </c>
      <c r="U15" s="237" t="s">
        <v>194</v>
      </c>
      <c r="V15" s="238" t="s">
        <v>242</v>
      </c>
      <c r="W15" s="237" t="s">
        <v>195</v>
      </c>
      <c r="X15" s="238" t="s">
        <v>243</v>
      </c>
      <c r="Y15" s="237" t="s">
        <v>196</v>
      </c>
      <c r="Z15" s="238" t="s">
        <v>244</v>
      </c>
      <c r="AA15" t="s">
        <v>218</v>
      </c>
    </row>
    <row r="16" spans="2:27" x14ac:dyDescent="0.35">
      <c r="B16" s="234" t="s">
        <v>219</v>
      </c>
      <c r="C16" s="239">
        <v>0</v>
      </c>
      <c r="D16" s="239">
        <v>0</v>
      </c>
      <c r="E16" s="239">
        <v>0</v>
      </c>
      <c r="F16" s="239">
        <v>0</v>
      </c>
      <c r="G16" s="239">
        <v>0</v>
      </c>
      <c r="H16" s="239">
        <v>0</v>
      </c>
      <c r="I16" s="239">
        <v>0</v>
      </c>
      <c r="J16" s="239">
        <v>0</v>
      </c>
      <c r="K16" s="239">
        <v>0</v>
      </c>
      <c r="L16" s="239">
        <v>0</v>
      </c>
      <c r="M16" s="239">
        <v>0</v>
      </c>
      <c r="N16" s="239">
        <v>0</v>
      </c>
      <c r="O16" s="239">
        <v>0</v>
      </c>
      <c r="P16" s="239">
        <v>0</v>
      </c>
      <c r="Q16" s="239">
        <v>0</v>
      </c>
      <c r="R16" s="239">
        <v>0</v>
      </c>
      <c r="S16" s="239">
        <v>0</v>
      </c>
      <c r="T16" s="239">
        <v>0</v>
      </c>
      <c r="U16" s="239">
        <v>0</v>
      </c>
      <c r="V16" s="239">
        <v>0</v>
      </c>
      <c r="W16" s="239">
        <v>0</v>
      </c>
      <c r="X16" s="239">
        <v>0</v>
      </c>
      <c r="Y16" s="239">
        <v>0</v>
      </c>
      <c r="Z16" s="239">
        <v>0</v>
      </c>
      <c r="AA16" s="239">
        <v>0</v>
      </c>
    </row>
    <row r="17" spans="2:27" x14ac:dyDescent="0.35">
      <c r="B17" s="234" t="s">
        <v>245</v>
      </c>
      <c r="C17" s="239">
        <v>0</v>
      </c>
      <c r="D17" s="239">
        <v>0</v>
      </c>
      <c r="E17" s="239">
        <v>0</v>
      </c>
      <c r="F17" s="239">
        <v>0</v>
      </c>
      <c r="G17" s="239">
        <v>0</v>
      </c>
      <c r="H17" s="239">
        <v>0</v>
      </c>
      <c r="I17" s="239">
        <v>0</v>
      </c>
      <c r="J17" s="239">
        <v>0</v>
      </c>
      <c r="K17" s="239">
        <v>0</v>
      </c>
      <c r="L17" s="239">
        <v>0</v>
      </c>
      <c r="M17" s="239">
        <v>0</v>
      </c>
      <c r="N17" s="239">
        <v>0</v>
      </c>
      <c r="O17" s="239">
        <v>0</v>
      </c>
      <c r="P17" s="239">
        <v>0</v>
      </c>
      <c r="Q17" s="239">
        <v>0</v>
      </c>
      <c r="R17" s="239">
        <v>0</v>
      </c>
      <c r="S17" s="239">
        <v>0</v>
      </c>
      <c r="T17" s="239">
        <v>0</v>
      </c>
      <c r="U17" s="239">
        <v>0</v>
      </c>
      <c r="V17" s="239">
        <v>0</v>
      </c>
      <c r="W17" s="239">
        <v>0</v>
      </c>
      <c r="X17" s="239">
        <v>0</v>
      </c>
      <c r="Y17" s="239">
        <v>0</v>
      </c>
      <c r="Z17" s="239">
        <v>0</v>
      </c>
      <c r="AA17" s="239">
        <v>0</v>
      </c>
    </row>
    <row r="18" spans="2:27" x14ac:dyDescent="0.35">
      <c r="B18" s="234" t="s">
        <v>223</v>
      </c>
      <c r="C18" s="239">
        <v>0</v>
      </c>
      <c r="D18" s="239">
        <v>0</v>
      </c>
      <c r="E18" s="239">
        <v>0</v>
      </c>
      <c r="F18" s="239">
        <v>0</v>
      </c>
      <c r="G18" s="239">
        <v>0</v>
      </c>
      <c r="H18" s="239">
        <v>0</v>
      </c>
      <c r="I18" s="239">
        <v>0</v>
      </c>
      <c r="J18" s="239">
        <v>0</v>
      </c>
      <c r="K18" s="239">
        <v>0</v>
      </c>
      <c r="L18" s="239">
        <v>0</v>
      </c>
      <c r="M18" s="239">
        <v>0</v>
      </c>
      <c r="N18" s="239">
        <v>0</v>
      </c>
      <c r="O18" s="239">
        <v>0</v>
      </c>
      <c r="P18" s="239">
        <v>0</v>
      </c>
      <c r="Q18" s="239">
        <v>0</v>
      </c>
      <c r="R18" s="239">
        <v>0</v>
      </c>
      <c r="S18" s="239">
        <v>0</v>
      </c>
      <c r="T18" s="239">
        <v>0</v>
      </c>
      <c r="U18" s="239">
        <v>0</v>
      </c>
      <c r="V18" s="239">
        <v>0</v>
      </c>
      <c r="W18" s="239">
        <v>0</v>
      </c>
      <c r="X18" s="239">
        <v>0</v>
      </c>
      <c r="Y18" s="239">
        <v>0</v>
      </c>
      <c r="Z18" s="239">
        <v>0</v>
      </c>
      <c r="AA18" s="239">
        <v>0</v>
      </c>
    </row>
    <row r="19" spans="2:27" x14ac:dyDescent="0.35">
      <c r="B19" s="234" t="s">
        <v>224</v>
      </c>
      <c r="C19" s="239">
        <v>0</v>
      </c>
      <c r="D19" s="239">
        <v>0</v>
      </c>
      <c r="E19" s="239">
        <v>0</v>
      </c>
      <c r="F19" s="239">
        <v>0</v>
      </c>
      <c r="G19" s="239">
        <v>0</v>
      </c>
      <c r="H19" s="239">
        <v>0</v>
      </c>
      <c r="I19" s="239">
        <v>0</v>
      </c>
      <c r="J19" s="239">
        <v>0</v>
      </c>
      <c r="K19" s="239">
        <v>0</v>
      </c>
      <c r="L19" s="239">
        <v>0</v>
      </c>
      <c r="M19" s="239">
        <v>0</v>
      </c>
      <c r="N19" s="239">
        <v>0</v>
      </c>
      <c r="O19" s="239">
        <v>0</v>
      </c>
      <c r="P19" s="239">
        <v>0</v>
      </c>
      <c r="Q19" s="239">
        <v>0</v>
      </c>
      <c r="R19" s="239">
        <v>0</v>
      </c>
      <c r="S19" s="239">
        <v>0</v>
      </c>
      <c r="T19" s="239">
        <v>0</v>
      </c>
      <c r="U19" s="239">
        <v>0</v>
      </c>
      <c r="V19" s="239">
        <v>0</v>
      </c>
      <c r="W19" s="239">
        <v>0</v>
      </c>
      <c r="X19" s="239">
        <v>0</v>
      </c>
      <c r="Y19" s="239">
        <v>0</v>
      </c>
      <c r="Z19" s="239">
        <v>0</v>
      </c>
      <c r="AA19" s="239">
        <v>0</v>
      </c>
    </row>
    <row r="21" spans="2:27" x14ac:dyDescent="0.35">
      <c r="B21" s="236" t="s">
        <v>229</v>
      </c>
      <c r="C21" s="237" t="s">
        <v>185</v>
      </c>
      <c r="D21" s="238" t="s">
        <v>233</v>
      </c>
      <c r="E21" s="237" t="s">
        <v>186</v>
      </c>
      <c r="F21" s="238" t="s">
        <v>234</v>
      </c>
      <c r="G21" s="237" t="s">
        <v>187</v>
      </c>
      <c r="H21" s="238" t="s">
        <v>235</v>
      </c>
      <c r="I21" s="237" t="s">
        <v>188</v>
      </c>
      <c r="J21" s="238" t="s">
        <v>236</v>
      </c>
      <c r="K21" s="237" t="s">
        <v>189</v>
      </c>
      <c r="L21" s="238" t="s">
        <v>237</v>
      </c>
      <c r="M21" s="237" t="s">
        <v>190</v>
      </c>
      <c r="N21" s="238" t="s">
        <v>238</v>
      </c>
      <c r="O21" s="237" t="s">
        <v>191</v>
      </c>
      <c r="P21" s="238" t="s">
        <v>239</v>
      </c>
      <c r="Q21" s="237" t="s">
        <v>192</v>
      </c>
      <c r="R21" s="238" t="s">
        <v>240</v>
      </c>
      <c r="S21" s="237" t="s">
        <v>193</v>
      </c>
      <c r="T21" s="238" t="s">
        <v>241</v>
      </c>
      <c r="U21" s="237" t="s">
        <v>194</v>
      </c>
      <c r="V21" s="238" t="s">
        <v>242</v>
      </c>
      <c r="W21" s="237" t="s">
        <v>195</v>
      </c>
      <c r="X21" s="238" t="s">
        <v>243</v>
      </c>
      <c r="Y21" s="237" t="s">
        <v>196</v>
      </c>
      <c r="Z21" s="238" t="s">
        <v>244</v>
      </c>
      <c r="AA21" t="s">
        <v>218</v>
      </c>
    </row>
    <row r="22" spans="2:27" x14ac:dyDescent="0.35">
      <c r="B22" s="234" t="s">
        <v>219</v>
      </c>
      <c r="C22" s="239">
        <v>0</v>
      </c>
      <c r="D22" s="239">
        <v>0</v>
      </c>
      <c r="E22" s="239">
        <v>0</v>
      </c>
      <c r="F22" s="239">
        <v>0</v>
      </c>
      <c r="G22" s="239">
        <v>0</v>
      </c>
      <c r="H22" s="239">
        <v>0</v>
      </c>
      <c r="I22" s="239">
        <v>0</v>
      </c>
      <c r="J22" s="239">
        <v>0</v>
      </c>
      <c r="K22" s="239">
        <v>0</v>
      </c>
      <c r="L22" s="239">
        <v>0</v>
      </c>
      <c r="M22" s="239">
        <v>0</v>
      </c>
      <c r="N22" s="239">
        <v>0</v>
      </c>
      <c r="O22" s="239">
        <v>0</v>
      </c>
      <c r="P22" s="239">
        <v>0</v>
      </c>
      <c r="Q22" s="239">
        <v>0</v>
      </c>
      <c r="R22" s="239">
        <v>0</v>
      </c>
      <c r="S22" s="239">
        <v>0</v>
      </c>
      <c r="T22" s="239">
        <v>0</v>
      </c>
      <c r="U22" s="239">
        <v>0</v>
      </c>
      <c r="V22" s="239">
        <v>0</v>
      </c>
      <c r="W22" s="239">
        <v>0</v>
      </c>
      <c r="X22" s="239">
        <v>0</v>
      </c>
      <c r="Y22" s="239">
        <v>0</v>
      </c>
      <c r="Z22" s="239">
        <v>0</v>
      </c>
      <c r="AA22" s="239">
        <v>0</v>
      </c>
    </row>
    <row r="23" spans="2:27" x14ac:dyDescent="0.35">
      <c r="B23" s="234" t="s">
        <v>245</v>
      </c>
      <c r="C23" s="239">
        <v>0</v>
      </c>
      <c r="D23" s="239">
        <v>0</v>
      </c>
      <c r="E23" s="239">
        <v>0</v>
      </c>
      <c r="F23" s="239">
        <v>0</v>
      </c>
      <c r="G23" s="239">
        <v>0</v>
      </c>
      <c r="H23" s="239">
        <v>0</v>
      </c>
      <c r="I23" s="239">
        <v>0</v>
      </c>
      <c r="J23" s="239">
        <v>0</v>
      </c>
      <c r="K23" s="239">
        <v>0</v>
      </c>
      <c r="L23" s="239">
        <v>0</v>
      </c>
      <c r="M23" s="239">
        <v>0</v>
      </c>
      <c r="N23" s="239">
        <v>0</v>
      </c>
      <c r="O23" s="239">
        <v>0</v>
      </c>
      <c r="P23" s="239">
        <v>0</v>
      </c>
      <c r="Q23" s="239">
        <v>0</v>
      </c>
      <c r="R23" s="239">
        <v>0</v>
      </c>
      <c r="S23" s="239">
        <v>0</v>
      </c>
      <c r="T23" s="239">
        <v>0</v>
      </c>
      <c r="U23" s="239">
        <v>0</v>
      </c>
      <c r="V23" s="239">
        <v>0</v>
      </c>
      <c r="W23" s="239">
        <v>0</v>
      </c>
      <c r="X23" s="239">
        <v>0</v>
      </c>
      <c r="Y23" s="239">
        <v>0</v>
      </c>
      <c r="Z23" s="239">
        <v>0</v>
      </c>
      <c r="AA23" s="239">
        <v>0</v>
      </c>
    </row>
    <row r="24" spans="2:27" x14ac:dyDescent="0.35">
      <c r="B24" s="234" t="s">
        <v>223</v>
      </c>
      <c r="C24" s="239">
        <v>0</v>
      </c>
      <c r="D24" s="239">
        <v>0</v>
      </c>
      <c r="E24" s="239">
        <v>0</v>
      </c>
      <c r="F24" s="239">
        <v>0</v>
      </c>
      <c r="G24" s="239">
        <v>0</v>
      </c>
      <c r="H24" s="239">
        <v>0</v>
      </c>
      <c r="I24" s="239">
        <v>0</v>
      </c>
      <c r="J24" s="239">
        <v>0</v>
      </c>
      <c r="K24" s="239">
        <v>0</v>
      </c>
      <c r="L24" s="239">
        <v>0</v>
      </c>
      <c r="M24" s="239">
        <v>0</v>
      </c>
      <c r="N24" s="239">
        <v>0</v>
      </c>
      <c r="O24" s="239">
        <v>0</v>
      </c>
      <c r="P24" s="239">
        <v>0</v>
      </c>
      <c r="Q24" s="239">
        <v>0</v>
      </c>
      <c r="R24" s="239">
        <v>0</v>
      </c>
      <c r="S24" s="239">
        <v>0</v>
      </c>
      <c r="T24" s="239">
        <v>0</v>
      </c>
      <c r="U24" s="239">
        <v>0</v>
      </c>
      <c r="V24" s="239">
        <v>0</v>
      </c>
      <c r="W24" s="239">
        <v>0</v>
      </c>
      <c r="X24" s="239">
        <v>0</v>
      </c>
      <c r="Y24" s="239">
        <v>0</v>
      </c>
      <c r="Z24" s="239">
        <v>0</v>
      </c>
      <c r="AA24" s="239">
        <v>0</v>
      </c>
    </row>
    <row r="25" spans="2:27" x14ac:dyDescent="0.35">
      <c r="B25" s="234" t="s">
        <v>224</v>
      </c>
      <c r="C25" s="239">
        <v>0</v>
      </c>
      <c r="D25" s="239">
        <v>0</v>
      </c>
      <c r="E25" s="239">
        <v>0</v>
      </c>
      <c r="F25" s="239">
        <v>0</v>
      </c>
      <c r="G25" s="239">
        <v>0</v>
      </c>
      <c r="H25" s="239">
        <v>0</v>
      </c>
      <c r="I25" s="239">
        <v>0</v>
      </c>
      <c r="J25" s="239">
        <v>0</v>
      </c>
      <c r="K25" s="239">
        <v>0</v>
      </c>
      <c r="L25" s="239">
        <v>0</v>
      </c>
      <c r="M25" s="239">
        <v>0</v>
      </c>
      <c r="N25" s="239">
        <v>0</v>
      </c>
      <c r="O25" s="239">
        <v>0</v>
      </c>
      <c r="P25" s="239">
        <v>0</v>
      </c>
      <c r="Q25" s="239">
        <v>0</v>
      </c>
      <c r="R25" s="239">
        <v>0</v>
      </c>
      <c r="S25" s="239">
        <v>0</v>
      </c>
      <c r="T25" s="239">
        <v>0</v>
      </c>
      <c r="U25" s="239">
        <v>0</v>
      </c>
      <c r="V25" s="239">
        <v>0</v>
      </c>
      <c r="W25" s="239">
        <v>0</v>
      </c>
      <c r="X25" s="239">
        <v>0</v>
      </c>
      <c r="Y25" s="239">
        <v>0</v>
      </c>
      <c r="Z25" s="239">
        <v>0</v>
      </c>
      <c r="AA25" s="239">
        <v>0</v>
      </c>
    </row>
    <row r="27" spans="2:27" x14ac:dyDescent="0.35">
      <c r="B27" s="236" t="s">
        <v>232</v>
      </c>
      <c r="C27" s="237" t="s">
        <v>185</v>
      </c>
      <c r="D27" s="238" t="s">
        <v>233</v>
      </c>
      <c r="E27" s="237" t="s">
        <v>186</v>
      </c>
      <c r="F27" s="238" t="s">
        <v>234</v>
      </c>
      <c r="G27" s="237" t="s">
        <v>187</v>
      </c>
      <c r="H27" s="238" t="s">
        <v>235</v>
      </c>
      <c r="I27" s="237" t="s">
        <v>188</v>
      </c>
      <c r="J27" s="238" t="s">
        <v>236</v>
      </c>
      <c r="K27" s="237" t="s">
        <v>189</v>
      </c>
      <c r="L27" s="238" t="s">
        <v>237</v>
      </c>
      <c r="M27" s="237" t="s">
        <v>190</v>
      </c>
      <c r="N27" s="238" t="s">
        <v>238</v>
      </c>
      <c r="O27" s="237" t="s">
        <v>191</v>
      </c>
      <c r="P27" s="238" t="s">
        <v>239</v>
      </c>
      <c r="Q27" s="237" t="s">
        <v>192</v>
      </c>
      <c r="R27" s="238" t="s">
        <v>240</v>
      </c>
      <c r="S27" s="237" t="s">
        <v>193</v>
      </c>
      <c r="T27" s="238" t="s">
        <v>241</v>
      </c>
      <c r="U27" s="237" t="s">
        <v>194</v>
      </c>
      <c r="V27" s="238" t="s">
        <v>242</v>
      </c>
      <c r="W27" s="237" t="s">
        <v>195</v>
      </c>
      <c r="X27" s="238" t="s">
        <v>243</v>
      </c>
      <c r="Y27" s="237" t="s">
        <v>196</v>
      </c>
      <c r="Z27" s="238" t="s">
        <v>244</v>
      </c>
      <c r="AA27" t="s">
        <v>218</v>
      </c>
    </row>
    <row r="28" spans="2:27" x14ac:dyDescent="0.35">
      <c r="B28" s="234" t="s">
        <v>219</v>
      </c>
      <c r="C28" s="239">
        <v>0</v>
      </c>
      <c r="D28" s="239">
        <v>0</v>
      </c>
      <c r="E28" s="239">
        <v>0</v>
      </c>
      <c r="F28" s="239">
        <v>0</v>
      </c>
      <c r="G28" s="239">
        <v>0</v>
      </c>
      <c r="H28" s="239">
        <v>0</v>
      </c>
      <c r="I28" s="239">
        <v>0</v>
      </c>
      <c r="J28" s="239">
        <v>0</v>
      </c>
      <c r="K28" s="239">
        <v>0</v>
      </c>
      <c r="L28" s="239">
        <v>0</v>
      </c>
      <c r="M28" s="239">
        <v>0</v>
      </c>
      <c r="N28" s="239">
        <v>0</v>
      </c>
      <c r="O28" s="239">
        <v>0</v>
      </c>
      <c r="P28" s="239">
        <v>0</v>
      </c>
      <c r="Q28" s="239">
        <v>0</v>
      </c>
      <c r="R28" s="239">
        <v>0</v>
      </c>
      <c r="S28" s="239">
        <v>0</v>
      </c>
      <c r="T28" s="239">
        <v>0</v>
      </c>
      <c r="U28" s="239">
        <v>0</v>
      </c>
      <c r="V28" s="239">
        <v>0</v>
      </c>
      <c r="W28" s="239">
        <v>0</v>
      </c>
      <c r="X28" s="239">
        <v>0</v>
      </c>
      <c r="Y28" s="239">
        <v>0</v>
      </c>
      <c r="Z28" s="239">
        <v>0</v>
      </c>
      <c r="AA28" s="239">
        <v>0</v>
      </c>
    </row>
    <row r="29" spans="2:27" x14ac:dyDescent="0.35">
      <c r="B29" s="234" t="s">
        <v>245</v>
      </c>
      <c r="C29" s="239">
        <v>0</v>
      </c>
      <c r="D29" s="239">
        <v>0</v>
      </c>
      <c r="E29" s="239">
        <v>0</v>
      </c>
      <c r="F29" s="239">
        <v>0</v>
      </c>
      <c r="G29" s="239">
        <v>0</v>
      </c>
      <c r="H29" s="239">
        <v>0</v>
      </c>
      <c r="I29" s="239">
        <v>0</v>
      </c>
      <c r="J29" s="239">
        <v>0</v>
      </c>
      <c r="K29" s="239">
        <v>0</v>
      </c>
      <c r="L29" s="239">
        <v>0</v>
      </c>
      <c r="M29" s="239">
        <v>0</v>
      </c>
      <c r="N29" s="239">
        <v>0</v>
      </c>
      <c r="O29" s="239">
        <v>0</v>
      </c>
      <c r="P29" s="239">
        <v>0</v>
      </c>
      <c r="Q29" s="239">
        <v>0</v>
      </c>
      <c r="R29" s="239">
        <v>0</v>
      </c>
      <c r="S29" s="239">
        <v>0</v>
      </c>
      <c r="T29" s="239">
        <v>0</v>
      </c>
      <c r="U29" s="239">
        <v>0</v>
      </c>
      <c r="V29" s="239">
        <v>0</v>
      </c>
      <c r="W29" s="239">
        <v>0</v>
      </c>
      <c r="X29" s="239">
        <v>0</v>
      </c>
      <c r="Y29" s="239">
        <v>0</v>
      </c>
      <c r="Z29" s="239">
        <v>0</v>
      </c>
      <c r="AA29" s="239">
        <v>0</v>
      </c>
    </row>
    <row r="30" spans="2:27" x14ac:dyDescent="0.35">
      <c r="B30" s="234" t="s">
        <v>223</v>
      </c>
      <c r="C30" s="239">
        <v>0</v>
      </c>
      <c r="D30" s="239">
        <v>0</v>
      </c>
      <c r="E30" s="239">
        <v>0</v>
      </c>
      <c r="F30" s="239">
        <v>0</v>
      </c>
      <c r="G30" s="239">
        <v>0</v>
      </c>
      <c r="H30" s="239">
        <v>0</v>
      </c>
      <c r="I30" s="239">
        <v>0</v>
      </c>
      <c r="J30" s="239">
        <v>0</v>
      </c>
      <c r="K30" s="239">
        <v>0</v>
      </c>
      <c r="L30" s="239">
        <v>0</v>
      </c>
      <c r="M30" s="239">
        <v>0</v>
      </c>
      <c r="N30" s="239">
        <v>0</v>
      </c>
      <c r="O30" s="239">
        <v>0</v>
      </c>
      <c r="P30" s="239">
        <v>0</v>
      </c>
      <c r="Q30" s="239">
        <v>0</v>
      </c>
      <c r="R30" s="239">
        <v>0</v>
      </c>
      <c r="S30" s="239">
        <v>0</v>
      </c>
      <c r="T30" s="239">
        <v>0</v>
      </c>
      <c r="U30" s="239">
        <v>0</v>
      </c>
      <c r="V30" s="239">
        <v>0</v>
      </c>
      <c r="W30" s="239">
        <v>0</v>
      </c>
      <c r="X30" s="239">
        <v>0</v>
      </c>
      <c r="Y30" s="239">
        <v>0</v>
      </c>
      <c r="Z30" s="239">
        <v>0</v>
      </c>
      <c r="AA30" s="239">
        <v>0</v>
      </c>
    </row>
    <row r="31" spans="2:27" x14ac:dyDescent="0.35">
      <c r="B31" s="234" t="s">
        <v>224</v>
      </c>
      <c r="C31" s="239">
        <v>0</v>
      </c>
      <c r="D31" s="239">
        <v>0</v>
      </c>
      <c r="E31" s="239">
        <v>0</v>
      </c>
      <c r="F31" s="239">
        <v>0</v>
      </c>
      <c r="G31" s="239">
        <v>0</v>
      </c>
      <c r="H31" s="239">
        <v>0</v>
      </c>
      <c r="I31" s="239">
        <v>0</v>
      </c>
      <c r="J31" s="239">
        <v>0</v>
      </c>
      <c r="K31" s="239">
        <v>0</v>
      </c>
      <c r="L31" s="239">
        <v>0</v>
      </c>
      <c r="M31" s="239">
        <v>0</v>
      </c>
      <c r="N31" s="239">
        <v>0</v>
      </c>
      <c r="O31" s="239">
        <v>0</v>
      </c>
      <c r="P31" s="239">
        <v>0</v>
      </c>
      <c r="Q31" s="239">
        <v>0</v>
      </c>
      <c r="R31" s="239">
        <v>0</v>
      </c>
      <c r="S31" s="239">
        <v>0</v>
      </c>
      <c r="T31" s="239">
        <v>0</v>
      </c>
      <c r="U31" s="239">
        <v>0</v>
      </c>
      <c r="V31" s="239">
        <v>0</v>
      </c>
      <c r="W31" s="239">
        <v>0</v>
      </c>
      <c r="X31" s="239">
        <v>0</v>
      </c>
      <c r="Y31" s="239">
        <v>0</v>
      </c>
      <c r="Z31" s="239">
        <v>0</v>
      </c>
      <c r="AA31" s="239">
        <v>0</v>
      </c>
    </row>
    <row r="34" spans="2:26" x14ac:dyDescent="0.35">
      <c r="C34" s="237" t="s">
        <v>246</v>
      </c>
      <c r="D34" s="238" t="s">
        <v>247</v>
      </c>
      <c r="E34" s="237" t="s">
        <v>248</v>
      </c>
      <c r="F34" s="238" t="s">
        <v>249</v>
      </c>
      <c r="G34" s="237" t="s">
        <v>252</v>
      </c>
      <c r="H34" s="238" t="s">
        <v>253</v>
      </c>
      <c r="I34" s="237" t="s">
        <v>250</v>
      </c>
      <c r="J34" s="238" t="s">
        <v>251</v>
      </c>
      <c r="K34" s="237" t="s">
        <v>254</v>
      </c>
      <c r="L34" s="238" t="s">
        <v>255</v>
      </c>
      <c r="M34" s="237" t="s">
        <v>256</v>
      </c>
      <c r="N34" s="238" t="s">
        <v>257</v>
      </c>
      <c r="O34" s="237" t="s">
        <v>258</v>
      </c>
      <c r="P34" s="238" t="s">
        <v>259</v>
      </c>
      <c r="Q34" s="237" t="s">
        <v>260</v>
      </c>
      <c r="R34" s="238" t="s">
        <v>261</v>
      </c>
      <c r="S34" s="237" t="s">
        <v>262</v>
      </c>
      <c r="T34" s="238" t="s">
        <v>263</v>
      </c>
      <c r="U34" s="237" t="s">
        <v>264</v>
      </c>
      <c r="V34" s="238" t="s">
        <v>265</v>
      </c>
      <c r="W34" s="237" t="s">
        <v>266</v>
      </c>
      <c r="X34" s="238" t="s">
        <v>267</v>
      </c>
      <c r="Y34" s="237" t="s">
        <v>268</v>
      </c>
      <c r="Z34" s="238" t="s">
        <v>269</v>
      </c>
    </row>
    <row r="35" spans="2:26" x14ac:dyDescent="0.35">
      <c r="B35" s="234" t="s">
        <v>270</v>
      </c>
      <c r="C35" s="239">
        <f t="shared" ref="C35:Z35" si="0">C4+C10+C16+C22+C28</f>
        <v>0</v>
      </c>
      <c r="D35" s="239">
        <f t="shared" si="0"/>
        <v>0</v>
      </c>
      <c r="E35" s="239">
        <f t="shared" si="0"/>
        <v>0</v>
      </c>
      <c r="F35" s="239">
        <f t="shared" si="0"/>
        <v>0</v>
      </c>
      <c r="G35" s="239">
        <f t="shared" si="0"/>
        <v>0</v>
      </c>
      <c r="H35" s="239">
        <f t="shared" si="0"/>
        <v>0</v>
      </c>
      <c r="I35" s="239">
        <f t="shared" si="0"/>
        <v>0</v>
      </c>
      <c r="J35" s="239">
        <f t="shared" si="0"/>
        <v>0</v>
      </c>
      <c r="K35" s="239">
        <f t="shared" si="0"/>
        <v>0</v>
      </c>
      <c r="L35" s="239">
        <f t="shared" si="0"/>
        <v>0</v>
      </c>
      <c r="M35" s="239">
        <f t="shared" si="0"/>
        <v>0</v>
      </c>
      <c r="N35" s="239">
        <f t="shared" si="0"/>
        <v>0</v>
      </c>
      <c r="O35" s="239">
        <f t="shared" si="0"/>
        <v>0</v>
      </c>
      <c r="P35" s="239">
        <f t="shared" si="0"/>
        <v>0</v>
      </c>
      <c r="Q35" s="239">
        <f t="shared" si="0"/>
        <v>0</v>
      </c>
      <c r="R35" s="239">
        <f t="shared" si="0"/>
        <v>0</v>
      </c>
      <c r="S35" s="239">
        <f t="shared" si="0"/>
        <v>0</v>
      </c>
      <c r="T35" s="239">
        <f t="shared" si="0"/>
        <v>0</v>
      </c>
      <c r="U35" s="239">
        <f t="shared" si="0"/>
        <v>0</v>
      </c>
      <c r="V35" s="239">
        <f t="shared" si="0"/>
        <v>0</v>
      </c>
      <c r="W35" s="239">
        <f t="shared" si="0"/>
        <v>0</v>
      </c>
      <c r="X35" s="239">
        <f t="shared" si="0"/>
        <v>0</v>
      </c>
      <c r="Y35" s="239">
        <f t="shared" si="0"/>
        <v>0</v>
      </c>
      <c r="Z35" s="239">
        <f t="shared" si="0"/>
        <v>0</v>
      </c>
    </row>
    <row r="36" spans="2:26" x14ac:dyDescent="0.35">
      <c r="B36" s="234" t="s">
        <v>8</v>
      </c>
      <c r="C36" s="239">
        <f>C5+C11+C17+C23+C29</f>
        <v>0</v>
      </c>
      <c r="D36" s="239">
        <f t="shared" ref="D36:S38" si="1">D5+D11+D17+D23+D29</f>
        <v>0</v>
      </c>
      <c r="E36" s="239">
        <f t="shared" si="1"/>
        <v>0</v>
      </c>
      <c r="F36" s="239">
        <f t="shared" si="1"/>
        <v>0</v>
      </c>
      <c r="G36" s="239">
        <f t="shared" si="1"/>
        <v>0</v>
      </c>
      <c r="H36" s="239">
        <f t="shared" si="1"/>
        <v>0</v>
      </c>
      <c r="I36" s="239">
        <f t="shared" si="1"/>
        <v>0</v>
      </c>
      <c r="J36" s="239">
        <f t="shared" si="1"/>
        <v>0</v>
      </c>
      <c r="K36" s="239">
        <f t="shared" si="1"/>
        <v>0</v>
      </c>
      <c r="L36" s="239">
        <f t="shared" si="1"/>
        <v>0</v>
      </c>
      <c r="M36" s="239">
        <f t="shared" si="1"/>
        <v>0</v>
      </c>
      <c r="N36" s="239">
        <f t="shared" si="1"/>
        <v>0</v>
      </c>
      <c r="O36" s="239">
        <f t="shared" si="1"/>
        <v>0</v>
      </c>
      <c r="P36" s="239">
        <f t="shared" si="1"/>
        <v>0</v>
      </c>
      <c r="Q36" s="239">
        <f t="shared" si="1"/>
        <v>0</v>
      </c>
      <c r="R36" s="239">
        <f t="shared" si="1"/>
        <v>0</v>
      </c>
      <c r="S36" s="239">
        <f t="shared" si="1"/>
        <v>0</v>
      </c>
      <c r="T36" s="239">
        <f t="shared" ref="T36:Z36" si="2">T5+T11+T17+T23+T29</f>
        <v>0</v>
      </c>
      <c r="U36" s="239">
        <f t="shared" si="2"/>
        <v>0</v>
      </c>
      <c r="V36" s="239">
        <f t="shared" si="2"/>
        <v>0</v>
      </c>
      <c r="W36" s="239">
        <f t="shared" si="2"/>
        <v>0</v>
      </c>
      <c r="X36" s="239">
        <f t="shared" si="2"/>
        <v>0</v>
      </c>
      <c r="Y36" s="239">
        <f t="shared" si="2"/>
        <v>0</v>
      </c>
      <c r="Z36" s="239">
        <f t="shared" si="2"/>
        <v>0</v>
      </c>
    </row>
    <row r="37" spans="2:26" x14ac:dyDescent="0.35">
      <c r="B37" s="234" t="s">
        <v>69</v>
      </c>
      <c r="C37" s="239">
        <f>C6+C12+C18+C24+C30</f>
        <v>0</v>
      </c>
      <c r="D37" s="239">
        <f t="shared" si="1"/>
        <v>0</v>
      </c>
      <c r="E37" s="239">
        <f t="shared" si="1"/>
        <v>0</v>
      </c>
      <c r="F37" s="239">
        <f t="shared" si="1"/>
        <v>0</v>
      </c>
      <c r="G37" s="239">
        <f t="shared" si="1"/>
        <v>0</v>
      </c>
      <c r="H37" s="239">
        <f t="shared" si="1"/>
        <v>0</v>
      </c>
      <c r="I37" s="239">
        <f t="shared" si="1"/>
        <v>0</v>
      </c>
      <c r="J37" s="239">
        <f t="shared" si="1"/>
        <v>0</v>
      </c>
      <c r="K37" s="239">
        <f t="shared" si="1"/>
        <v>0</v>
      </c>
      <c r="L37" s="239">
        <f t="shared" si="1"/>
        <v>0</v>
      </c>
      <c r="M37" s="239">
        <f t="shared" si="1"/>
        <v>0</v>
      </c>
      <c r="N37" s="239">
        <f t="shared" si="1"/>
        <v>0</v>
      </c>
      <c r="O37" s="239">
        <f t="shared" si="1"/>
        <v>0</v>
      </c>
      <c r="P37" s="239">
        <f t="shared" si="1"/>
        <v>0</v>
      </c>
      <c r="Q37" s="239">
        <f t="shared" si="1"/>
        <v>0</v>
      </c>
      <c r="R37" s="239">
        <f t="shared" si="1"/>
        <v>0</v>
      </c>
      <c r="S37" s="239">
        <f t="shared" si="1"/>
        <v>0</v>
      </c>
      <c r="T37" s="239">
        <f t="shared" ref="T37:Z37" si="3">T6+T12+T18+T24+T30</f>
        <v>0</v>
      </c>
      <c r="U37" s="239">
        <f t="shared" si="3"/>
        <v>0</v>
      </c>
      <c r="V37" s="239">
        <f t="shared" si="3"/>
        <v>0</v>
      </c>
      <c r="W37" s="239">
        <f t="shared" si="3"/>
        <v>0</v>
      </c>
      <c r="X37" s="239">
        <f t="shared" si="3"/>
        <v>0</v>
      </c>
      <c r="Y37" s="239">
        <f t="shared" si="3"/>
        <v>0</v>
      </c>
      <c r="Z37" s="239">
        <f t="shared" si="3"/>
        <v>0</v>
      </c>
    </row>
    <row r="38" spans="2:26" x14ac:dyDescent="0.35">
      <c r="B38" s="234" t="s">
        <v>224</v>
      </c>
      <c r="C38" s="239">
        <f>C7+C13+C19+C25+C31</f>
        <v>0</v>
      </c>
      <c r="D38" s="239">
        <f t="shared" si="1"/>
        <v>0</v>
      </c>
      <c r="E38" s="239">
        <f t="shared" si="1"/>
        <v>0</v>
      </c>
      <c r="F38" s="239">
        <f t="shared" si="1"/>
        <v>0</v>
      </c>
      <c r="G38" s="239">
        <f t="shared" si="1"/>
        <v>0</v>
      </c>
      <c r="H38" s="239">
        <f t="shared" si="1"/>
        <v>0</v>
      </c>
      <c r="I38" s="239">
        <f t="shared" si="1"/>
        <v>0</v>
      </c>
      <c r="J38" s="239">
        <f t="shared" si="1"/>
        <v>0</v>
      </c>
      <c r="K38" s="239">
        <f t="shared" si="1"/>
        <v>0</v>
      </c>
      <c r="L38" s="239">
        <f t="shared" si="1"/>
        <v>0</v>
      </c>
      <c r="M38" s="239">
        <f t="shared" si="1"/>
        <v>0</v>
      </c>
      <c r="N38" s="239">
        <f t="shared" si="1"/>
        <v>0</v>
      </c>
      <c r="O38" s="239">
        <f t="shared" si="1"/>
        <v>0</v>
      </c>
      <c r="P38" s="239">
        <f t="shared" si="1"/>
        <v>0</v>
      </c>
      <c r="Q38" s="239">
        <f t="shared" si="1"/>
        <v>0</v>
      </c>
      <c r="R38" s="239">
        <f t="shared" si="1"/>
        <v>0</v>
      </c>
      <c r="S38" s="239">
        <f t="shared" si="1"/>
        <v>0</v>
      </c>
      <c r="T38" s="239">
        <f t="shared" ref="T38:Z38" si="4">T7+T13+T19+T25+T31</f>
        <v>0</v>
      </c>
      <c r="U38" s="239">
        <f t="shared" si="4"/>
        <v>0</v>
      </c>
      <c r="V38" s="239">
        <f t="shared" si="4"/>
        <v>0</v>
      </c>
      <c r="W38" s="239">
        <f t="shared" si="4"/>
        <v>0</v>
      </c>
      <c r="X38" s="239">
        <f t="shared" si="4"/>
        <v>0</v>
      </c>
      <c r="Y38" s="239">
        <f t="shared" si="4"/>
        <v>0</v>
      </c>
      <c r="Z38" s="239">
        <f t="shared" si="4"/>
        <v>0</v>
      </c>
    </row>
    <row r="41" spans="2:26" x14ac:dyDescent="0.35">
      <c r="C41" s="1563" t="s">
        <v>271</v>
      </c>
      <c r="D41" s="1564"/>
      <c r="E41" s="1565"/>
    </row>
    <row r="42" spans="2:26" x14ac:dyDescent="0.35">
      <c r="C42" s="233" t="s">
        <v>272</v>
      </c>
      <c r="D42" s="233" t="s">
        <v>273</v>
      </c>
      <c r="E42" s="233" t="s">
        <v>274</v>
      </c>
    </row>
    <row r="43" spans="2:26" x14ac:dyDescent="0.35">
      <c r="C43" s="234" t="s">
        <v>185</v>
      </c>
      <c r="D43" s="235" t="e">
        <f>C38/C35</f>
        <v>#DIV/0!</v>
      </c>
      <c r="E43" s="235" t="e">
        <f>D38/D35</f>
        <v>#DIV/0!</v>
      </c>
    </row>
    <row r="44" spans="2:26" x14ac:dyDescent="0.35">
      <c r="C44" s="234" t="s">
        <v>186</v>
      </c>
      <c r="D44" s="235" t="e">
        <f>E38/E35</f>
        <v>#DIV/0!</v>
      </c>
      <c r="E44" s="235" t="e">
        <f>F38/F35</f>
        <v>#DIV/0!</v>
      </c>
    </row>
    <row r="45" spans="2:26" x14ac:dyDescent="0.35">
      <c r="C45" s="234" t="s">
        <v>187</v>
      </c>
      <c r="D45" s="235" t="e">
        <f>G38/G35</f>
        <v>#DIV/0!</v>
      </c>
      <c r="E45" s="235" t="e">
        <f>H38/H35</f>
        <v>#DIV/0!</v>
      </c>
    </row>
    <row r="46" spans="2:26" x14ac:dyDescent="0.35">
      <c r="C46" s="234" t="s">
        <v>188</v>
      </c>
      <c r="D46" s="235" t="e">
        <f>I38/I35</f>
        <v>#DIV/0!</v>
      </c>
      <c r="E46" s="235" t="e">
        <f>J38/J35</f>
        <v>#DIV/0!</v>
      </c>
    </row>
    <row r="47" spans="2:26" x14ac:dyDescent="0.35">
      <c r="C47" s="234" t="s">
        <v>189</v>
      </c>
      <c r="D47" s="235" t="e">
        <f>K38/K35</f>
        <v>#DIV/0!</v>
      </c>
      <c r="E47" s="235" t="e">
        <f>L38/L35</f>
        <v>#DIV/0!</v>
      </c>
    </row>
    <row r="48" spans="2:26" x14ac:dyDescent="0.35">
      <c r="C48" s="234" t="s">
        <v>190</v>
      </c>
      <c r="D48" s="235" t="e">
        <f>M38/M35</f>
        <v>#DIV/0!</v>
      </c>
      <c r="E48" s="235"/>
    </row>
    <row r="49" spans="3:5" x14ac:dyDescent="0.35">
      <c r="C49" s="234" t="s">
        <v>191</v>
      </c>
      <c r="D49" s="235"/>
      <c r="E49" s="235"/>
    </row>
    <row r="50" spans="3:5" x14ac:dyDescent="0.35">
      <c r="C50" s="234" t="s">
        <v>192</v>
      </c>
      <c r="D50" s="235"/>
      <c r="E50" s="235"/>
    </row>
    <row r="51" spans="3:5" x14ac:dyDescent="0.35">
      <c r="C51" s="234" t="s">
        <v>193</v>
      </c>
      <c r="D51" s="235"/>
      <c r="E51" s="235"/>
    </row>
    <row r="52" spans="3:5" x14ac:dyDescent="0.35">
      <c r="C52" s="234" t="s">
        <v>194</v>
      </c>
      <c r="D52" s="235"/>
      <c r="E52" s="235"/>
    </row>
    <row r="53" spans="3:5" x14ac:dyDescent="0.35">
      <c r="C53" s="234" t="s">
        <v>195</v>
      </c>
      <c r="D53" s="235"/>
      <c r="E53" s="235"/>
    </row>
    <row r="54" spans="3:5" x14ac:dyDescent="0.35">
      <c r="C54" s="234" t="s">
        <v>196</v>
      </c>
      <c r="D54" s="235"/>
      <c r="E54" s="235"/>
    </row>
  </sheetData>
  <mergeCells count="1">
    <mergeCell ref="C41:E4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A1:O116"/>
  <sheetViews>
    <sheetView showGridLines="0" topLeftCell="F1" zoomScale="80" zoomScaleNormal="80" workbookViewId="0">
      <selection activeCell="J21" sqref="J21"/>
    </sheetView>
  </sheetViews>
  <sheetFormatPr baseColWidth="10" defaultRowHeight="14.5" x14ac:dyDescent="0.35"/>
  <cols>
    <col min="1" max="1" width="38.7265625" style="5" customWidth="1"/>
    <col min="2" max="2" width="18.453125" style="5" customWidth="1"/>
    <col min="3" max="3" width="18.26953125" style="5" customWidth="1"/>
    <col min="4" max="4" width="20.26953125" style="5" customWidth="1"/>
    <col min="5" max="5" width="18.7265625" style="5" customWidth="1"/>
    <col min="6" max="6" width="19.81640625" style="5" customWidth="1"/>
    <col min="7" max="7" width="17" style="5" customWidth="1"/>
    <col min="8" max="8" width="15.1796875" style="5" customWidth="1"/>
    <col min="9" max="9" width="19.453125" style="5" customWidth="1"/>
    <col min="10" max="10" width="16.453125" style="5" bestFit="1" customWidth="1"/>
    <col min="11" max="11" width="19.1796875" style="5" bestFit="1" customWidth="1"/>
    <col min="12" max="12" width="20.1796875" style="5" bestFit="1" customWidth="1"/>
    <col min="13" max="13" width="20.7265625" style="5" customWidth="1"/>
    <col min="14" max="14" width="18.453125" style="5" customWidth="1"/>
    <col min="15" max="15" width="15.81640625" style="5" customWidth="1"/>
  </cols>
  <sheetData>
    <row r="1" spans="1:15" x14ac:dyDescent="0.35">
      <c r="A1" s="1"/>
      <c r="B1" s="2"/>
      <c r="C1" s="2"/>
      <c r="D1" s="2"/>
      <c r="E1" s="3"/>
      <c r="F1" s="2"/>
      <c r="G1" s="2"/>
      <c r="H1" s="2"/>
      <c r="I1" s="2"/>
      <c r="J1" s="2"/>
      <c r="K1" s="2"/>
      <c r="L1" s="2"/>
      <c r="M1" s="2"/>
      <c r="N1" s="2"/>
      <c r="O1" s="2"/>
    </row>
    <row r="2" spans="1:15" x14ac:dyDescent="0.35">
      <c r="A2" s="4"/>
      <c r="B2" s="2"/>
      <c r="C2" s="2"/>
      <c r="D2" s="2"/>
      <c r="E2" s="3" t="s">
        <v>0</v>
      </c>
      <c r="F2" s="2"/>
      <c r="G2" s="2"/>
      <c r="H2" s="2"/>
      <c r="I2" s="2"/>
      <c r="J2" s="2"/>
      <c r="K2" s="2"/>
      <c r="L2" s="2"/>
      <c r="M2" s="2"/>
      <c r="N2" s="2"/>
      <c r="O2" s="2"/>
    </row>
    <row r="3" spans="1:15" x14ac:dyDescent="0.35">
      <c r="B3" s="2"/>
      <c r="C3" s="2"/>
      <c r="D3" s="2"/>
      <c r="E3" s="2"/>
      <c r="F3" s="2"/>
      <c r="G3" s="2"/>
      <c r="H3" s="2"/>
      <c r="I3" s="2"/>
      <c r="J3" s="2"/>
      <c r="K3" s="2"/>
      <c r="L3" s="2"/>
      <c r="M3" s="2"/>
      <c r="N3" s="2"/>
      <c r="O3" s="2"/>
    </row>
    <row r="4" spans="1:15" ht="15.5" x14ac:dyDescent="0.35">
      <c r="B4" s="6"/>
      <c r="C4" s="1233" t="s">
        <v>1</v>
      </c>
      <c r="D4" s="1233"/>
      <c r="E4" s="1234" t="s">
        <v>2</v>
      </c>
      <c r="F4" s="1235"/>
      <c r="G4" s="2"/>
      <c r="H4" s="1175"/>
      <c r="I4" s="2"/>
      <c r="J4" s="1098"/>
      <c r="K4" s="2"/>
      <c r="L4" s="2"/>
      <c r="M4" s="2"/>
      <c r="N4" s="2"/>
      <c r="O4" s="2"/>
    </row>
    <row r="5" spans="1:15" x14ac:dyDescent="0.35">
      <c r="F5" s="8"/>
      <c r="G5" s="8"/>
      <c r="H5" s="1099"/>
      <c r="I5" s="2"/>
      <c r="J5" s="1098"/>
      <c r="K5" s="1099"/>
      <c r="L5" s="2"/>
      <c r="M5" s="2"/>
      <c r="N5" s="2"/>
      <c r="O5" s="2"/>
    </row>
    <row r="6" spans="1:15" x14ac:dyDescent="0.35">
      <c r="A6" s="1236" t="s">
        <v>3</v>
      </c>
      <c r="B6" s="1236"/>
      <c r="C6" s="1236"/>
      <c r="D6" s="1236"/>
      <c r="F6" s="8"/>
      <c r="G6" s="8"/>
      <c r="H6" s="1099"/>
      <c r="I6" s="2"/>
      <c r="J6" s="7"/>
      <c r="K6" s="2"/>
      <c r="L6" s="2"/>
      <c r="M6" s="2"/>
      <c r="N6" s="2"/>
      <c r="O6" s="2"/>
    </row>
    <row r="7" spans="1:15" ht="15" thickBot="1" x14ac:dyDescent="0.4">
      <c r="B7" s="2"/>
      <c r="C7" s="2"/>
      <c r="E7" s="2"/>
      <c r="F7" s="2"/>
      <c r="G7" s="2"/>
      <c r="H7" s="2"/>
      <c r="K7" s="9"/>
    </row>
    <row r="8" spans="1:15" ht="39.5" thickBot="1" x14ac:dyDescent="0.4">
      <c r="A8" s="624" t="s">
        <v>4</v>
      </c>
      <c r="B8" s="625" t="s">
        <v>5</v>
      </c>
      <c r="C8" s="625" t="s">
        <v>6</v>
      </c>
      <c r="D8" s="625" t="s">
        <v>7</v>
      </c>
      <c r="E8" s="626" t="s">
        <v>8</v>
      </c>
      <c r="F8" s="626" t="s">
        <v>9</v>
      </c>
      <c r="G8" s="626" t="s">
        <v>10</v>
      </c>
      <c r="H8" s="626" t="s">
        <v>11</v>
      </c>
      <c r="I8" s="1111" t="s">
        <v>12</v>
      </c>
      <c r="J8" s="1112" t="s">
        <v>13</v>
      </c>
      <c r="K8" s="623" t="s">
        <v>14</v>
      </c>
      <c r="L8" s="1112" t="s">
        <v>15</v>
      </c>
      <c r="M8" s="1113" t="s">
        <v>16</v>
      </c>
      <c r="N8" s="246" t="s">
        <v>17</v>
      </c>
      <c r="O8" s="613" t="s">
        <v>18</v>
      </c>
    </row>
    <row r="9" spans="1:15" x14ac:dyDescent="0.35">
      <c r="A9" s="614" t="str">
        <f>+'B) Reajuste Tarifa y Ocupación'!A12</f>
        <v>C.H. OFICIALES "FARO EVANGELISTAS"</v>
      </c>
      <c r="B9" s="615">
        <f>+I54</f>
        <v>191423600</v>
      </c>
      <c r="C9" s="616">
        <f>+H54</f>
        <v>52680100</v>
      </c>
      <c r="D9" s="617">
        <f>+B9+C9</f>
        <v>244103700</v>
      </c>
      <c r="E9" s="618">
        <f>+'C) Estimación Costos Directos'!H13</f>
        <v>122878770.40000001</v>
      </c>
      <c r="F9" s="618">
        <f>+'C) Estimación Costos Directos'!H27+'C) Estimación Costos Directos'!H28+'C) Estimación Costos Directos'!H29+'C) Estimación Costos Directos'!H30+'C) Estimación Costos Directos'!H32+'C) Estimación Costos Directos'!H53+'C) Estimación Costos Directos'!H33+'C) Estimación Costos Directos'!H47+'C) Estimación Costos Directos'!H23+'C) Estimación Costos Directos'!H31+'C) Estimación Costos Directos'!H46</f>
        <v>37380500</v>
      </c>
      <c r="G9" s="618">
        <f>+'C) Estimación Costos Directos'!H68</f>
        <v>0</v>
      </c>
      <c r="H9" s="618">
        <f>'C) Estimación Costos Directos'!H25+'C) Estimación Costos Directos'!H74</f>
        <v>5849500</v>
      </c>
      <c r="I9" s="618">
        <f>+'C) Estimación Costos Directos'!H80-E9-F9-G9-H9</f>
        <v>55118500</v>
      </c>
      <c r="J9" s="619">
        <f>SUM(E9:I9)</f>
        <v>221227270.40000001</v>
      </c>
      <c r="K9" s="620">
        <f>IFERROR(+'D) Costos Indirectos'!$AO$15*(J9/$J$16),0)</f>
        <v>79359572.749674603</v>
      </c>
      <c r="L9" s="621">
        <f>+J9+K9</f>
        <v>300586843.14967459</v>
      </c>
      <c r="M9" s="622">
        <f>D9-L9</f>
        <v>-56483143.149674594</v>
      </c>
      <c r="N9" s="247">
        <f>D9-J9</f>
        <v>22876429.599999994</v>
      </c>
      <c r="O9" s="612">
        <f t="shared" ref="O9:O14" si="0">IFERROR(+K9/$K$16,0)</f>
        <v>0.56726420553253165</v>
      </c>
    </row>
    <row r="10" spans="1:15" x14ac:dyDescent="0.35">
      <c r="A10" s="14" t="str">
        <f>+'B) Reajuste Tarifa y Ocupación'!A22</f>
        <v>CABAÑAS TORRES DEL PAINE</v>
      </c>
      <c r="B10" s="15">
        <f>+I58</f>
        <v>35883000</v>
      </c>
      <c r="C10" s="16">
        <f>+H58</f>
        <v>17695800</v>
      </c>
      <c r="D10" s="17">
        <f t="shared" ref="D10:D14" si="1">+B10+C10</f>
        <v>53578800</v>
      </c>
      <c r="E10" s="18">
        <f>+'C) Estimación Costos Directos'!H85</f>
        <v>0</v>
      </c>
      <c r="F10" s="18">
        <f>+'C) Estimación Costos Directos'!H101+'C) Estimación Costos Directos'!H125+'C) Estimación Costos Directos'!H95+'C) Estimación Costos Directos'!H99+'C) Estimación Costos Directos'!H100+'C) Estimación Costos Directos'!H103+'C) Estimación Costos Directos'!H102+'C) Estimación Costos Directos'!H104+'C) Estimación Costos Directos'!H105+'C) Estimación Costos Directos'!H118+'C) Estimación Costos Directos'!H119</f>
        <v>12218500</v>
      </c>
      <c r="G10" s="18">
        <f>+'C) Estimación Costos Directos'!H140</f>
        <v>0</v>
      </c>
      <c r="H10" s="18">
        <f>+'C) Estimación Costos Directos'!H97+'C) Estimación Costos Directos'!H146</f>
        <v>2560000</v>
      </c>
      <c r="I10" s="18">
        <f>+'C) Estimación Costos Directos'!H152-E10-F10-G10-H10</f>
        <v>10428500</v>
      </c>
      <c r="J10" s="11">
        <f>SUM(E10:I10)</f>
        <v>25207000</v>
      </c>
      <c r="K10" s="19">
        <f>IFERROR(+'D) Costos Indirectos'!$AO$15*(J10/$J$16),0)</f>
        <v>9042360.5854924824</v>
      </c>
      <c r="L10" s="13">
        <f t="shared" ref="L10:L15" si="2">+J10+K10</f>
        <v>34249360.585492484</v>
      </c>
      <c r="M10" s="244">
        <f t="shared" ref="M10:M15" si="3">D10-L10</f>
        <v>19329439.414507516</v>
      </c>
      <c r="N10" s="248">
        <f t="shared" ref="N10:N15" si="4">D10-J10</f>
        <v>28371800</v>
      </c>
      <c r="O10" s="610">
        <f t="shared" si="0"/>
        <v>6.4635019014629244E-2</v>
      </c>
    </row>
    <row r="11" spans="1:15" x14ac:dyDescent="0.35">
      <c r="A11" s="14" t="str">
        <f>+'B) Reajuste Tarifa y Ocupación'!A23</f>
        <v>C.H. GENTE DE MAR "FARO DUNGENESS"</v>
      </c>
      <c r="B11" s="15">
        <f>I89</f>
        <v>82402100</v>
      </c>
      <c r="C11" s="16">
        <f>H89</f>
        <v>36451800</v>
      </c>
      <c r="D11" s="17">
        <f t="shared" si="1"/>
        <v>118853900</v>
      </c>
      <c r="E11" s="10">
        <f>+'C) Estimación Costos Directos'!H157</f>
        <v>83669610.400000006</v>
      </c>
      <c r="F11" s="10">
        <f>+'C) Estimación Costos Directos'!H171+'C) Estimación Costos Directos'!H172+'C) Estimación Costos Directos'!H173+'C) Estimación Costos Directos'!H174+'C) Estimación Costos Directos'!H176+'C) Estimación Costos Directos'!H191+'C) Estimación Costos Directos'!H197+'C) Estimación Costos Directos'!H177+'C) Estimación Costos Directos'!H167+'C) Estimación Costos Directos'!H175+'C) Estimación Costos Directos'!H190</f>
        <v>23585500</v>
      </c>
      <c r="G11" s="10">
        <f>+'C) Estimación Costos Directos'!H212</f>
        <v>0</v>
      </c>
      <c r="H11" s="10">
        <f>+'C) Estimación Costos Directos'!H169+'C) Estimación Costos Directos'!H218</f>
        <v>2605000</v>
      </c>
      <c r="I11" s="10">
        <f>+'C) Estimación Costos Directos'!H224-E11-F11-G11-H11</f>
        <v>14462000</v>
      </c>
      <c r="J11" s="11">
        <f t="shared" ref="J11:J15" si="5">SUM(E11:I11)</f>
        <v>124322110.40000001</v>
      </c>
      <c r="K11" s="12">
        <f>IFERROR(+'D) Costos Indirectos'!$AO$15*(J11/$J$16),0)</f>
        <v>44597347.998024561</v>
      </c>
      <c r="L11" s="13">
        <f t="shared" si="2"/>
        <v>168919458.39802456</v>
      </c>
      <c r="M11" s="244">
        <f t="shared" si="3"/>
        <v>-50065558.398024559</v>
      </c>
      <c r="N11" s="248">
        <f t="shared" si="4"/>
        <v>-5468210.400000006</v>
      </c>
      <c r="O11" s="610">
        <f t="shared" si="0"/>
        <v>0.31878295591077227</v>
      </c>
    </row>
    <row r="12" spans="1:15" x14ac:dyDescent="0.35">
      <c r="A12" s="14" t="str">
        <f>+'B) Reajuste Tarifa y Ocupación'!A33</f>
        <v>CABAÑAS RIO SAN JUAN</v>
      </c>
      <c r="B12" s="15">
        <f>+I93</f>
        <v>5571300</v>
      </c>
      <c r="C12" s="16">
        <f>+H93</f>
        <v>2743500</v>
      </c>
      <c r="D12" s="17">
        <f>+B12+C12</f>
        <v>8314800</v>
      </c>
      <c r="E12" s="18">
        <f>+'C) Estimación Costos Directos'!H229</f>
        <v>0</v>
      </c>
      <c r="F12" s="18">
        <f>+'C) Estimación Costos Directos'!H245+'C) Estimación Costos Directos'!H269+'C) Estimación Costos Directos'!H239+'C) Estimación Costos Directos'!H243+'C) Estimación Costos Directos'!H244+'C) Estimación Costos Directos'!H246+'C) Estimación Costos Directos'!H247+'C) Estimación Costos Directos'!H248+'C) Estimación Costos Directos'!H249+'C) Estimación Costos Directos'!H262+'C) Estimación Costos Directos'!H263</f>
        <v>2392500</v>
      </c>
      <c r="G12" s="18">
        <f>+'C) Estimación Costos Directos'!H284</f>
        <v>0</v>
      </c>
      <c r="H12" s="18">
        <f>+'C) Estimación Costos Directos'!H241+'C) Estimación Costos Directos'!H290</f>
        <v>1500000</v>
      </c>
      <c r="I12" s="18">
        <f>+'C) Estimación Costos Directos'!H296-E12-F12-G12-H12</f>
        <v>2199000</v>
      </c>
      <c r="J12" s="11">
        <f t="shared" si="5"/>
        <v>6091500</v>
      </c>
      <c r="K12" s="19">
        <f>IFERROR(+'D) Costos Indirectos'!$AO$15*(J12/$J$16),0)</f>
        <v>2185168.3860248127</v>
      </c>
      <c r="L12" s="13">
        <f t="shared" si="2"/>
        <v>8276668.3860248122</v>
      </c>
      <c r="M12" s="244">
        <f t="shared" si="3"/>
        <v>38131.613975187764</v>
      </c>
      <c r="N12" s="248">
        <f t="shared" si="4"/>
        <v>2223300</v>
      </c>
      <c r="O12" s="610">
        <f t="shared" si="0"/>
        <v>1.5619638129393185E-2</v>
      </c>
    </row>
    <row r="13" spans="1:15" x14ac:dyDescent="0.35">
      <c r="A13" s="14" t="str">
        <f>+'B) Reajuste Tarifa y Ocupación'!A34</f>
        <v>CENTRO RECREATIVO</v>
      </c>
      <c r="B13" s="15">
        <f>+I103</f>
        <v>10711000</v>
      </c>
      <c r="C13" s="16">
        <f>H103</f>
        <v>4928300</v>
      </c>
      <c r="D13" s="17">
        <f t="shared" si="1"/>
        <v>15639300</v>
      </c>
      <c r="E13" s="18">
        <f>+'C) Estimación Costos Directos'!H301</f>
        <v>5868948</v>
      </c>
      <c r="F13" s="18">
        <f>+'C) Estimación Costos Directos'!H316+'C) Estimación Costos Directos'!H318+'C) Estimación Costos Directos'!H311+'C) Estimación Costos Directos'!H315+'C) Estimación Costos Directos'!H317+'C) Estimación Costos Directos'!H320+'C) Estimación Costos Directos'!H321+'C) Estimación Costos Directos'!H334+'C) Estimación Costos Directos'!H335+'C) Estimación Costos Directos'!H341+'C) Estimación Costos Directos'!H319</f>
        <v>4271000</v>
      </c>
      <c r="G13" s="18">
        <f>+'C) Estimación Costos Directos'!H356</f>
        <v>0</v>
      </c>
      <c r="H13" s="18">
        <f>+'C) Estimación Costos Directos'!H313+'C) Estimación Costos Directos'!H362</f>
        <v>350000</v>
      </c>
      <c r="I13" s="18">
        <f>+'C) Estimación Costos Directos'!H368-E13-F13-G13-H13</f>
        <v>580000</v>
      </c>
      <c r="J13" s="11">
        <f t="shared" si="5"/>
        <v>11069948</v>
      </c>
      <c r="K13" s="19">
        <f>IFERROR(+'D) Costos Indirectos'!$AO$15*(J13/$J$16),0)</f>
        <v>3971058.0980938361</v>
      </c>
      <c r="L13" s="13">
        <f t="shared" si="2"/>
        <v>15041006.098093836</v>
      </c>
      <c r="M13" s="244">
        <f t="shared" si="3"/>
        <v>598293.90190616436</v>
      </c>
      <c r="N13" s="248">
        <f t="shared" si="4"/>
        <v>4569352</v>
      </c>
      <c r="O13" s="610">
        <f t="shared" si="0"/>
        <v>2.8385222337880624E-2</v>
      </c>
    </row>
    <row r="14" spans="1:15" x14ac:dyDescent="0.35">
      <c r="A14" s="14" t="str">
        <f>+'B) Reajuste Tarifa y Ocupación'!A37</f>
        <v>SALA EVENTOS - QUINCHO BERMUDEZ</v>
      </c>
      <c r="B14" s="15">
        <f>+I107</f>
        <v>1961200</v>
      </c>
      <c r="C14" s="16">
        <f>H106</f>
        <v>958800</v>
      </c>
      <c r="D14" s="17">
        <f t="shared" si="1"/>
        <v>2920000</v>
      </c>
      <c r="E14" s="18">
        <f>+'C) Estimación Costos Directos'!H373</f>
        <v>0</v>
      </c>
      <c r="F14" s="18">
        <f>+'C) Estimación Costos Directos'!H387+'C) Estimación Costos Directos'!H388+'C) Estimación Costos Directos'!H389+'C) Estimación Costos Directos'!H413+'C) Estimación Costos Directos'!H383+'C) Estimación Costos Directos'!H390+'C) Estimación Costos Directos'!H391+'C) Estimación Costos Directos'!H392+'C) Estimación Costos Directos'!H393+'C) Estimación Costos Directos'!H406+'C) Estimación Costos Directos'!H407</f>
        <v>891000</v>
      </c>
      <c r="G14" s="18">
        <f>+'C) Estimación Costos Directos'!H428</f>
        <v>0</v>
      </c>
      <c r="H14" s="11">
        <f>+'C) Estimación Costos Directos'!H434+'C) Estimación Costos Directos'!H385</f>
        <v>850000</v>
      </c>
      <c r="I14" s="18">
        <f>+'C) Estimación Costos Directos'!H440-E14-F14-G14-H14</f>
        <v>331000</v>
      </c>
      <c r="J14" s="11">
        <f t="shared" si="5"/>
        <v>2072000</v>
      </c>
      <c r="K14" s="19">
        <f>IFERROR(+'D) Costos Indirectos'!$AO$15*(J14/$J$16),0)</f>
        <v>743276.51577499986</v>
      </c>
      <c r="L14" s="13">
        <f t="shared" si="2"/>
        <v>2815276.5157749997</v>
      </c>
      <c r="M14" s="244">
        <f t="shared" si="3"/>
        <v>104723.48422500025</v>
      </c>
      <c r="N14" s="248">
        <f t="shared" si="4"/>
        <v>848000</v>
      </c>
      <c r="O14" s="610">
        <f t="shared" si="0"/>
        <v>5.3129590747931837E-3</v>
      </c>
    </row>
    <row r="15" spans="1:15" x14ac:dyDescent="0.35">
      <c r="A15" s="14" t="s">
        <v>19</v>
      </c>
      <c r="B15" s="20"/>
      <c r="C15" s="20"/>
      <c r="D15" s="1132">
        <f>+B15+C15</f>
        <v>0</v>
      </c>
      <c r="E15" s="11">
        <f>+'C) Estimación Costos Directos'!H445</f>
        <v>0</v>
      </c>
      <c r="F15" s="18">
        <f>'C) Estimación Costos Directos'!H455+'C) Estimación Costos Directos'!H459+'C) Estimación Costos Directos'!H460+'C) Estimación Costos Directos'!H461+'C) Estimación Costos Directos'!H462+'C) Estimación Costos Directos'!H463+'C) Estimación Costos Directos'!H464+'C) Estimación Costos Directos'!H465+'C) Estimación Costos Directos'!H478+'C) Estimación Costos Directos'!H479+'C) Estimación Costos Directos'!H485</f>
        <v>0</v>
      </c>
      <c r="G15" s="11">
        <f>+'C) Estimación Costos Directos'!H500</f>
        <v>0</v>
      </c>
      <c r="H15" s="11">
        <f>+'C) Estimación Costos Directos'!H506+'C) Estimación Costos Directos'!H457</f>
        <v>0</v>
      </c>
      <c r="I15" s="425">
        <f>+'C) Estimación Costos Directos'!H512-E15-F15-G15-H15</f>
        <v>0</v>
      </c>
      <c r="J15" s="11">
        <f t="shared" si="5"/>
        <v>0</v>
      </c>
      <c r="K15" s="19">
        <f>IFERROR(+'D) Costos Indirectos'!$AO$15*(J15/$J$16),0)</f>
        <v>0</v>
      </c>
      <c r="L15" s="13">
        <f t="shared" si="2"/>
        <v>0</v>
      </c>
      <c r="M15" s="244">
        <f t="shared" si="3"/>
        <v>0</v>
      </c>
      <c r="N15" s="248">
        <f t="shared" si="4"/>
        <v>0</v>
      </c>
      <c r="O15" s="610">
        <f t="shared" ref="O15" si="6">IFERROR(+K15/$K$16,0)</f>
        <v>0</v>
      </c>
    </row>
    <row r="16" spans="1:15" ht="15" thickBot="1" x14ac:dyDescent="0.4">
      <c r="A16" s="21" t="s">
        <v>20</v>
      </c>
      <c r="B16" s="22">
        <f t="shared" ref="B16:O16" si="7">SUM(B9:B15)</f>
        <v>327952200</v>
      </c>
      <c r="C16" s="22">
        <f t="shared" si="7"/>
        <v>115458300</v>
      </c>
      <c r="D16" s="23">
        <f t="shared" si="7"/>
        <v>443410500</v>
      </c>
      <c r="E16" s="23">
        <f t="shared" si="7"/>
        <v>212417328.80000001</v>
      </c>
      <c r="F16" s="339">
        <f>SUM(F9:F15)</f>
        <v>80739000</v>
      </c>
      <c r="G16" s="23">
        <f t="shared" si="7"/>
        <v>0</v>
      </c>
      <c r="H16" s="23">
        <f t="shared" si="7"/>
        <v>13714500</v>
      </c>
      <c r="I16" s="22">
        <f t="shared" si="7"/>
        <v>83119000</v>
      </c>
      <c r="J16" s="24">
        <f t="shared" si="7"/>
        <v>389989828.80000001</v>
      </c>
      <c r="K16" s="25">
        <f t="shared" si="7"/>
        <v>139898784.33308527</v>
      </c>
      <c r="L16" s="23">
        <f t="shared" si="7"/>
        <v>529888613.13308531</v>
      </c>
      <c r="M16" s="245">
        <f t="shared" si="7"/>
        <v>-86478113.133085296</v>
      </c>
      <c r="N16" s="249">
        <f t="shared" si="7"/>
        <v>53420671.199999988</v>
      </c>
      <c r="O16" s="611">
        <f t="shared" si="7"/>
        <v>1</v>
      </c>
    </row>
    <row r="17" spans="1:15" x14ac:dyDescent="0.35">
      <c r="A17" s="26"/>
      <c r="B17" s="26"/>
      <c r="C17" s="26"/>
      <c r="D17" s="26"/>
      <c r="E17" s="26"/>
      <c r="F17" s="26"/>
      <c r="G17" s="26"/>
      <c r="H17" s="26"/>
      <c r="I17" s="26"/>
      <c r="J17" s="26"/>
      <c r="K17" s="26"/>
      <c r="L17" s="2"/>
      <c r="M17" s="2"/>
      <c r="N17" s="409"/>
      <c r="O17" s="2"/>
    </row>
    <row r="18" spans="1:15" x14ac:dyDescent="0.35">
      <c r="A18" s="26"/>
      <c r="B18" s="26"/>
      <c r="C18" s="26"/>
      <c r="D18" s="26"/>
      <c r="E18" s="29"/>
      <c r="F18" s="29"/>
      <c r="G18" s="26"/>
      <c r="H18" s="26"/>
      <c r="I18" s="26"/>
      <c r="J18" s="26"/>
      <c r="K18" s="27"/>
      <c r="L18" s="27"/>
      <c r="M18" s="27"/>
      <c r="N18" s="27"/>
      <c r="O18" s="2"/>
    </row>
    <row r="19" spans="1:15" x14ac:dyDescent="0.35">
      <c r="A19" s="28"/>
      <c r="B19" s="28"/>
      <c r="C19" s="29"/>
      <c r="E19" s="134"/>
      <c r="F19" s="29"/>
      <c r="G19" s="29"/>
      <c r="H19" s="29"/>
      <c r="I19" s="29"/>
      <c r="J19" s="29"/>
      <c r="K19" s="29"/>
      <c r="L19" s="569" t="s">
        <v>296</v>
      </c>
      <c r="M19" s="570">
        <f>M16/D16</f>
        <v>-0.19502946622392861</v>
      </c>
      <c r="N19" s="570">
        <f>N16/D16</f>
        <v>0.12047678437926028</v>
      </c>
      <c r="O19" s="2"/>
    </row>
    <row r="20" spans="1:15" x14ac:dyDescent="0.35">
      <c r="A20" s="1236" t="s">
        <v>21</v>
      </c>
      <c r="B20" s="1236"/>
      <c r="C20" s="1236"/>
      <c r="D20" s="1236"/>
      <c r="F20" s="29"/>
      <c r="G20" s="29"/>
      <c r="H20" s="29"/>
      <c r="I20" s="29"/>
      <c r="J20" s="29"/>
      <c r="K20" s="29"/>
      <c r="L20" s="29"/>
      <c r="M20" s="2"/>
      <c r="N20" s="2"/>
      <c r="O20" s="2"/>
    </row>
    <row r="21" spans="1:15" x14ac:dyDescent="0.35">
      <c r="A21" s="2"/>
      <c r="B21" s="2"/>
      <c r="C21" s="2"/>
      <c r="D21" s="2"/>
      <c r="E21" s="2"/>
      <c r="F21" s="2"/>
      <c r="G21" s="2"/>
      <c r="H21" s="30"/>
      <c r="I21" s="30"/>
      <c r="J21" s="7"/>
      <c r="K21" s="7"/>
      <c r="L21" s="2"/>
      <c r="M21" s="31"/>
      <c r="N21" s="2"/>
      <c r="O21" s="2"/>
    </row>
    <row r="22" spans="1:15" ht="15.5" x14ac:dyDescent="0.35">
      <c r="A22" s="1237" t="s">
        <v>22</v>
      </c>
      <c r="B22" s="1237" t="s">
        <v>23</v>
      </c>
      <c r="C22" s="1239" t="s">
        <v>24</v>
      </c>
      <c r="D22" s="1241" t="s">
        <v>373</v>
      </c>
      <c r="E22" s="1241"/>
      <c r="F22" s="1241"/>
      <c r="G22" s="1241"/>
      <c r="H22" s="1242" t="s">
        <v>25</v>
      </c>
      <c r="I22" s="1231" t="s">
        <v>5</v>
      </c>
      <c r="J22" s="1231" t="s">
        <v>26</v>
      </c>
      <c r="K22" s="32"/>
      <c r="L22" s="33"/>
      <c r="M22" s="134"/>
      <c r="N22" s="26"/>
      <c r="O22" s="26"/>
    </row>
    <row r="23" spans="1:15" ht="24" customHeight="1" x14ac:dyDescent="0.35">
      <c r="A23" s="1237"/>
      <c r="B23" s="1238"/>
      <c r="C23" s="1240"/>
      <c r="D23" s="34" t="s">
        <v>27</v>
      </c>
      <c r="E23" s="34" t="s">
        <v>28</v>
      </c>
      <c r="F23" s="34" t="s">
        <v>29</v>
      </c>
      <c r="G23" s="34" t="s">
        <v>30</v>
      </c>
      <c r="H23" s="1232"/>
      <c r="I23" s="1232"/>
      <c r="J23" s="1232"/>
      <c r="K23" s="35"/>
      <c r="L23" s="26"/>
      <c r="M23" s="26"/>
      <c r="N23" s="26"/>
      <c r="O23" s="26"/>
    </row>
    <row r="24" spans="1:15" x14ac:dyDescent="0.35">
      <c r="A24" s="1208" t="str">
        <f>+'B) Reajuste Tarifa y Ocupación'!A12</f>
        <v>C.H. OFICIALES "FARO EVANGELISTAS"</v>
      </c>
      <c r="B24" s="1211" t="str">
        <f>+'B) Reajuste Tarifa y Ocupación'!B12</f>
        <v>SINGLE</v>
      </c>
      <c r="C24" s="36" t="s">
        <v>374</v>
      </c>
      <c r="D24" s="37">
        <f>+'B) Reajuste Tarifa y Ocupación'!J12</f>
        <v>33100</v>
      </c>
      <c r="E24" s="37">
        <f>+'B) Reajuste Tarifa y Ocupación'!K12</f>
        <v>50800</v>
      </c>
      <c r="F24" s="37">
        <f>+'B) Reajuste Tarifa y Ocupación'!L12</f>
        <v>60500</v>
      </c>
      <c r="G24" s="37">
        <f>+'B) Reajuste Tarifa y Ocupación'!M12</f>
        <v>63300</v>
      </c>
      <c r="H24" s="1220"/>
      <c r="I24" s="1220"/>
      <c r="J24" s="1205"/>
      <c r="K24" s="38"/>
    </row>
    <row r="25" spans="1:15" x14ac:dyDescent="0.35">
      <c r="A25" s="1209"/>
      <c r="B25" s="1212"/>
      <c r="C25" s="39" t="s">
        <v>31</v>
      </c>
      <c r="D25" s="599">
        <f>+'B) Reajuste Tarifa y Ocupación'!U12</f>
        <v>1395</v>
      </c>
      <c r="E25" s="599">
        <f>+'B) Reajuste Tarifa y Ocupación'!V12</f>
        <v>664</v>
      </c>
      <c r="F25" s="599">
        <f>+'B) Reajuste Tarifa y Ocupación'!W12</f>
        <v>138</v>
      </c>
      <c r="G25" s="599">
        <f>+'B) Reajuste Tarifa y Ocupación'!X12</f>
        <v>32</v>
      </c>
      <c r="H25" s="1230"/>
      <c r="I25" s="1215"/>
      <c r="J25" s="1217"/>
      <c r="K25" s="38"/>
    </row>
    <row r="26" spans="1:15" x14ac:dyDescent="0.35">
      <c r="A26" s="1209"/>
      <c r="B26" s="1213"/>
      <c r="C26" s="41" t="s">
        <v>32</v>
      </c>
      <c r="D26" s="42">
        <f>D25*D24</f>
        <v>46174500</v>
      </c>
      <c r="E26" s="42">
        <f>E25*E24</f>
        <v>33731200</v>
      </c>
      <c r="F26" s="42">
        <f t="shared" ref="F26:G26" si="8">F25*F24</f>
        <v>8349000</v>
      </c>
      <c r="G26" s="42">
        <f t="shared" si="8"/>
        <v>2025600</v>
      </c>
      <c r="H26" s="43">
        <f>(E24-D24)*D25</f>
        <v>24691500</v>
      </c>
      <c r="I26" s="44">
        <f>SUM(D26:G26)</f>
        <v>90280300</v>
      </c>
      <c r="J26" s="44">
        <f>H26+I26</f>
        <v>114971800</v>
      </c>
      <c r="K26" s="38"/>
    </row>
    <row r="27" spans="1:15" x14ac:dyDescent="0.35">
      <c r="A27" s="1209"/>
      <c r="B27" s="1211" t="str">
        <f>+'B) Reajuste Tarifa y Ocupación'!B13</f>
        <v>DOBLE - MATRIMONIAL</v>
      </c>
      <c r="C27" s="36" t="s">
        <v>374</v>
      </c>
      <c r="D27" s="46">
        <f>+'B) Reajuste Tarifa y Ocupación'!J13</f>
        <v>43500</v>
      </c>
      <c r="E27" s="46">
        <f>+'B) Reajuste Tarifa y Ocupación'!K13</f>
        <v>66900</v>
      </c>
      <c r="F27" s="46">
        <f>+'B) Reajuste Tarifa y Ocupación'!L13</f>
        <v>79600</v>
      </c>
      <c r="G27" s="46">
        <f>+'B) Reajuste Tarifa y Ocupación'!M13</f>
        <v>83400</v>
      </c>
      <c r="H27" s="1229"/>
      <c r="I27" s="1214"/>
      <c r="J27" s="1216"/>
      <c r="K27" s="38"/>
    </row>
    <row r="28" spans="1:15" x14ac:dyDescent="0.35">
      <c r="A28" s="1209"/>
      <c r="B28" s="1212"/>
      <c r="C28" s="39" t="s">
        <v>31</v>
      </c>
      <c r="D28" s="599">
        <f>+'B) Reajuste Tarifa y Ocupación'!U13</f>
        <v>542</v>
      </c>
      <c r="E28" s="599">
        <f>+'B) Reajuste Tarifa y Ocupación'!V13</f>
        <v>297</v>
      </c>
      <c r="F28" s="599">
        <f>+'B) Reajuste Tarifa y Ocupación'!W13</f>
        <v>71</v>
      </c>
      <c r="G28" s="599">
        <f>+'B) Reajuste Tarifa y Ocupación'!X13</f>
        <v>18</v>
      </c>
      <c r="H28" s="1228"/>
      <c r="I28" s="1220"/>
      <c r="J28" s="1205"/>
      <c r="K28" s="38"/>
    </row>
    <row r="29" spans="1:15" x14ac:dyDescent="0.35">
      <c r="A29" s="1209"/>
      <c r="B29" s="1213"/>
      <c r="C29" s="41" t="s">
        <v>32</v>
      </c>
      <c r="D29" s="42">
        <f>D28*D27</f>
        <v>23577000</v>
      </c>
      <c r="E29" s="42">
        <f>E28*E27</f>
        <v>19869300</v>
      </c>
      <c r="F29" s="42">
        <f t="shared" ref="F29:G29" si="9">F28*F27</f>
        <v>5651600</v>
      </c>
      <c r="G29" s="42">
        <f t="shared" si="9"/>
        <v>1501200</v>
      </c>
      <c r="H29" s="43">
        <f>(E27-D27)*D28</f>
        <v>12682800</v>
      </c>
      <c r="I29" s="44">
        <f>SUM(D29:G29)</f>
        <v>50599100</v>
      </c>
      <c r="J29" s="44">
        <f>H29+I29</f>
        <v>63281900</v>
      </c>
      <c r="K29" s="45"/>
    </row>
    <row r="30" spans="1:15" x14ac:dyDescent="0.35">
      <c r="A30" s="1209"/>
      <c r="B30" s="1211" t="str">
        <f>+'B) Reajuste Tarifa y Ocupación'!B14</f>
        <v>TRIPLE</v>
      </c>
      <c r="C30" s="36" t="s">
        <v>374</v>
      </c>
      <c r="D30" s="46">
        <f>+'B) Reajuste Tarifa y Ocupación'!J14</f>
        <v>54000</v>
      </c>
      <c r="E30" s="46">
        <f>+'B) Reajuste Tarifa y Ocupación'!K14</f>
        <v>83000</v>
      </c>
      <c r="F30" s="46">
        <f>+'B) Reajuste Tarifa y Ocupación'!L14</f>
        <v>98800</v>
      </c>
      <c r="G30" s="46">
        <f>+'B) Reajuste Tarifa y Ocupación'!M14</f>
        <v>103500</v>
      </c>
      <c r="H30" s="1228"/>
      <c r="I30" s="1220"/>
      <c r="J30" s="1205"/>
      <c r="K30" s="38"/>
    </row>
    <row r="31" spans="1:15" x14ac:dyDescent="0.35">
      <c r="A31" s="1209"/>
      <c r="B31" s="1212"/>
      <c r="C31" s="39" t="s">
        <v>31</v>
      </c>
      <c r="D31" s="599">
        <f>+'B) Reajuste Tarifa y Ocupación'!U14</f>
        <v>238</v>
      </c>
      <c r="E31" s="599">
        <f>+'B) Reajuste Tarifa y Ocupación'!V14</f>
        <v>104</v>
      </c>
      <c r="F31" s="599">
        <f>+'B) Reajuste Tarifa y Ocupación'!W14</f>
        <v>24</v>
      </c>
      <c r="G31" s="599">
        <f>+'B) Reajuste Tarifa y Ocupación'!X14</f>
        <v>4</v>
      </c>
      <c r="H31" s="1228"/>
      <c r="I31" s="1220"/>
      <c r="J31" s="1205"/>
      <c r="K31" s="40"/>
    </row>
    <row r="32" spans="1:15" x14ac:dyDescent="0.35">
      <c r="A32" s="1209"/>
      <c r="B32" s="1213"/>
      <c r="C32" s="41" t="s">
        <v>32</v>
      </c>
      <c r="D32" s="42">
        <f>D31*D30</f>
        <v>12852000</v>
      </c>
      <c r="E32" s="42">
        <f>E31*E30</f>
        <v>8632000</v>
      </c>
      <c r="F32" s="42">
        <f t="shared" ref="F32:G32" si="10">F31*F30</f>
        <v>2371200</v>
      </c>
      <c r="G32" s="42">
        <f t="shared" si="10"/>
        <v>414000</v>
      </c>
      <c r="H32" s="43">
        <f>(E30-D30)*D31</f>
        <v>6902000</v>
      </c>
      <c r="I32" s="44">
        <f>SUM(D32:G32)</f>
        <v>24269200</v>
      </c>
      <c r="J32" s="44">
        <f>H32+I32</f>
        <v>31171200</v>
      </c>
      <c r="K32" s="45"/>
    </row>
    <row r="33" spans="1:11" x14ac:dyDescent="0.35">
      <c r="A33" s="1209"/>
      <c r="B33" s="1211" t="str">
        <f>+'B) Reajuste Tarifa y Ocupación'!B15</f>
        <v>SUPERIOR MATRIMONIAL</v>
      </c>
      <c r="C33" s="36" t="s">
        <v>374</v>
      </c>
      <c r="D33" s="46">
        <f>+'B) Reajuste Tarifa y Ocupación'!J15</f>
        <v>51900</v>
      </c>
      <c r="E33" s="46">
        <f>+'B) Reajuste Tarifa y Ocupación'!K15</f>
        <v>79700</v>
      </c>
      <c r="F33" s="46">
        <f>+'B) Reajuste Tarifa y Ocupación'!L15</f>
        <v>94700</v>
      </c>
      <c r="G33" s="46">
        <f>+'B) Reajuste Tarifa y Ocupación'!M15</f>
        <v>99300</v>
      </c>
      <c r="H33" s="1228"/>
      <c r="I33" s="1220"/>
      <c r="J33" s="1205"/>
      <c r="K33" s="38"/>
    </row>
    <row r="34" spans="1:11" x14ac:dyDescent="0.35">
      <c r="A34" s="1209"/>
      <c r="B34" s="1212"/>
      <c r="C34" s="39" t="s">
        <v>31</v>
      </c>
      <c r="D34" s="599">
        <f>+'B) Reajuste Tarifa y Ocupación'!U15</f>
        <v>293</v>
      </c>
      <c r="E34" s="599">
        <f>+'B) Reajuste Tarifa y Ocupación'!V15</f>
        <v>58</v>
      </c>
      <c r="F34" s="599">
        <f>+'B) Reajuste Tarifa y Ocupación'!W15</f>
        <v>49</v>
      </c>
      <c r="G34" s="599">
        <f>+'B) Reajuste Tarifa y Ocupación'!X15</f>
        <v>0</v>
      </c>
      <c r="H34" s="1228"/>
      <c r="I34" s="1220"/>
      <c r="J34" s="1205"/>
      <c r="K34" s="40"/>
    </row>
    <row r="35" spans="1:11" x14ac:dyDescent="0.35">
      <c r="A35" s="1209"/>
      <c r="B35" s="1213"/>
      <c r="C35" s="41" t="s">
        <v>32</v>
      </c>
      <c r="D35" s="42">
        <f>D34*D33</f>
        <v>15206700</v>
      </c>
      <c r="E35" s="42">
        <f>E34*E33</f>
        <v>4622600</v>
      </c>
      <c r="F35" s="42">
        <f t="shared" ref="F35:G35" si="11">F34*F33</f>
        <v>4640300</v>
      </c>
      <c r="G35" s="42">
        <f t="shared" si="11"/>
        <v>0</v>
      </c>
      <c r="H35" s="43">
        <f>(E33-D33)*D34</f>
        <v>8145400</v>
      </c>
      <c r="I35" s="44">
        <f>SUM(D35:G35)</f>
        <v>24469600</v>
      </c>
      <c r="J35" s="44">
        <f>H35+I35</f>
        <v>32615000</v>
      </c>
      <c r="K35" s="45"/>
    </row>
    <row r="36" spans="1:11" x14ac:dyDescent="0.35">
      <c r="A36" s="1209"/>
      <c r="B36" s="1211" t="str">
        <f>+'B) Reajuste Tarifa y Ocupación'!B16</f>
        <v>CAMA ADICIONAL</v>
      </c>
      <c r="C36" s="36" t="s">
        <v>374</v>
      </c>
      <c r="D36" s="46">
        <f>+'B) Reajuste Tarifa y Ocupación'!J16</f>
        <v>12800</v>
      </c>
      <c r="E36" s="46">
        <f>+'B) Reajuste Tarifa y Ocupación'!K16</f>
        <v>19600</v>
      </c>
      <c r="F36" s="46">
        <f>+'B) Reajuste Tarifa y Ocupación'!L16</f>
        <v>23400</v>
      </c>
      <c r="G36" s="46">
        <f>+'B) Reajuste Tarifa y Ocupación'!M16</f>
        <v>24500</v>
      </c>
      <c r="H36" s="1228"/>
      <c r="I36" s="1220"/>
      <c r="J36" s="1205"/>
      <c r="K36" s="38"/>
    </row>
    <row r="37" spans="1:11" x14ac:dyDescent="0.35">
      <c r="A37" s="1209"/>
      <c r="B37" s="1212"/>
      <c r="C37" s="39" t="s">
        <v>31</v>
      </c>
      <c r="D37" s="599">
        <f>+'B) Reajuste Tarifa y Ocupación'!U16</f>
        <v>38</v>
      </c>
      <c r="E37" s="599">
        <f>+'B) Reajuste Tarifa y Ocupación'!V16</f>
        <v>8</v>
      </c>
      <c r="F37" s="599">
        <f>+'B) Reajuste Tarifa y Ocupación'!W16</f>
        <v>0</v>
      </c>
      <c r="G37" s="599">
        <f>+'B) Reajuste Tarifa y Ocupación'!X16</f>
        <v>0</v>
      </c>
      <c r="H37" s="1228"/>
      <c r="I37" s="1220"/>
      <c r="J37" s="1205"/>
      <c r="K37" s="40"/>
    </row>
    <row r="38" spans="1:11" x14ac:dyDescent="0.35">
      <c r="A38" s="1209"/>
      <c r="B38" s="1213"/>
      <c r="C38" s="41" t="s">
        <v>32</v>
      </c>
      <c r="D38" s="42">
        <f>D37*D36</f>
        <v>486400</v>
      </c>
      <c r="E38" s="42">
        <f>E37*E36</f>
        <v>156800</v>
      </c>
      <c r="F38" s="42">
        <f t="shared" ref="F38:G38" si="12">F37*F36</f>
        <v>0</v>
      </c>
      <c r="G38" s="42">
        <f t="shared" si="12"/>
        <v>0</v>
      </c>
      <c r="H38" s="43">
        <f>(E36-D36)*D37</f>
        <v>258400</v>
      </c>
      <c r="I38" s="44">
        <f>SUM(D38:G38)</f>
        <v>643200</v>
      </c>
      <c r="J38" s="44">
        <f>H38+I38</f>
        <v>901600</v>
      </c>
      <c r="K38" s="45"/>
    </row>
    <row r="39" spans="1:11" x14ac:dyDescent="0.35">
      <c r="A39" s="1209"/>
      <c r="B39" s="1211" t="str">
        <f>+'B) Reajuste Tarifa y Ocupación'!B17</f>
        <v>Early check-in/Late check-out o uso por transito</v>
      </c>
      <c r="C39" s="1225"/>
      <c r="D39" s="1225"/>
      <c r="E39" s="1225"/>
      <c r="F39" s="1225"/>
      <c r="G39" s="1225"/>
      <c r="H39" s="1220"/>
      <c r="I39" s="1220"/>
      <c r="J39" s="1220"/>
      <c r="K39" s="38"/>
    </row>
    <row r="40" spans="1:11" x14ac:dyDescent="0.35">
      <c r="A40" s="1209"/>
      <c r="B40" s="1212"/>
      <c r="C40" s="1226"/>
      <c r="D40" s="1226"/>
      <c r="E40" s="1226"/>
      <c r="F40" s="1226"/>
      <c r="G40" s="1226"/>
      <c r="H40" s="1220"/>
      <c r="I40" s="1220"/>
      <c r="J40" s="1220"/>
      <c r="K40" s="40"/>
    </row>
    <row r="41" spans="1:11" x14ac:dyDescent="0.35">
      <c r="A41" s="1209"/>
      <c r="B41" s="1213"/>
      <c r="C41" s="47"/>
      <c r="D41" s="47"/>
      <c r="E41" s="47"/>
      <c r="F41" s="47"/>
      <c r="G41" s="47"/>
      <c r="H41" s="48"/>
      <c r="I41" s="48"/>
      <c r="J41" s="48"/>
      <c r="K41" s="45"/>
    </row>
    <row r="42" spans="1:11" x14ac:dyDescent="0.35">
      <c r="A42" s="1209"/>
      <c r="B42" s="1223" t="str">
        <f>+'B) Reajuste Tarifa y Ocupación'!B18</f>
        <v>SINGLE</v>
      </c>
      <c r="C42" s="36" t="s">
        <v>374</v>
      </c>
      <c r="D42" s="1225"/>
      <c r="E42" s="46">
        <f>+'B) Reajuste Tarifa y Ocupación'!K18</f>
        <v>15300</v>
      </c>
      <c r="F42" s="46">
        <f>+'B) Reajuste Tarifa y Ocupación'!L18</f>
        <v>18200</v>
      </c>
      <c r="G42" s="46">
        <f>+'B) Reajuste Tarifa y Ocupación'!M18</f>
        <v>19000</v>
      </c>
      <c r="H42" s="1220"/>
      <c r="I42" s="1220"/>
      <c r="J42" s="1205"/>
      <c r="K42" s="38"/>
    </row>
    <row r="43" spans="1:11" x14ac:dyDescent="0.35">
      <c r="A43" s="1209"/>
      <c r="B43" s="1224"/>
      <c r="C43" s="36" t="s">
        <v>31</v>
      </c>
      <c r="D43" s="1226"/>
      <c r="E43" s="599">
        <v>55</v>
      </c>
      <c r="F43" s="599">
        <v>0</v>
      </c>
      <c r="G43" s="599">
        <f>+'B) Reajuste Tarifa y Ocupación'!X18</f>
        <v>0</v>
      </c>
      <c r="H43" s="1220"/>
      <c r="I43" s="1220"/>
      <c r="J43" s="1205"/>
      <c r="K43" s="40"/>
    </row>
    <row r="44" spans="1:11" x14ac:dyDescent="0.35">
      <c r="A44" s="1209"/>
      <c r="B44" s="1227"/>
      <c r="C44" s="49" t="s">
        <v>32</v>
      </c>
      <c r="D44" s="47"/>
      <c r="E44" s="50">
        <v>0</v>
      </c>
      <c r="F44" s="50">
        <v>0</v>
      </c>
      <c r="G44" s="50">
        <v>0</v>
      </c>
      <c r="H44" s="48"/>
      <c r="I44" s="44">
        <f>SUM(D44:G44)</f>
        <v>0</v>
      </c>
      <c r="J44" s="44">
        <f>H44+I44</f>
        <v>0</v>
      </c>
      <c r="K44" s="45"/>
    </row>
    <row r="45" spans="1:11" x14ac:dyDescent="0.35">
      <c r="A45" s="1209"/>
      <c r="B45" s="1223" t="str">
        <f>+'B) Reajuste Tarifa y Ocupación'!B19</f>
        <v>DOBLE - MATRIMONIAL</v>
      </c>
      <c r="C45" s="36" t="s">
        <v>374</v>
      </c>
      <c r="D45" s="1225"/>
      <c r="E45" s="51">
        <f>+'B) Reajuste Tarifa y Ocupación'!K19</f>
        <v>20100</v>
      </c>
      <c r="F45" s="51">
        <f>+'B) Reajuste Tarifa y Ocupación'!L19</f>
        <v>23900</v>
      </c>
      <c r="G45" s="51">
        <f>+'B) Reajuste Tarifa y Ocupación'!M19</f>
        <v>25100</v>
      </c>
      <c r="H45" s="1220"/>
      <c r="I45" s="1220"/>
      <c r="J45" s="1205"/>
      <c r="K45" s="38"/>
    </row>
    <row r="46" spans="1:11" x14ac:dyDescent="0.35">
      <c r="A46" s="1209"/>
      <c r="B46" s="1224"/>
      <c r="C46" s="36" t="s">
        <v>31</v>
      </c>
      <c r="D46" s="1226"/>
      <c r="E46" s="52">
        <f>+'B) Reajuste Tarifa y Ocupación'!V19</f>
        <v>30</v>
      </c>
      <c r="F46" s="52">
        <f>+'B) Reajuste Tarifa y Ocupación'!W19</f>
        <v>0</v>
      </c>
      <c r="G46" s="52">
        <f>+'B) Reajuste Tarifa y Ocupación'!X19</f>
        <v>0</v>
      </c>
      <c r="H46" s="1220"/>
      <c r="I46" s="1220"/>
      <c r="J46" s="1205"/>
      <c r="K46" s="40"/>
    </row>
    <row r="47" spans="1:11" x14ac:dyDescent="0.35">
      <c r="A47" s="1209"/>
      <c r="B47" s="1227"/>
      <c r="C47" s="49" t="s">
        <v>32</v>
      </c>
      <c r="D47" s="47"/>
      <c r="E47" s="50">
        <f>E46*E45</f>
        <v>603000</v>
      </c>
      <c r="F47" s="50">
        <f t="shared" ref="F47:G47" si="13">F46*F45</f>
        <v>0</v>
      </c>
      <c r="G47" s="50">
        <f t="shared" si="13"/>
        <v>0</v>
      </c>
      <c r="H47" s="48"/>
      <c r="I47" s="44">
        <f>SUM(D47:G47)</f>
        <v>603000</v>
      </c>
      <c r="J47" s="44">
        <f>H47+I47</f>
        <v>603000</v>
      </c>
      <c r="K47" s="45"/>
    </row>
    <row r="48" spans="1:11" x14ac:dyDescent="0.35">
      <c r="A48" s="1209"/>
      <c r="B48" s="1223" t="str">
        <f>+'B) Reajuste Tarifa y Ocupación'!B20</f>
        <v>TRIPLE</v>
      </c>
      <c r="C48" s="36" t="s">
        <v>374</v>
      </c>
      <c r="D48" s="1225"/>
      <c r="E48" s="51">
        <f>+'B) Reajuste Tarifa y Ocupación'!K20</f>
        <v>24900</v>
      </c>
      <c r="F48" s="51">
        <f>+'B) Reajuste Tarifa y Ocupación'!L20</f>
        <v>29700</v>
      </c>
      <c r="G48" s="51">
        <f>+'B) Reajuste Tarifa y Ocupación'!M20</f>
        <v>31100</v>
      </c>
      <c r="H48" s="1220"/>
      <c r="I48" s="1220"/>
      <c r="J48" s="1205"/>
      <c r="K48" s="38"/>
    </row>
    <row r="49" spans="1:11" x14ac:dyDescent="0.35">
      <c r="A49" s="1209"/>
      <c r="B49" s="1224"/>
      <c r="C49" s="36" t="s">
        <v>31</v>
      </c>
      <c r="D49" s="1226"/>
      <c r="E49" s="52">
        <f>+'B) Reajuste Tarifa y Ocupación'!V20</f>
        <v>8</v>
      </c>
      <c r="F49" s="52">
        <f>+'B) Reajuste Tarifa y Ocupación'!W20</f>
        <v>0</v>
      </c>
      <c r="G49" s="52">
        <f>+'B) Reajuste Tarifa y Ocupación'!X20</f>
        <v>0</v>
      </c>
      <c r="H49" s="1220"/>
      <c r="I49" s="1220"/>
      <c r="J49" s="1205"/>
      <c r="K49" s="40"/>
    </row>
    <row r="50" spans="1:11" x14ac:dyDescent="0.35">
      <c r="A50" s="1209"/>
      <c r="B50" s="1227"/>
      <c r="C50" s="49" t="s">
        <v>32</v>
      </c>
      <c r="D50" s="47"/>
      <c r="E50" s="50">
        <f>E49*E48</f>
        <v>199200</v>
      </c>
      <c r="F50" s="50">
        <f t="shared" ref="F50:G50" si="14">F49*F48</f>
        <v>0</v>
      </c>
      <c r="G50" s="50">
        <f t="shared" si="14"/>
        <v>0</v>
      </c>
      <c r="H50" s="48"/>
      <c r="I50" s="44">
        <f>SUM(D50:G50)</f>
        <v>199200</v>
      </c>
      <c r="J50" s="44">
        <f>H50+I50</f>
        <v>199200</v>
      </c>
      <c r="K50" s="45"/>
    </row>
    <row r="51" spans="1:11" x14ac:dyDescent="0.35">
      <c r="A51" s="1209"/>
      <c r="B51" s="1223" t="str">
        <f>+'B) Reajuste Tarifa y Ocupación'!B21</f>
        <v>SUPERIOR MATRIMONIAL</v>
      </c>
      <c r="C51" s="36" t="s">
        <v>374</v>
      </c>
      <c r="D51" s="1225"/>
      <c r="E51" s="51">
        <f>+'B) Reajuste Tarifa y Ocupación'!K21</f>
        <v>24000</v>
      </c>
      <c r="F51" s="51">
        <f>+'B) Reajuste Tarifa y Ocupación'!L21</f>
        <v>28500</v>
      </c>
      <c r="G51" s="51">
        <f>+'B) Reajuste Tarifa y Ocupación'!M21</f>
        <v>29800</v>
      </c>
      <c r="H51" s="1220"/>
      <c r="I51" s="1220"/>
      <c r="J51" s="1205"/>
      <c r="K51" s="38"/>
    </row>
    <row r="52" spans="1:11" x14ac:dyDescent="0.35">
      <c r="A52" s="1209"/>
      <c r="B52" s="1224"/>
      <c r="C52" s="36" t="s">
        <v>31</v>
      </c>
      <c r="D52" s="1226"/>
      <c r="E52" s="52">
        <f>+'B) Reajuste Tarifa y Ocupación'!V21</f>
        <v>15</v>
      </c>
      <c r="F52" s="52">
        <f>+'B) Reajuste Tarifa y Ocupación'!W21</f>
        <v>0</v>
      </c>
      <c r="G52" s="52">
        <f>+'B) Reajuste Tarifa y Ocupación'!X21</f>
        <v>0</v>
      </c>
      <c r="H52" s="1220"/>
      <c r="I52" s="1220"/>
      <c r="J52" s="1205"/>
      <c r="K52" s="40"/>
    </row>
    <row r="53" spans="1:11" x14ac:dyDescent="0.35">
      <c r="A53" s="1209"/>
      <c r="B53" s="1227"/>
      <c r="C53" s="49" t="s">
        <v>32</v>
      </c>
      <c r="D53" s="47"/>
      <c r="E53" s="50">
        <f>E52*E51</f>
        <v>360000</v>
      </c>
      <c r="F53" s="50">
        <f t="shared" ref="F53:G53" si="15">F52*F51</f>
        <v>0</v>
      </c>
      <c r="G53" s="50">
        <f t="shared" si="15"/>
        <v>0</v>
      </c>
      <c r="H53" s="48"/>
      <c r="I53" s="44">
        <f>SUM(D53:G53)</f>
        <v>360000</v>
      </c>
      <c r="J53" s="44">
        <f>H53+I53</f>
        <v>360000</v>
      </c>
      <c r="K53" s="45"/>
    </row>
    <row r="54" spans="1:11" x14ac:dyDescent="0.35">
      <c r="A54" s="1210"/>
      <c r="B54" s="1206" t="s">
        <v>33</v>
      </c>
      <c r="C54" s="1207"/>
      <c r="D54" s="53">
        <f>+D26+D29+D32+D35+D38+D44+D47+D50+D53</f>
        <v>98296600</v>
      </c>
      <c r="E54" s="53">
        <f t="shared" ref="E54:J54" si="16">+E26+E29+E32+E35+E38+E44+E47+E50+E53</f>
        <v>68174100</v>
      </c>
      <c r="F54" s="53">
        <f t="shared" si="16"/>
        <v>21012100</v>
      </c>
      <c r="G54" s="53">
        <f t="shared" si="16"/>
        <v>3940800</v>
      </c>
      <c r="H54" s="53">
        <f t="shared" si="16"/>
        <v>52680100</v>
      </c>
      <c r="I54" s="53">
        <f t="shared" si="16"/>
        <v>191423600</v>
      </c>
      <c r="J54" s="53">
        <f t="shared" si="16"/>
        <v>244103700</v>
      </c>
      <c r="K54" s="54"/>
    </row>
    <row r="55" spans="1:11" x14ac:dyDescent="0.35">
      <c r="A55" s="1208" t="str">
        <f>+'B) Reajuste Tarifa y Ocupación'!A22</f>
        <v>CABAÑAS TORRES DEL PAINE</v>
      </c>
      <c r="B55" s="1211" t="str">
        <f>+'B) Reajuste Tarifa y Ocupación'!B22</f>
        <v>CABAÑA (6 PERS.)</v>
      </c>
      <c r="C55" s="36" t="s">
        <v>374</v>
      </c>
      <c r="D55" s="55">
        <f>+'B) Reajuste Tarifa y Ocupación'!J22</f>
        <v>63000</v>
      </c>
      <c r="E55" s="55">
        <f>+'B) Reajuste Tarifa y Ocupación'!K22</f>
        <v>96900</v>
      </c>
      <c r="F55" s="55">
        <f>+'B) Reajuste Tarifa y Ocupación'!L22</f>
        <v>144200</v>
      </c>
      <c r="G55" s="55">
        <f>+'B) Reajuste Tarifa y Ocupación'!M22</f>
        <v>230700</v>
      </c>
      <c r="H55" s="1230"/>
      <c r="I55" s="1215"/>
      <c r="J55" s="1217"/>
    </row>
    <row r="56" spans="1:11" x14ac:dyDescent="0.35">
      <c r="A56" s="1209"/>
      <c r="B56" s="1212"/>
      <c r="C56" s="36" t="s">
        <v>31</v>
      </c>
      <c r="D56" s="52">
        <f>+'B) Reajuste Tarifa y Ocupación'!U22</f>
        <v>522</v>
      </c>
      <c r="E56" s="52">
        <f>+'B) Reajuste Tarifa y Ocupación'!V22</f>
        <v>22</v>
      </c>
      <c r="F56" s="52">
        <f>+'B) Reajuste Tarifa y Ocupación'!W22</f>
        <v>6</v>
      </c>
      <c r="G56" s="52">
        <f>+'B) Reajuste Tarifa y Ocupación'!X22</f>
        <v>0</v>
      </c>
      <c r="H56" s="1229"/>
      <c r="I56" s="1214"/>
      <c r="J56" s="1216"/>
    </row>
    <row r="57" spans="1:11" x14ac:dyDescent="0.35">
      <c r="A57" s="1209"/>
      <c r="B57" s="1213"/>
      <c r="C57" s="49" t="s">
        <v>32</v>
      </c>
      <c r="D57" s="50">
        <f>D56*D55</f>
        <v>32886000</v>
      </c>
      <c r="E57" s="50">
        <f>E56*E55</f>
        <v>2131800</v>
      </c>
      <c r="F57" s="50">
        <f t="shared" ref="F57:G57" si="17">F56*F55</f>
        <v>865200</v>
      </c>
      <c r="G57" s="50">
        <f t="shared" si="17"/>
        <v>0</v>
      </c>
      <c r="H57" s="44">
        <f>(E55-D55)*D56</f>
        <v>17695800</v>
      </c>
      <c r="I57" s="44">
        <f>SUM(D57:G57)</f>
        <v>35883000</v>
      </c>
      <c r="J57" s="44">
        <f>H57+I57</f>
        <v>53578800</v>
      </c>
    </row>
    <row r="58" spans="1:11" x14ac:dyDescent="0.35">
      <c r="A58" s="1210"/>
      <c r="B58" s="1206" t="s">
        <v>33</v>
      </c>
      <c r="C58" s="1207"/>
      <c r="D58" s="56">
        <f>SUM(D57)</f>
        <v>32886000</v>
      </c>
      <c r="E58" s="56">
        <f>SUM(E57)</f>
        <v>2131800</v>
      </c>
      <c r="F58" s="56">
        <f>(SUM(F57))/1.19</f>
        <v>727058.82352941181</v>
      </c>
      <c r="G58" s="56">
        <f>(SUM(G57))/1.19</f>
        <v>0</v>
      </c>
      <c r="H58" s="56">
        <f t="shared" ref="H58:J58" si="18">SUM(H57)</f>
        <v>17695800</v>
      </c>
      <c r="I58" s="56">
        <f>SUM(I57)</f>
        <v>35883000</v>
      </c>
      <c r="J58" s="56">
        <f t="shared" si="18"/>
        <v>53578800</v>
      </c>
    </row>
    <row r="59" spans="1:11" x14ac:dyDescent="0.35">
      <c r="A59" s="1208" t="str">
        <f>+'B) Reajuste Tarifa y Ocupación'!A23</f>
        <v>C.H. GENTE DE MAR "FARO DUNGENESS"</v>
      </c>
      <c r="B59" s="1211" t="str">
        <f>+'B) Reajuste Tarifa y Ocupación'!B23</f>
        <v>SINGLE</v>
      </c>
      <c r="C59" s="36" t="s">
        <v>374</v>
      </c>
      <c r="D59" s="46">
        <f>+'B) Reajuste Tarifa y Ocupación'!J23</f>
        <v>26900</v>
      </c>
      <c r="E59" s="46">
        <f>+'B) Reajuste Tarifa y Ocupación'!K23</f>
        <v>41300</v>
      </c>
      <c r="F59" s="46">
        <f>+'B) Reajuste Tarifa y Ocupación'!L23</f>
        <v>49200</v>
      </c>
      <c r="G59" s="46">
        <f>+'B) Reajuste Tarifa y Ocupación'!M23</f>
        <v>51600</v>
      </c>
      <c r="H59" s="1229"/>
      <c r="I59" s="1214"/>
      <c r="J59" s="1216"/>
    </row>
    <row r="60" spans="1:11" x14ac:dyDescent="0.35">
      <c r="A60" s="1209"/>
      <c r="B60" s="1212"/>
      <c r="C60" s="39" t="s">
        <v>31</v>
      </c>
      <c r="D60" s="52">
        <f>+'B) Reajuste Tarifa y Ocupación'!U23</f>
        <v>710</v>
      </c>
      <c r="E60" s="52">
        <f>+'B) Reajuste Tarifa y Ocupación'!V23</f>
        <v>52</v>
      </c>
      <c r="F60" s="52">
        <f>+'B) Reajuste Tarifa y Ocupación'!W23</f>
        <v>20</v>
      </c>
      <c r="G60" s="52">
        <f>+'B) Reajuste Tarifa y Ocupación'!X23</f>
        <v>0</v>
      </c>
      <c r="H60" s="1230"/>
      <c r="I60" s="1215"/>
      <c r="J60" s="1217"/>
    </row>
    <row r="61" spans="1:11" x14ac:dyDescent="0.35">
      <c r="A61" s="1209"/>
      <c r="B61" s="1213"/>
      <c r="C61" s="41" t="s">
        <v>32</v>
      </c>
      <c r="D61" s="42">
        <f>D60*D59</f>
        <v>19099000</v>
      </c>
      <c r="E61" s="42">
        <f>E60*E59</f>
        <v>2147600</v>
      </c>
      <c r="F61" s="42">
        <f t="shared" ref="F61:G61" si="19">F60*F59</f>
        <v>984000</v>
      </c>
      <c r="G61" s="42">
        <f t="shared" si="19"/>
        <v>0</v>
      </c>
      <c r="H61" s="43">
        <f>(E59-D59)*D60</f>
        <v>10224000</v>
      </c>
      <c r="I61" s="44">
        <f>SUM(D61:G61)</f>
        <v>22230600</v>
      </c>
      <c r="J61" s="44">
        <f>H61+I61</f>
        <v>32454600</v>
      </c>
    </row>
    <row r="62" spans="1:11" x14ac:dyDescent="0.35">
      <c r="A62" s="1209"/>
      <c r="B62" s="1211" t="str">
        <f>+'B) Reajuste Tarifa y Ocupación'!B24</f>
        <v>DOBLE - MATRIMONIAL</v>
      </c>
      <c r="C62" s="36" t="s">
        <v>374</v>
      </c>
      <c r="D62" s="46">
        <f>+'B) Reajuste Tarifa y Ocupación'!J24</f>
        <v>36800</v>
      </c>
      <c r="E62" s="46">
        <f>+'B) Reajuste Tarifa y Ocupación'!K24</f>
        <v>56600</v>
      </c>
      <c r="F62" s="46">
        <f>+'B) Reajuste Tarifa y Ocupación'!L24</f>
        <v>67300</v>
      </c>
      <c r="G62" s="46">
        <f>+'B) Reajuste Tarifa y Ocupación'!M24</f>
        <v>70600</v>
      </c>
      <c r="H62" s="1229"/>
      <c r="I62" s="1214"/>
      <c r="J62" s="1216"/>
    </row>
    <row r="63" spans="1:11" x14ac:dyDescent="0.35">
      <c r="A63" s="1209"/>
      <c r="B63" s="1212"/>
      <c r="C63" s="39" t="s">
        <v>31</v>
      </c>
      <c r="D63" s="52">
        <f>+'B) Reajuste Tarifa y Ocupación'!U24</f>
        <v>669</v>
      </c>
      <c r="E63" s="52">
        <f>+'B) Reajuste Tarifa y Ocupación'!V24</f>
        <v>58</v>
      </c>
      <c r="F63" s="52">
        <f>+'B) Reajuste Tarifa y Ocupación'!W24</f>
        <v>13</v>
      </c>
      <c r="G63" s="52">
        <f>+'B) Reajuste Tarifa y Ocupación'!X24</f>
        <v>3</v>
      </c>
      <c r="H63" s="1228"/>
      <c r="I63" s="1220"/>
      <c r="J63" s="1205"/>
    </row>
    <row r="64" spans="1:11" x14ac:dyDescent="0.35">
      <c r="A64" s="1209"/>
      <c r="B64" s="1213"/>
      <c r="C64" s="41" t="s">
        <v>32</v>
      </c>
      <c r="D64" s="42">
        <f>D63*D62</f>
        <v>24619200</v>
      </c>
      <c r="E64" s="42">
        <f>E63*E62</f>
        <v>3282800</v>
      </c>
      <c r="F64" s="42">
        <f t="shared" ref="F64:G64" si="20">F63*F62</f>
        <v>874900</v>
      </c>
      <c r="G64" s="42">
        <f t="shared" si="20"/>
        <v>211800</v>
      </c>
      <c r="H64" s="43">
        <f>(E62-D62)*D63</f>
        <v>13246200</v>
      </c>
      <c r="I64" s="44">
        <f>SUM(D64:G64)</f>
        <v>28988700</v>
      </c>
      <c r="J64" s="44">
        <f>H64+I64</f>
        <v>42234900</v>
      </c>
    </row>
    <row r="65" spans="1:10" x14ac:dyDescent="0.35">
      <c r="A65" s="1209"/>
      <c r="B65" s="1211" t="str">
        <f>+'B) Reajuste Tarifa y Ocupación'!B25</f>
        <v>TRIPLE</v>
      </c>
      <c r="C65" s="36" t="s">
        <v>374</v>
      </c>
      <c r="D65" s="46">
        <f>+'B) Reajuste Tarifa y Ocupación'!J25</f>
        <v>46700</v>
      </c>
      <c r="E65" s="46">
        <f>+'B) Reajuste Tarifa y Ocupación'!K25</f>
        <v>71700</v>
      </c>
      <c r="F65" s="46">
        <f>+'B) Reajuste Tarifa y Ocupación'!L25</f>
        <v>85300</v>
      </c>
      <c r="G65" s="46">
        <f>+'B) Reajuste Tarifa y Ocupación'!M25</f>
        <v>89400</v>
      </c>
      <c r="H65" s="1228"/>
      <c r="I65" s="1220"/>
      <c r="J65" s="1205"/>
    </row>
    <row r="66" spans="1:10" x14ac:dyDescent="0.35">
      <c r="A66" s="1209"/>
      <c r="B66" s="1212"/>
      <c r="C66" s="39" t="s">
        <v>31</v>
      </c>
      <c r="D66" s="52">
        <f>+'B) Reajuste Tarifa y Ocupación'!U25</f>
        <v>332</v>
      </c>
      <c r="E66" s="52">
        <f>+'B) Reajuste Tarifa y Ocupación'!V25</f>
        <v>46</v>
      </c>
      <c r="F66" s="52">
        <f>+'B) Reajuste Tarifa y Ocupación'!W25</f>
        <v>8</v>
      </c>
      <c r="G66" s="52">
        <f>+'B) Reajuste Tarifa y Ocupación'!X25</f>
        <v>0</v>
      </c>
      <c r="H66" s="1228"/>
      <c r="I66" s="1220"/>
      <c r="J66" s="1205"/>
    </row>
    <row r="67" spans="1:10" x14ac:dyDescent="0.35">
      <c r="A67" s="1209"/>
      <c r="B67" s="1213"/>
      <c r="C67" s="41" t="s">
        <v>32</v>
      </c>
      <c r="D67" s="42">
        <f>D66*D65</f>
        <v>15504400</v>
      </c>
      <c r="E67" s="42">
        <f>E66*E65</f>
        <v>3298200</v>
      </c>
      <c r="F67" s="42">
        <f t="shared" ref="F67:G67" si="21">F66*F65</f>
        <v>682400</v>
      </c>
      <c r="G67" s="42">
        <f t="shared" si="21"/>
        <v>0</v>
      </c>
      <c r="H67" s="43">
        <f>(E65-D65)*D66</f>
        <v>8300000</v>
      </c>
      <c r="I67" s="44">
        <f>SUM(D67:G67)</f>
        <v>19485000</v>
      </c>
      <c r="J67" s="44">
        <f>H67+I67</f>
        <v>27785000</v>
      </c>
    </row>
    <row r="68" spans="1:10" x14ac:dyDescent="0.35">
      <c r="A68" s="1209"/>
      <c r="B68" s="1211" t="str">
        <f>+'B) Reajuste Tarifa y Ocupación'!B26</f>
        <v>CUADRUPLE</v>
      </c>
      <c r="C68" s="36" t="s">
        <v>374</v>
      </c>
      <c r="D68" s="46">
        <f>+'B) Reajuste Tarifa y Ocupación'!J26</f>
        <v>56600</v>
      </c>
      <c r="E68" s="46">
        <f>+'B) Reajuste Tarifa y Ocupación'!K26</f>
        <v>87000</v>
      </c>
      <c r="F68" s="46">
        <f>+'B) Reajuste Tarifa y Ocupación'!L26</f>
        <v>103500</v>
      </c>
      <c r="G68" s="46">
        <f>+'B) Reajuste Tarifa y Ocupación'!M26</f>
        <v>108400</v>
      </c>
      <c r="H68" s="1228"/>
      <c r="I68" s="1220"/>
      <c r="J68" s="1205"/>
    </row>
    <row r="69" spans="1:10" x14ac:dyDescent="0.35">
      <c r="A69" s="1209"/>
      <c r="B69" s="1212"/>
      <c r="C69" s="39" t="s">
        <v>31</v>
      </c>
      <c r="D69" s="52">
        <f>+'B) Reajuste Tarifa y Ocupación'!U26</f>
        <v>154</v>
      </c>
      <c r="E69" s="52">
        <f>+'B) Reajuste Tarifa y Ocupación'!V26</f>
        <v>23</v>
      </c>
      <c r="F69" s="52">
        <f>+'B) Reajuste Tarifa y Ocupación'!W26</f>
        <v>0</v>
      </c>
      <c r="G69" s="52">
        <f>+'B) Reajuste Tarifa y Ocupación'!X26</f>
        <v>0</v>
      </c>
      <c r="H69" s="1228"/>
      <c r="I69" s="1220"/>
      <c r="J69" s="1205"/>
    </row>
    <row r="70" spans="1:10" x14ac:dyDescent="0.35">
      <c r="A70" s="1209"/>
      <c r="B70" s="1213"/>
      <c r="C70" s="41" t="s">
        <v>32</v>
      </c>
      <c r="D70" s="42">
        <f>D69*D68</f>
        <v>8716400</v>
      </c>
      <c r="E70" s="42">
        <f>E69*E68</f>
        <v>2001000</v>
      </c>
      <c r="F70" s="42">
        <f t="shared" ref="F70:G70" si="22">F69*F68</f>
        <v>0</v>
      </c>
      <c r="G70" s="42">
        <f t="shared" si="22"/>
        <v>0</v>
      </c>
      <c r="H70" s="43">
        <f>(E68-D68)*D69</f>
        <v>4681600</v>
      </c>
      <c r="I70" s="44">
        <f>SUM(D70:G70)</f>
        <v>10717400</v>
      </c>
      <c r="J70" s="44">
        <f>H70+I70</f>
        <v>15399000</v>
      </c>
    </row>
    <row r="71" spans="1:10" x14ac:dyDescent="0.35">
      <c r="A71" s="1209"/>
      <c r="B71" s="1211" t="str">
        <f>+'B) Reajuste Tarifa y Ocupación'!B27</f>
        <v>CAMA / PERSONA ADICIONAL</v>
      </c>
      <c r="C71" s="36" t="s">
        <v>374</v>
      </c>
      <c r="D71" s="46">
        <f>+'B) Reajuste Tarifa y Ocupación'!J27</f>
        <v>10300</v>
      </c>
      <c r="E71" s="46">
        <f>+'B) Reajuste Tarifa y Ocupación'!K27</f>
        <v>15700</v>
      </c>
      <c r="F71" s="46">
        <f>+'B) Reajuste Tarifa y Ocupación'!L27</f>
        <v>18700</v>
      </c>
      <c r="G71" s="46">
        <f>+'B) Reajuste Tarifa y Ocupación'!M27</f>
        <v>19500</v>
      </c>
      <c r="H71" s="1228"/>
      <c r="I71" s="1220"/>
      <c r="J71" s="1205"/>
    </row>
    <row r="72" spans="1:10" x14ac:dyDescent="0.35">
      <c r="A72" s="1209"/>
      <c r="B72" s="1212"/>
      <c r="C72" s="39" t="s">
        <v>31</v>
      </c>
      <c r="D72" s="52">
        <f>+'B) Reajuste Tarifa y Ocupación'!U27</f>
        <v>0</v>
      </c>
      <c r="E72" s="52">
        <f>+'B) Reajuste Tarifa y Ocupación'!V27</f>
        <v>0</v>
      </c>
      <c r="F72" s="52">
        <f>+'B) Reajuste Tarifa y Ocupación'!W27</f>
        <v>0</v>
      </c>
      <c r="G72" s="52">
        <f>+'B) Reajuste Tarifa y Ocupación'!X27</f>
        <v>0</v>
      </c>
      <c r="H72" s="1228"/>
      <c r="I72" s="1220"/>
      <c r="J72" s="1205"/>
    </row>
    <row r="73" spans="1:10" x14ac:dyDescent="0.35">
      <c r="A73" s="1209"/>
      <c r="B73" s="1213"/>
      <c r="C73" s="41" t="s">
        <v>32</v>
      </c>
      <c r="D73" s="42">
        <f>D72*D71</f>
        <v>0</v>
      </c>
      <c r="E73" s="42">
        <f>E72*E71</f>
        <v>0</v>
      </c>
      <c r="F73" s="42">
        <f t="shared" ref="F73:G73" si="23">F72*F71</f>
        <v>0</v>
      </c>
      <c r="G73" s="42">
        <f t="shared" si="23"/>
        <v>0</v>
      </c>
      <c r="H73" s="43">
        <f>(E71-D71)*D72</f>
        <v>0</v>
      </c>
      <c r="I73" s="44">
        <f>SUM(D73:G73)</f>
        <v>0</v>
      </c>
      <c r="J73" s="44">
        <f>H73+I73</f>
        <v>0</v>
      </c>
    </row>
    <row r="74" spans="1:10" x14ac:dyDescent="0.35">
      <c r="A74" s="1209"/>
      <c r="B74" s="1211" t="str">
        <f>+'B) Reajuste Tarifa y Ocupación'!B28</f>
        <v>Early check-in/Late check-out o uso por transito</v>
      </c>
      <c r="C74" s="1225"/>
      <c r="D74" s="1225"/>
      <c r="E74" s="1225"/>
      <c r="F74" s="1225"/>
      <c r="G74" s="1225"/>
      <c r="H74" s="1220"/>
      <c r="I74" s="1220"/>
      <c r="J74" s="1220"/>
    </row>
    <row r="75" spans="1:10" x14ac:dyDescent="0.35">
      <c r="A75" s="1209"/>
      <c r="B75" s="1212"/>
      <c r="C75" s="1226"/>
      <c r="D75" s="1226"/>
      <c r="E75" s="1226"/>
      <c r="F75" s="1226"/>
      <c r="G75" s="1226"/>
      <c r="H75" s="1220"/>
      <c r="I75" s="1220"/>
      <c r="J75" s="1220"/>
    </row>
    <row r="76" spans="1:10" x14ac:dyDescent="0.35">
      <c r="A76" s="1209"/>
      <c r="B76" s="1213"/>
      <c r="C76" s="47"/>
      <c r="D76" s="47"/>
      <c r="E76" s="47"/>
      <c r="F76" s="47"/>
      <c r="G76" s="47"/>
      <c r="H76" s="48"/>
      <c r="I76" s="48"/>
      <c r="J76" s="48"/>
    </row>
    <row r="77" spans="1:10" x14ac:dyDescent="0.35">
      <c r="A77" s="1209"/>
      <c r="B77" s="1223" t="str">
        <f>+'B) Reajuste Tarifa y Ocupación'!B29</f>
        <v>SINGLE</v>
      </c>
      <c r="C77" s="36" t="s">
        <v>374</v>
      </c>
      <c r="D77" s="1225"/>
      <c r="E77" s="46">
        <f>+'B) Reajuste Tarifa y Ocupación'!K29</f>
        <v>12400</v>
      </c>
      <c r="F77" s="46">
        <f>+'B) Reajuste Tarifa y Ocupación'!L29</f>
        <v>14800</v>
      </c>
      <c r="G77" s="46">
        <f>+'B) Reajuste Tarifa y Ocupación'!M29</f>
        <v>15500</v>
      </c>
      <c r="H77" s="1228"/>
      <c r="I77" s="1220"/>
      <c r="J77" s="1205"/>
    </row>
    <row r="78" spans="1:10" x14ac:dyDescent="0.35">
      <c r="A78" s="1209"/>
      <c r="B78" s="1224"/>
      <c r="C78" s="36" t="s">
        <v>31</v>
      </c>
      <c r="D78" s="1226"/>
      <c r="E78" s="57">
        <f>+'B) Reajuste Tarifa y Ocupación'!V29</f>
        <v>25</v>
      </c>
      <c r="F78" s="57">
        <f>+'B) Reajuste Tarifa y Ocupación'!W29</f>
        <v>0</v>
      </c>
      <c r="G78" s="57">
        <f>+'B) Reajuste Tarifa y Ocupación'!X29</f>
        <v>0</v>
      </c>
      <c r="H78" s="1220"/>
      <c r="I78" s="1220"/>
      <c r="J78" s="1205"/>
    </row>
    <row r="79" spans="1:10" x14ac:dyDescent="0.35">
      <c r="A79" s="1209"/>
      <c r="B79" s="1227"/>
      <c r="C79" s="49" t="s">
        <v>32</v>
      </c>
      <c r="D79" s="47"/>
      <c r="E79" s="50">
        <f>E78*E77</f>
        <v>310000</v>
      </c>
      <c r="F79" s="50">
        <f t="shared" ref="F79:G79" si="24">F78*F77</f>
        <v>0</v>
      </c>
      <c r="G79" s="50">
        <f t="shared" si="24"/>
        <v>0</v>
      </c>
      <c r="H79" s="48"/>
      <c r="I79" s="44">
        <f>SUM(D79:G79)</f>
        <v>310000</v>
      </c>
      <c r="J79" s="44">
        <f>H79+I79</f>
        <v>310000</v>
      </c>
    </row>
    <row r="80" spans="1:10" x14ac:dyDescent="0.35">
      <c r="A80" s="1209"/>
      <c r="B80" s="1223" t="str">
        <f>+'B) Reajuste Tarifa y Ocupación'!B30</f>
        <v>DOBLE - MATRIMONIAL</v>
      </c>
      <c r="C80" s="36" t="s">
        <v>374</v>
      </c>
      <c r="D80" s="1225"/>
      <c r="E80" s="51">
        <f>+'B) Reajuste Tarifa y Ocupación'!K30</f>
        <v>17000</v>
      </c>
      <c r="F80" s="51">
        <f>+'B) Reajuste Tarifa y Ocupación'!L30</f>
        <v>20200</v>
      </c>
      <c r="G80" s="51">
        <f>+'B) Reajuste Tarifa y Ocupación'!M30</f>
        <v>21200</v>
      </c>
      <c r="H80" s="1220"/>
      <c r="I80" s="1220"/>
      <c r="J80" s="1205"/>
    </row>
    <row r="81" spans="1:10" x14ac:dyDescent="0.35">
      <c r="A81" s="1209"/>
      <c r="B81" s="1224"/>
      <c r="C81" s="36" t="s">
        <v>31</v>
      </c>
      <c r="D81" s="1226"/>
      <c r="E81" s="52">
        <f>+'B) Reajuste Tarifa y Ocupación'!V30</f>
        <v>28</v>
      </c>
      <c r="F81" s="52">
        <f>+'B) Reajuste Tarifa y Ocupación'!W30</f>
        <v>0</v>
      </c>
      <c r="G81" s="52">
        <f>+'B) Reajuste Tarifa y Ocupación'!X30</f>
        <v>0</v>
      </c>
      <c r="H81" s="1220"/>
      <c r="I81" s="1220"/>
      <c r="J81" s="1205"/>
    </row>
    <row r="82" spans="1:10" x14ac:dyDescent="0.35">
      <c r="A82" s="1209"/>
      <c r="B82" s="1227"/>
      <c r="C82" s="49" t="s">
        <v>32</v>
      </c>
      <c r="D82" s="47"/>
      <c r="E82" s="50">
        <f>E81*E80</f>
        <v>476000</v>
      </c>
      <c r="F82" s="50">
        <f t="shared" ref="F82:G82" si="25">F81*F80</f>
        <v>0</v>
      </c>
      <c r="G82" s="50">
        <f t="shared" si="25"/>
        <v>0</v>
      </c>
      <c r="H82" s="48"/>
      <c r="I82" s="44">
        <f>SUM(D82:G82)</f>
        <v>476000</v>
      </c>
      <c r="J82" s="44">
        <f>H82+I82</f>
        <v>476000</v>
      </c>
    </row>
    <row r="83" spans="1:10" x14ac:dyDescent="0.35">
      <c r="A83" s="1209"/>
      <c r="B83" s="1223" t="str">
        <f>+'B) Reajuste Tarifa y Ocupación'!B31</f>
        <v>TRIPLE</v>
      </c>
      <c r="C83" s="36" t="s">
        <v>374</v>
      </c>
      <c r="D83" s="1225"/>
      <c r="E83" s="51">
        <f>+'B) Reajuste Tarifa y Ocupación'!K31</f>
        <v>21600</v>
      </c>
      <c r="F83" s="51">
        <f>+'B) Reajuste Tarifa y Ocupación'!L31</f>
        <v>25600</v>
      </c>
      <c r="G83" s="51">
        <f>+'B) Reajuste Tarifa y Ocupación'!M31</f>
        <v>26900</v>
      </c>
      <c r="H83" s="1220"/>
      <c r="I83" s="1220"/>
      <c r="J83" s="1205"/>
    </row>
    <row r="84" spans="1:10" x14ac:dyDescent="0.35">
      <c r="A84" s="1209"/>
      <c r="B84" s="1224"/>
      <c r="C84" s="36" t="s">
        <v>31</v>
      </c>
      <c r="D84" s="1226"/>
      <c r="E84" s="52">
        <f>+'B) Reajuste Tarifa y Ocupación'!V31</f>
        <v>9</v>
      </c>
      <c r="F84" s="52">
        <f>+'B) Reajuste Tarifa y Ocupación'!W31</f>
        <v>0</v>
      </c>
      <c r="G84" s="52">
        <f>+'B) Reajuste Tarifa y Ocupación'!X31</f>
        <v>0</v>
      </c>
      <c r="H84" s="1220"/>
      <c r="I84" s="1220"/>
      <c r="J84" s="1205"/>
    </row>
    <row r="85" spans="1:10" x14ac:dyDescent="0.35">
      <c r="A85" s="1209"/>
      <c r="B85" s="1227"/>
      <c r="C85" s="49" t="s">
        <v>32</v>
      </c>
      <c r="D85" s="47"/>
      <c r="E85" s="50">
        <f>E84*E83</f>
        <v>194400</v>
      </c>
      <c r="F85" s="50">
        <f t="shared" ref="F85:G85" si="26">F84*F83</f>
        <v>0</v>
      </c>
      <c r="G85" s="50">
        <f t="shared" si="26"/>
        <v>0</v>
      </c>
      <c r="H85" s="48"/>
      <c r="I85" s="44">
        <f>SUM(D85:G85)</f>
        <v>194400</v>
      </c>
      <c r="J85" s="44">
        <f>H85+I85</f>
        <v>194400</v>
      </c>
    </row>
    <row r="86" spans="1:10" x14ac:dyDescent="0.35">
      <c r="A86" s="1209"/>
      <c r="B86" s="1223" t="str">
        <f>+'B) Reajuste Tarifa y Ocupación'!B32</f>
        <v>CUADRUPLE</v>
      </c>
      <c r="C86" s="36" t="s">
        <v>374</v>
      </c>
      <c r="D86" s="1225"/>
      <c r="E86" s="51">
        <f>+'B) Reajuste Tarifa y Ocupación'!K32</f>
        <v>26100</v>
      </c>
      <c r="F86" s="51">
        <f>+'B) Reajuste Tarifa y Ocupación'!L32</f>
        <v>31100</v>
      </c>
      <c r="G86" s="51">
        <f>+'B) Reajuste Tarifa y Ocupación'!M32</f>
        <v>32600</v>
      </c>
      <c r="H86" s="1220"/>
      <c r="I86" s="1220"/>
      <c r="J86" s="1205"/>
    </row>
    <row r="87" spans="1:10" x14ac:dyDescent="0.35">
      <c r="A87" s="1209"/>
      <c r="B87" s="1224"/>
      <c r="C87" s="36" t="s">
        <v>31</v>
      </c>
      <c r="D87" s="1226"/>
      <c r="E87" s="52">
        <f>+'B) Reajuste Tarifa y Ocupación'!V32</f>
        <v>5</v>
      </c>
      <c r="F87" s="52">
        <f>+'B) Reajuste Tarifa y Ocupación'!W32</f>
        <v>0</v>
      </c>
      <c r="G87" s="52">
        <f>+'B) Reajuste Tarifa y Ocupación'!X32</f>
        <v>0</v>
      </c>
      <c r="H87" s="1220"/>
      <c r="I87" s="1220"/>
      <c r="J87" s="1205"/>
    </row>
    <row r="88" spans="1:10" x14ac:dyDescent="0.35">
      <c r="A88" s="1209"/>
      <c r="B88" s="58"/>
      <c r="C88" s="49" t="s">
        <v>32</v>
      </c>
      <c r="D88" s="47"/>
      <c r="E88" s="50">
        <f>E87*E86</f>
        <v>130500</v>
      </c>
      <c r="F88" s="50">
        <f t="shared" ref="F88:G88" si="27">F87*F86</f>
        <v>0</v>
      </c>
      <c r="G88" s="50">
        <f t="shared" si="27"/>
        <v>0</v>
      </c>
      <c r="H88" s="48"/>
      <c r="I88" s="44">
        <f>SUM(D88:G88)</f>
        <v>130500</v>
      </c>
      <c r="J88" s="44">
        <f>H88+I88</f>
        <v>130500</v>
      </c>
    </row>
    <row r="89" spans="1:10" x14ac:dyDescent="0.35">
      <c r="A89" s="1210"/>
      <c r="B89" s="1206" t="s">
        <v>33</v>
      </c>
      <c r="C89" s="1207"/>
      <c r="D89" s="53">
        <f>SUM(D61,D64,D67,D70,D73,D76,D79,D82,D85)</f>
        <v>67939000</v>
      </c>
      <c r="E89" s="53">
        <f t="shared" ref="E89:G89" si="28">SUM(E61,E64,E67,E70,E73,E76,E79,E82,E85)</f>
        <v>11710000</v>
      </c>
      <c r="F89" s="53">
        <f>SUM(F61,F64,F67,F70,F73,F76,F79,F82,F85)</f>
        <v>2541300</v>
      </c>
      <c r="G89" s="53">
        <f t="shared" si="28"/>
        <v>211800</v>
      </c>
      <c r="H89" s="53">
        <f>SUM(H61,H64,H67,H70,H73,H76,H79,H82,H85)</f>
        <v>36451800</v>
      </c>
      <c r="I89" s="53">
        <f>SUM(I61,I64,I67,I70,I73,I76,I79,I82,I85)</f>
        <v>82402100</v>
      </c>
      <c r="J89" s="53">
        <f>SUM(J61,J64,J67,J70,J73,J76,J79,J82,J85)</f>
        <v>118853900</v>
      </c>
    </row>
    <row r="90" spans="1:10" x14ac:dyDescent="0.35">
      <c r="A90" s="1208" t="str">
        <f>+'B) Reajuste Tarifa y Ocupación'!A33</f>
        <v>CABAÑAS RIO SAN JUAN</v>
      </c>
      <c r="B90" s="1211" t="str">
        <f>+'B) Reajuste Tarifa y Ocupación'!B33</f>
        <v>CABAÑA (6 PERS.)</v>
      </c>
      <c r="C90" s="36" t="s">
        <v>374</v>
      </c>
      <c r="D90" s="55">
        <f>+'B) Reajuste Tarifa y Ocupación'!J33</f>
        <v>33000</v>
      </c>
      <c r="E90" s="55">
        <f>+'B) Reajuste Tarifa y Ocupación'!K33</f>
        <v>50700</v>
      </c>
      <c r="F90" s="55">
        <f>+'B) Reajuste Tarifa y Ocupación'!L33</f>
        <v>75500</v>
      </c>
      <c r="G90" s="55">
        <f>+'B) Reajuste Tarifa y Ocupación'!M33</f>
        <v>120700</v>
      </c>
      <c r="H90" s="1214"/>
      <c r="I90" s="1214"/>
      <c r="J90" s="1216"/>
    </row>
    <row r="91" spans="1:10" x14ac:dyDescent="0.35">
      <c r="A91" s="1209"/>
      <c r="B91" s="1212"/>
      <c r="C91" s="36" t="s">
        <v>31</v>
      </c>
      <c r="D91" s="59">
        <f>+'B) Reajuste Tarifa y Ocupación'!U33</f>
        <v>155</v>
      </c>
      <c r="E91" s="59">
        <f>+'B) Reajuste Tarifa y Ocupación'!V33</f>
        <v>9</v>
      </c>
      <c r="F91" s="59">
        <f>+'B) Reajuste Tarifa y Ocupación'!W33</f>
        <v>0</v>
      </c>
      <c r="G91" s="59">
        <f>+'B) Reajuste Tarifa y Ocupación'!X33</f>
        <v>0</v>
      </c>
      <c r="H91" s="1215"/>
      <c r="I91" s="1215"/>
      <c r="J91" s="1217"/>
    </row>
    <row r="92" spans="1:10" x14ac:dyDescent="0.35">
      <c r="A92" s="1209"/>
      <c r="B92" s="1213"/>
      <c r="C92" s="49" t="s">
        <v>32</v>
      </c>
      <c r="D92" s="589">
        <f>D91*D90</f>
        <v>5115000</v>
      </c>
      <c r="E92" s="589">
        <f>E91*E90</f>
        <v>456300</v>
      </c>
      <c r="F92" s="589">
        <f t="shared" ref="F92:G92" si="29">F91*F90</f>
        <v>0</v>
      </c>
      <c r="G92" s="589">
        <f t="shared" si="29"/>
        <v>0</v>
      </c>
      <c r="H92" s="590">
        <f>(E90-D90)*D91</f>
        <v>2743500</v>
      </c>
      <c r="I92" s="590">
        <f>SUM(D92:G92)</f>
        <v>5571300</v>
      </c>
      <c r="J92" s="590">
        <f>H92+I92</f>
        <v>8314800</v>
      </c>
    </row>
    <row r="93" spans="1:10" x14ac:dyDescent="0.35">
      <c r="A93" s="1210"/>
      <c r="B93" s="1206" t="s">
        <v>33</v>
      </c>
      <c r="C93" s="1221"/>
      <c r="D93" s="593">
        <f t="shared" ref="D93:I93" si="30">SUM(D92)</f>
        <v>5115000</v>
      </c>
      <c r="E93" s="593">
        <f t="shared" si="30"/>
        <v>456300</v>
      </c>
      <c r="F93" s="593">
        <f>(SUM(F92))/1.19</f>
        <v>0</v>
      </c>
      <c r="G93" s="593">
        <f>(SUM(G92))/1.19</f>
        <v>0</v>
      </c>
      <c r="H93" s="593">
        <f t="shared" si="30"/>
        <v>2743500</v>
      </c>
      <c r="I93" s="593">
        <f t="shared" si="30"/>
        <v>5571300</v>
      </c>
      <c r="J93" s="593">
        <f t="shared" ref="J93" si="31">SUM(J92)</f>
        <v>8314800</v>
      </c>
    </row>
    <row r="94" spans="1:10" x14ac:dyDescent="0.35">
      <c r="A94" s="1208" t="str">
        <f>+'B) Reajuste Tarifa y Ocupación'!A34</f>
        <v>CENTRO RECREATIVO</v>
      </c>
      <c r="B94" s="1211" t="str">
        <f>+'B) Reajuste Tarifa y Ocupación'!B34</f>
        <v>QUINCHO 20 PERS.</v>
      </c>
      <c r="C94" s="588" t="s">
        <v>374</v>
      </c>
      <c r="D94" s="1130">
        <f>+'B) Reajuste Tarifa y Ocupación'!J34</f>
        <v>28900</v>
      </c>
      <c r="E94" s="594">
        <f>+'B) Reajuste Tarifa y Ocupación'!K34</f>
        <v>44400</v>
      </c>
      <c r="F94" s="594">
        <f>+'B) Reajuste Tarifa y Ocupación'!L34</f>
        <v>68600</v>
      </c>
      <c r="G94" s="594">
        <f>+'B) Reajuste Tarifa y Ocupación'!M34</f>
        <v>109700</v>
      </c>
      <c r="H94" s="1222"/>
      <c r="I94" s="1222"/>
      <c r="J94" s="1219"/>
    </row>
    <row r="95" spans="1:10" x14ac:dyDescent="0.35">
      <c r="A95" s="1209"/>
      <c r="B95" s="1212"/>
      <c r="C95" s="588" t="s">
        <v>31</v>
      </c>
      <c r="D95" s="1131">
        <f>+'B) Reajuste Tarifa y Ocupación'!U34</f>
        <v>82</v>
      </c>
      <c r="E95" s="59">
        <f>+'B) Reajuste Tarifa y Ocupación'!V34</f>
        <v>5</v>
      </c>
      <c r="F95" s="595">
        <f>+'B) Reajuste Tarifa y Ocupación'!W34</f>
        <v>0</v>
      </c>
      <c r="G95" s="595">
        <f>+'B) Reajuste Tarifa y Ocupación'!X34</f>
        <v>0</v>
      </c>
      <c r="H95" s="1222"/>
      <c r="I95" s="1222"/>
      <c r="J95" s="1219"/>
    </row>
    <row r="96" spans="1:10" x14ac:dyDescent="0.35">
      <c r="A96" s="1209"/>
      <c r="B96" s="1213"/>
      <c r="C96" s="49" t="s">
        <v>32</v>
      </c>
      <c r="D96" s="1077">
        <f>D95*D94</f>
        <v>2369800</v>
      </c>
      <c r="E96" s="1082">
        <f>E95*E94</f>
        <v>222000</v>
      </c>
      <c r="F96" s="591">
        <f t="shared" ref="F96:G96" si="32">F95*F94</f>
        <v>0</v>
      </c>
      <c r="G96" s="591">
        <f t="shared" si="32"/>
        <v>0</v>
      </c>
      <c r="H96" s="43">
        <f>(E94-D94)*D95</f>
        <v>1271000</v>
      </c>
      <c r="I96" s="592">
        <f>SUM(D96:G96)</f>
        <v>2591800</v>
      </c>
      <c r="J96" s="592">
        <f>H96+I96</f>
        <v>3862800</v>
      </c>
    </row>
    <row r="97" spans="1:10" x14ac:dyDescent="0.35">
      <c r="A97" s="1209"/>
      <c r="B97" s="1211" t="str">
        <f>+'B) Reajuste Tarifa y Ocupación'!B35</f>
        <v>QUINCHO 40 PERS.</v>
      </c>
      <c r="C97" s="36" t="s">
        <v>374</v>
      </c>
      <c r="D97" s="1130">
        <f>+'B) Reajuste Tarifa y Ocupación'!J35</f>
        <v>45200</v>
      </c>
      <c r="E97" s="55">
        <f>+'B) Reajuste Tarifa y Ocupación'!K35</f>
        <v>69500</v>
      </c>
      <c r="F97" s="55">
        <f>+'B) Reajuste Tarifa y Ocupación'!L35</f>
        <v>103000</v>
      </c>
      <c r="G97" s="55">
        <f>+'B) Reajuste Tarifa y Ocupación'!M35</f>
        <v>164700</v>
      </c>
      <c r="H97" s="1214"/>
      <c r="I97" s="1214"/>
      <c r="J97" s="1216"/>
    </row>
    <row r="98" spans="1:10" x14ac:dyDescent="0.35">
      <c r="A98" s="1209"/>
      <c r="B98" s="1212"/>
      <c r="C98" s="36" t="s">
        <v>31</v>
      </c>
      <c r="D98" s="1131">
        <f>+'B) Reajuste Tarifa y Ocupación'!U35</f>
        <v>61</v>
      </c>
      <c r="E98" s="59">
        <f>+'B) Reajuste Tarifa y Ocupación'!V35</f>
        <v>8</v>
      </c>
      <c r="F98" s="52">
        <f>+'B) Reajuste Tarifa y Ocupación'!W35</f>
        <v>0</v>
      </c>
      <c r="G98" s="52">
        <f>+'B) Reajuste Tarifa y Ocupación'!X35</f>
        <v>0</v>
      </c>
      <c r="H98" s="1220"/>
      <c r="I98" s="1220"/>
      <c r="J98" s="1205"/>
    </row>
    <row r="99" spans="1:10" x14ac:dyDescent="0.35">
      <c r="A99" s="1209"/>
      <c r="B99" s="1213"/>
      <c r="C99" s="49" t="s">
        <v>32</v>
      </c>
      <c r="D99" s="1078">
        <f>D98*D97</f>
        <v>2757200</v>
      </c>
      <c r="E99" s="50">
        <f>E98*E97</f>
        <v>556000</v>
      </c>
      <c r="F99" s="50">
        <f t="shared" ref="F99:G99" si="33">F98*F97</f>
        <v>0</v>
      </c>
      <c r="G99" s="50">
        <f t="shared" si="33"/>
        <v>0</v>
      </c>
      <c r="H99" s="43">
        <f>(E97-D97)*D98</f>
        <v>1482300</v>
      </c>
      <c r="I99" s="44">
        <f>SUM(D99:G99)</f>
        <v>3313200</v>
      </c>
      <c r="J99" s="44">
        <f>H99+I99</f>
        <v>4795500</v>
      </c>
    </row>
    <row r="100" spans="1:10" x14ac:dyDescent="0.35">
      <c r="A100" s="1209"/>
      <c r="B100" s="1211" t="str">
        <f>+'B) Reajuste Tarifa y Ocupación'!B36</f>
        <v>QUINCHO 80 PERS.</v>
      </c>
      <c r="C100" s="36" t="s">
        <v>374</v>
      </c>
      <c r="D100" s="1130">
        <f>+'B) Reajuste Tarifa y Ocupación'!J36</f>
        <v>69900</v>
      </c>
      <c r="E100" s="51">
        <f>+'B) Reajuste Tarifa y Ocupación'!K36</f>
        <v>107400</v>
      </c>
      <c r="F100" s="51">
        <f>+'B) Reajuste Tarifa y Ocupación'!L36</f>
        <v>171500</v>
      </c>
      <c r="G100" s="51">
        <f>+'B) Reajuste Tarifa y Ocupación'!M36</f>
        <v>274500</v>
      </c>
      <c r="H100" s="1220"/>
      <c r="I100" s="1220"/>
      <c r="J100" s="1205"/>
    </row>
    <row r="101" spans="1:10" x14ac:dyDescent="0.35">
      <c r="A101" s="1209"/>
      <c r="B101" s="1212"/>
      <c r="C101" s="36" t="s">
        <v>31</v>
      </c>
      <c r="D101" s="1131">
        <f>+'B) Reajuste Tarifa y Ocupación'!U36</f>
        <v>58</v>
      </c>
      <c r="E101" s="59">
        <f>+'B) Reajuste Tarifa y Ocupación'!V36</f>
        <v>7</v>
      </c>
      <c r="F101" s="52">
        <f>+'B) Reajuste Tarifa y Ocupación'!W36</f>
        <v>0</v>
      </c>
      <c r="G101" s="52">
        <f>+'B) Reajuste Tarifa y Ocupación'!X36</f>
        <v>0</v>
      </c>
      <c r="H101" s="1220"/>
      <c r="I101" s="1220"/>
      <c r="J101" s="1205"/>
    </row>
    <row r="102" spans="1:10" x14ac:dyDescent="0.35">
      <c r="A102" s="1209"/>
      <c r="B102" s="1213"/>
      <c r="C102" s="49" t="s">
        <v>32</v>
      </c>
      <c r="D102" s="589">
        <f>D101*D100</f>
        <v>4054200</v>
      </c>
      <c r="E102" s="50">
        <f>E101*E100</f>
        <v>751800</v>
      </c>
      <c r="F102" s="50">
        <f t="shared" ref="F102:G102" si="34">F101*F100</f>
        <v>0</v>
      </c>
      <c r="G102" s="50">
        <f t="shared" si="34"/>
        <v>0</v>
      </c>
      <c r="H102" s="43">
        <f>(E100-D100)*D101</f>
        <v>2175000</v>
      </c>
      <c r="I102" s="44">
        <f>SUM(D102:G102)</f>
        <v>4806000</v>
      </c>
      <c r="J102" s="44">
        <f>H102+I102</f>
        <v>6981000</v>
      </c>
    </row>
    <row r="103" spans="1:10" x14ac:dyDescent="0.35">
      <c r="A103" s="1210"/>
      <c r="B103" s="1206" t="s">
        <v>33</v>
      </c>
      <c r="C103" s="1207"/>
      <c r="D103" s="1079">
        <f>D102*D101</f>
        <v>235143600</v>
      </c>
      <c r="E103" s="53">
        <f t="shared" ref="E103:G103" si="35">SUM(E96,E99,E102)</f>
        <v>1529800</v>
      </c>
      <c r="F103" s="53">
        <f t="shared" si="35"/>
        <v>0</v>
      </c>
      <c r="G103" s="53">
        <f t="shared" si="35"/>
        <v>0</v>
      </c>
      <c r="H103" s="53">
        <f>SUM(H96,H99,H102)</f>
        <v>4928300</v>
      </c>
      <c r="I103" s="53">
        <f>SUM(I96,I99,I102)</f>
        <v>10711000</v>
      </c>
      <c r="J103" s="53">
        <f>SUM(J96,J99,J102)</f>
        <v>15639300</v>
      </c>
    </row>
    <row r="104" spans="1:10" x14ac:dyDescent="0.35">
      <c r="A104" s="1208" t="str">
        <f>+'B) Reajuste Tarifa y Ocupación'!A37</f>
        <v>SALA EVENTOS - QUINCHO BERMUDEZ</v>
      </c>
      <c r="B104" s="1211" t="str">
        <f>+'B) Reajuste Tarifa y Ocupación'!B37</f>
        <v>SALA - QUINCHO 40 PERS.</v>
      </c>
      <c r="C104" s="36" t="s">
        <v>374</v>
      </c>
      <c r="D104" s="1130">
        <f>+'B) Reajuste Tarifa y Ocupación'!J37</f>
        <v>38000</v>
      </c>
      <c r="E104" s="55">
        <f>+'B) Reajuste Tarifa y Ocupación'!K37</f>
        <v>58400</v>
      </c>
      <c r="F104" s="1080">
        <f>+'B) Reajuste Tarifa y Ocupación'!L37</f>
        <v>0</v>
      </c>
      <c r="G104" s="1080">
        <f>+'B) Reajuste Tarifa y Ocupación'!M37</f>
        <v>0</v>
      </c>
      <c r="H104" s="1214"/>
      <c r="I104" s="1214"/>
      <c r="J104" s="1216"/>
    </row>
    <row r="105" spans="1:10" x14ac:dyDescent="0.35">
      <c r="A105" s="1209"/>
      <c r="B105" s="1212"/>
      <c r="C105" s="36" t="s">
        <v>31</v>
      </c>
      <c r="D105" s="1131">
        <f>+'B) Reajuste Tarifa y Ocupación'!U37</f>
        <v>47</v>
      </c>
      <c r="E105" s="59">
        <f>+'B) Reajuste Tarifa y Ocupación'!V37</f>
        <v>3</v>
      </c>
      <c r="F105" s="1081">
        <f>+'B) Reajuste Tarifa y Ocupación'!W37</f>
        <v>0</v>
      </c>
      <c r="G105" s="1081">
        <f>+'B) Reajuste Tarifa y Ocupación'!X37</f>
        <v>0</v>
      </c>
      <c r="H105" s="1215"/>
      <c r="I105" s="1215"/>
      <c r="J105" s="1217"/>
    </row>
    <row r="106" spans="1:10" x14ac:dyDescent="0.35">
      <c r="A106" s="1209"/>
      <c r="B106" s="1213"/>
      <c r="C106" s="49" t="s">
        <v>32</v>
      </c>
      <c r="D106" s="1078">
        <f>D105*D104</f>
        <v>1786000</v>
      </c>
      <c r="E106" s="50">
        <f>E105*E104</f>
        <v>175200</v>
      </c>
      <c r="F106" s="50">
        <f t="shared" ref="F106:G106" si="36">F105*F104</f>
        <v>0</v>
      </c>
      <c r="G106" s="50">
        <f t="shared" si="36"/>
        <v>0</v>
      </c>
      <c r="H106" s="44">
        <f>(E104-D104)*D105</f>
        <v>958800</v>
      </c>
      <c r="I106" s="44">
        <f>SUM(D106:G106)</f>
        <v>1961200</v>
      </c>
      <c r="J106" s="44">
        <f>H106+I106</f>
        <v>2920000</v>
      </c>
    </row>
    <row r="107" spans="1:10" x14ac:dyDescent="0.35">
      <c r="A107" s="1210"/>
      <c r="B107" s="1206" t="s">
        <v>33</v>
      </c>
      <c r="C107" s="1207"/>
      <c r="D107" s="53">
        <f>SUM(D106)</f>
        <v>1786000</v>
      </c>
      <c r="E107" s="53">
        <f t="shared" ref="E107:J107" si="37">SUM(E106)</f>
        <v>175200</v>
      </c>
      <c r="F107" s="53">
        <f t="shared" si="37"/>
        <v>0</v>
      </c>
      <c r="G107" s="53">
        <f t="shared" si="37"/>
        <v>0</v>
      </c>
      <c r="H107" s="53">
        <f t="shared" si="37"/>
        <v>958800</v>
      </c>
      <c r="I107" s="53">
        <f t="shared" si="37"/>
        <v>1961200</v>
      </c>
      <c r="J107" s="53">
        <f t="shared" si="37"/>
        <v>2920000</v>
      </c>
    </row>
    <row r="109" spans="1:10" x14ac:dyDescent="0.35">
      <c r="J109" s="134"/>
    </row>
    <row r="110" spans="1:10" ht="15.5" x14ac:dyDescent="0.35">
      <c r="A110" s="1193" t="s">
        <v>286</v>
      </c>
      <c r="B110" s="1193"/>
      <c r="C110" s="1193"/>
      <c r="D110" s="1193"/>
      <c r="E110"/>
      <c r="F110"/>
      <c r="G110"/>
    </row>
    <row r="111" spans="1:10" x14ac:dyDescent="0.35">
      <c r="A111"/>
      <c r="B111"/>
      <c r="C111"/>
      <c r="D111" s="1194" t="s">
        <v>34</v>
      </c>
      <c r="E111" s="1195"/>
      <c r="F111" s="1196"/>
      <c r="H111" s="1218"/>
      <c r="I111" s="1218"/>
      <c r="J111" s="1218"/>
    </row>
    <row r="112" spans="1:10" x14ac:dyDescent="0.35">
      <c r="A112" s="1197" t="s">
        <v>35</v>
      </c>
      <c r="B112" s="1199" t="s">
        <v>36</v>
      </c>
      <c r="C112" s="1200"/>
      <c r="D112" s="1197" t="s">
        <v>377</v>
      </c>
      <c r="E112" s="1197" t="s">
        <v>378</v>
      </c>
      <c r="F112" s="1203" t="s">
        <v>379</v>
      </c>
      <c r="H112" s="1218"/>
      <c r="I112" s="1218"/>
      <c r="J112" s="1218"/>
    </row>
    <row r="113" spans="1:10" x14ac:dyDescent="0.35">
      <c r="A113" s="1198"/>
      <c r="B113" s="1201"/>
      <c r="C113" s="1202"/>
      <c r="D113" s="1198"/>
      <c r="E113" s="1198"/>
      <c r="F113" s="1204"/>
      <c r="H113" s="1218"/>
      <c r="I113" s="1218"/>
      <c r="J113" s="1218"/>
    </row>
    <row r="114" spans="1:10" ht="31" x14ac:dyDescent="0.35">
      <c r="A114" s="60" t="s">
        <v>19</v>
      </c>
      <c r="B114" s="1191" t="s">
        <v>37</v>
      </c>
      <c r="C114" s="1192"/>
      <c r="D114" s="61"/>
      <c r="E114" s="61">
        <v>0</v>
      </c>
      <c r="F114" s="61">
        <v>0</v>
      </c>
      <c r="H114" s="1218"/>
      <c r="I114" s="1218"/>
      <c r="J114" s="1218"/>
    </row>
    <row r="115" spans="1:10" x14ac:dyDescent="0.35">
      <c r="E115" s="313"/>
      <c r="F115" s="408"/>
    </row>
    <row r="116" spans="1:10" x14ac:dyDescent="0.35">
      <c r="D116" s="2"/>
      <c r="E116" s="407"/>
    </row>
  </sheetData>
  <mergeCells count="154">
    <mergeCell ref="C4:D4"/>
    <mergeCell ref="E4:F4"/>
    <mergeCell ref="A6:D6"/>
    <mergeCell ref="A20:D20"/>
    <mergeCell ref="A22:A23"/>
    <mergeCell ref="B22:B23"/>
    <mergeCell ref="C22:C23"/>
    <mergeCell ref="D22:G22"/>
    <mergeCell ref="H22:H23"/>
    <mergeCell ref="I22:I23"/>
    <mergeCell ref="J22:J23"/>
    <mergeCell ref="A24:A54"/>
    <mergeCell ref="B24:B26"/>
    <mergeCell ref="H24:H25"/>
    <mergeCell ref="I24:I25"/>
    <mergeCell ref="J24:J25"/>
    <mergeCell ref="B27:B29"/>
    <mergeCell ref="H27:H28"/>
    <mergeCell ref="B33:B35"/>
    <mergeCell ref="H33:H34"/>
    <mergeCell ref="I33:I34"/>
    <mergeCell ref="J33:J34"/>
    <mergeCell ref="B36:B38"/>
    <mergeCell ref="H36:H37"/>
    <mergeCell ref="I36:I37"/>
    <mergeCell ref="J36:J37"/>
    <mergeCell ref="I27:I28"/>
    <mergeCell ref="J27:J28"/>
    <mergeCell ref="B30:B32"/>
    <mergeCell ref="H30:H31"/>
    <mergeCell ref="I30:I31"/>
    <mergeCell ref="J30:J31"/>
    <mergeCell ref="H39:H40"/>
    <mergeCell ref="I39:I40"/>
    <mergeCell ref="J39:J40"/>
    <mergeCell ref="B42:B44"/>
    <mergeCell ref="D42:D43"/>
    <mergeCell ref="H42:H43"/>
    <mergeCell ref="I42:I43"/>
    <mergeCell ref="J42:J43"/>
    <mergeCell ref="B39:B41"/>
    <mergeCell ref="C39:C40"/>
    <mergeCell ref="D39:D40"/>
    <mergeCell ref="E39:E40"/>
    <mergeCell ref="F39:F40"/>
    <mergeCell ref="G39:G40"/>
    <mergeCell ref="B45:B47"/>
    <mergeCell ref="D45:D46"/>
    <mergeCell ref="H45:H46"/>
    <mergeCell ref="I45:I46"/>
    <mergeCell ref="J45:J46"/>
    <mergeCell ref="B48:B50"/>
    <mergeCell ref="D48:D49"/>
    <mergeCell ref="H48:H49"/>
    <mergeCell ref="I48:I49"/>
    <mergeCell ref="J48:J49"/>
    <mergeCell ref="A55:A58"/>
    <mergeCell ref="B55:B57"/>
    <mergeCell ref="H55:H56"/>
    <mergeCell ref="I55:I56"/>
    <mergeCell ref="J55:J56"/>
    <mergeCell ref="B58:C58"/>
    <mergeCell ref="B51:B53"/>
    <mergeCell ref="D51:D52"/>
    <mergeCell ref="H51:H52"/>
    <mergeCell ref="I51:I52"/>
    <mergeCell ref="J51:J52"/>
    <mergeCell ref="B54:C54"/>
    <mergeCell ref="H65:H66"/>
    <mergeCell ref="I65:I66"/>
    <mergeCell ref="J65:J66"/>
    <mergeCell ref="B68:B70"/>
    <mergeCell ref="H68:H69"/>
    <mergeCell ref="I68:I69"/>
    <mergeCell ref="J68:J69"/>
    <mergeCell ref="A59:A89"/>
    <mergeCell ref="B59:B61"/>
    <mergeCell ref="H59:H60"/>
    <mergeCell ref="I59:I60"/>
    <mergeCell ref="J59:J60"/>
    <mergeCell ref="B62:B64"/>
    <mergeCell ref="H62:H63"/>
    <mergeCell ref="I62:I63"/>
    <mergeCell ref="J62:J63"/>
    <mergeCell ref="B65:B67"/>
    <mergeCell ref="H74:H75"/>
    <mergeCell ref="I74:I75"/>
    <mergeCell ref="J74:J75"/>
    <mergeCell ref="B77:B79"/>
    <mergeCell ref="D77:D78"/>
    <mergeCell ref="H77:H78"/>
    <mergeCell ref="I77:I78"/>
    <mergeCell ref="J77:J78"/>
    <mergeCell ref="B71:B73"/>
    <mergeCell ref="H71:H72"/>
    <mergeCell ref="I71:I72"/>
    <mergeCell ref="J71:J72"/>
    <mergeCell ref="B74:B76"/>
    <mergeCell ref="C74:C75"/>
    <mergeCell ref="D74:D75"/>
    <mergeCell ref="E74:E75"/>
    <mergeCell ref="F74:F75"/>
    <mergeCell ref="G74:G75"/>
    <mergeCell ref="B86:B87"/>
    <mergeCell ref="D86:D87"/>
    <mergeCell ref="H86:H87"/>
    <mergeCell ref="I86:I87"/>
    <mergeCell ref="J86:J87"/>
    <mergeCell ref="B89:C89"/>
    <mergeCell ref="B80:B82"/>
    <mergeCell ref="D80:D81"/>
    <mergeCell ref="H80:H81"/>
    <mergeCell ref="I80:I81"/>
    <mergeCell ref="J80:J81"/>
    <mergeCell ref="B83:B85"/>
    <mergeCell ref="D83:D84"/>
    <mergeCell ref="H83:H84"/>
    <mergeCell ref="I83:I84"/>
    <mergeCell ref="J83:J84"/>
    <mergeCell ref="J94:J95"/>
    <mergeCell ref="B97:B99"/>
    <mergeCell ref="H97:H98"/>
    <mergeCell ref="I97:I98"/>
    <mergeCell ref="J97:J98"/>
    <mergeCell ref="B93:C93"/>
    <mergeCell ref="A94:A103"/>
    <mergeCell ref="B94:B96"/>
    <mergeCell ref="H94:H95"/>
    <mergeCell ref="I94:I95"/>
    <mergeCell ref="B100:B102"/>
    <mergeCell ref="H100:H101"/>
    <mergeCell ref="I100:I101"/>
    <mergeCell ref="A90:A93"/>
    <mergeCell ref="B90:B92"/>
    <mergeCell ref="H90:H91"/>
    <mergeCell ref="I90:I91"/>
    <mergeCell ref="J90:J91"/>
    <mergeCell ref="B114:C114"/>
    <mergeCell ref="A110:D110"/>
    <mergeCell ref="D111:F111"/>
    <mergeCell ref="A112:A113"/>
    <mergeCell ref="B112:C113"/>
    <mergeCell ref="D112:D113"/>
    <mergeCell ref="E112:E113"/>
    <mergeCell ref="F112:F113"/>
    <mergeCell ref="J100:J101"/>
    <mergeCell ref="B103:C103"/>
    <mergeCell ref="A104:A107"/>
    <mergeCell ref="B104:B106"/>
    <mergeCell ref="H104:H105"/>
    <mergeCell ref="I104:I105"/>
    <mergeCell ref="J104:J105"/>
    <mergeCell ref="B107:C107"/>
    <mergeCell ref="H111:J114"/>
  </mergeCells>
  <conditionalFormatting sqref="B9:M16 E18:F18 C19 F19:L20">
    <cfRule type="cellIs" dxfId="20" priority="4" stopIfTrue="1" operator="lessThan">
      <formula>0</formula>
    </cfRule>
  </conditionalFormatting>
  <conditionalFormatting sqref="K18:N18">
    <cfRule type="cellIs" dxfId="19" priority="8" stopIfTrue="1" operator="lessThan">
      <formula>0</formula>
    </cfRule>
  </conditionalFormatting>
  <conditionalFormatting sqref="M19">
    <cfRule type="cellIs" dxfId="18" priority="1" operator="lessThan">
      <formula>0</formula>
    </cfRule>
  </conditionalFormatting>
  <conditionalFormatting sqref="M9:N16">
    <cfRule type="cellIs" dxfId="17" priority="3" operator="lessThan">
      <formula>0</formula>
    </cfRule>
  </conditionalFormatting>
  <conditionalFormatting sqref="N19">
    <cfRule type="cellIs" dxfId="16" priority="2" operator="greaterThan">
      <formula>0</formula>
    </cfRule>
  </conditionalFormatting>
  <hyperlinks>
    <hyperlink ref="A6:D6" location="'Índice Tablas'!A1" display="TABLA 1: RESUMEN DE INGRESOS Y EGRESOS DE CENTROS DE BENEFICIOS" xr:uid="{00000000-0004-0000-0000-000000000000}"/>
    <hyperlink ref="A20:D20" location="'Índice Tablas'!A1" display="TABLA 2: DETALLE DE INGRESOS POR PRESTACIÓN Y SEGMENTO" xr:uid="{00000000-0004-0000-0000-000001000000}"/>
  </hyperlinks>
  <pageMargins left="3.937007874015748E-2" right="3.937007874015748E-2" top="0.74803149606299213" bottom="0.74803149606299213" header="0.31496062992125984" footer="0.31496062992125984"/>
  <pageSetup paperSize="119" scale="29" orientation="landscape" r:id="rId1"/>
  <ignoredErrors>
    <ignoredError sqref="D24:J24 E42:J42 H60:J63 E60:G60 D65:G66 D61:D63 E45:J46 G43:J43 E48:J49 H47:J47 E59:J59 I57:J57 E58 J58 D27:J28 E25:J25 D26:E26 H26:J26 D30:J31 D29 H29:J29 D33:J34 D32:E32 H32:J32 D36:J37 D35:E35 H35:J35 H58 E62:G63 E61 D64:E64 D68:G69 D67:E67 D71:G72 D70:E70 D38:E38 H38:J38 E44 H44:J44 E51:J52 E50 H50:J50 E54:J56 E53 H53:J53 D73:E7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Z44"/>
  <sheetViews>
    <sheetView showGridLines="0" topLeftCell="P16" zoomScale="80" zoomScaleNormal="80" workbookViewId="0">
      <selection activeCell="V32" sqref="V32"/>
    </sheetView>
  </sheetViews>
  <sheetFormatPr baseColWidth="10" defaultRowHeight="14.5" x14ac:dyDescent="0.35"/>
  <cols>
    <col min="1" max="1" width="29.1796875" customWidth="1"/>
    <col min="2" max="2" width="31.26953125" customWidth="1"/>
    <col min="3" max="3" width="12" customWidth="1"/>
    <col min="4" max="5" width="13.54296875" bestFit="1" customWidth="1"/>
    <col min="6" max="6" width="14.26953125" customWidth="1"/>
    <col min="7" max="9" width="15.7265625" customWidth="1"/>
    <col min="10" max="10" width="16" customWidth="1"/>
    <col min="11" max="12" width="16.26953125" customWidth="1"/>
    <col min="13" max="13" width="16.54296875" customWidth="1"/>
    <col min="14" max="14" width="13.7265625" customWidth="1"/>
    <col min="15" max="15" width="14.26953125" customWidth="1"/>
    <col min="16" max="16" width="16.1796875" customWidth="1"/>
    <col min="17" max="17" width="16.81640625" customWidth="1"/>
    <col min="18" max="18" width="4.453125" customWidth="1"/>
    <col min="19" max="19" width="33.81640625" customWidth="1"/>
    <col min="20" max="20" width="43.453125" bestFit="1" customWidth="1"/>
    <col min="21" max="21" width="12.81640625" customWidth="1"/>
    <col min="22" max="22" width="13.453125" customWidth="1"/>
    <col min="23" max="23" width="13" customWidth="1"/>
    <col min="24" max="24" width="13.1796875" customWidth="1"/>
    <col min="25" max="25" width="12.54296875" customWidth="1"/>
  </cols>
  <sheetData>
    <row r="1" spans="1:26" x14ac:dyDescent="0.35">
      <c r="A1" s="878"/>
      <c r="B1" s="879"/>
      <c r="C1" s="879"/>
      <c r="D1" s="879"/>
      <c r="E1" s="879"/>
      <c r="N1" s="879"/>
      <c r="T1" s="879"/>
      <c r="U1" s="879"/>
      <c r="V1" s="879"/>
      <c r="W1" s="879"/>
      <c r="X1" s="879"/>
      <c r="Y1" s="879"/>
      <c r="Z1" s="879"/>
    </row>
    <row r="2" spans="1:26" ht="20.25" customHeight="1" thickBot="1" x14ac:dyDescent="0.4">
      <c r="A2" s="881"/>
      <c r="C2" s="880" t="s">
        <v>38</v>
      </c>
      <c r="D2" s="879"/>
      <c r="E2" s="879"/>
      <c r="N2" s="879"/>
      <c r="T2" s="879"/>
      <c r="U2" s="879"/>
      <c r="V2" s="879"/>
      <c r="W2" s="879"/>
      <c r="X2" s="879"/>
      <c r="Y2" s="879"/>
      <c r="Z2" s="879"/>
    </row>
    <row r="3" spans="1:26" ht="15" thickBot="1" x14ac:dyDescent="0.4">
      <c r="A3" s="5"/>
      <c r="B3" s="1288" t="s">
        <v>1</v>
      </c>
      <c r="C3" s="1289"/>
      <c r="D3" s="1290" t="s">
        <v>2</v>
      </c>
      <c r="E3" s="1291"/>
      <c r="N3" s="879"/>
      <c r="T3" s="879"/>
      <c r="U3" s="879"/>
      <c r="V3" s="879"/>
      <c r="W3" s="879"/>
      <c r="X3" s="879"/>
      <c r="Y3" s="879"/>
      <c r="Z3" s="879"/>
    </row>
    <row r="4" spans="1:26" ht="15" thickBot="1" x14ac:dyDescent="0.4">
      <c r="A4" s="5"/>
      <c r="T4" s="879"/>
      <c r="U4" s="879"/>
      <c r="V4" s="879"/>
      <c r="W4" s="879"/>
      <c r="X4" s="879"/>
      <c r="Y4" s="879"/>
      <c r="Z4" s="879"/>
    </row>
    <row r="5" spans="1:26" x14ac:dyDescent="0.35">
      <c r="A5" s="5"/>
      <c r="B5" s="882"/>
      <c r="C5" s="882"/>
      <c r="F5" s="1305" t="s">
        <v>528</v>
      </c>
      <c r="G5" s="1306"/>
      <c r="H5" s="1306"/>
      <c r="I5" s="1307"/>
      <c r="J5" s="1321" t="s">
        <v>529</v>
      </c>
      <c r="K5" s="1322"/>
      <c r="L5" s="1322"/>
      <c r="M5" s="1323"/>
      <c r="N5" s="1324" t="s">
        <v>473</v>
      </c>
      <c r="O5" s="1325"/>
      <c r="P5" s="1325"/>
      <c r="Q5" s="1326"/>
      <c r="T5" s="879"/>
      <c r="U5" s="879"/>
      <c r="V5" s="879"/>
      <c r="W5" s="879"/>
      <c r="X5" s="879"/>
      <c r="Y5" s="879"/>
      <c r="Z5" s="879"/>
    </row>
    <row r="6" spans="1:26" x14ac:dyDescent="0.35">
      <c r="A6" s="5"/>
      <c r="B6" s="882"/>
      <c r="C6" s="882"/>
      <c r="D6" s="883"/>
      <c r="E6" s="883"/>
      <c r="F6" s="1176" t="s">
        <v>44</v>
      </c>
      <c r="G6" s="1177" t="s">
        <v>462</v>
      </c>
      <c r="H6" s="1177" t="s">
        <v>525</v>
      </c>
      <c r="I6" s="1178" t="s">
        <v>526</v>
      </c>
      <c r="J6" s="1184" t="s">
        <v>44</v>
      </c>
      <c r="K6" s="1185" t="s">
        <v>462</v>
      </c>
      <c r="L6" s="1185" t="s">
        <v>525</v>
      </c>
      <c r="M6" s="1186" t="s">
        <v>526</v>
      </c>
      <c r="N6" s="1187" t="s">
        <v>44</v>
      </c>
      <c r="O6" s="1173" t="s">
        <v>462</v>
      </c>
      <c r="P6" s="1173" t="s">
        <v>525</v>
      </c>
      <c r="Q6" s="1188" t="s">
        <v>526</v>
      </c>
      <c r="T6" s="879"/>
      <c r="U6" s="879"/>
      <c r="V6" s="879"/>
      <c r="W6" s="879"/>
      <c r="X6" s="879"/>
      <c r="Y6" s="879"/>
      <c r="Z6" s="879"/>
    </row>
    <row r="7" spans="1:26" x14ac:dyDescent="0.35">
      <c r="A7" s="5"/>
      <c r="B7" s="882"/>
      <c r="C7" s="882"/>
      <c r="D7" s="883"/>
      <c r="E7" s="883"/>
      <c r="F7" s="1179" t="s">
        <v>468</v>
      </c>
      <c r="G7" s="1139" t="s">
        <v>464</v>
      </c>
      <c r="H7" s="1139" t="s">
        <v>462</v>
      </c>
      <c r="I7" s="1180" t="s">
        <v>462</v>
      </c>
      <c r="J7" s="1179" t="s">
        <v>468</v>
      </c>
      <c r="K7" s="1139" t="s">
        <v>464</v>
      </c>
      <c r="L7" s="1139" t="s">
        <v>462</v>
      </c>
      <c r="M7" s="1180" t="s">
        <v>462</v>
      </c>
      <c r="N7" s="1179" t="s">
        <v>468</v>
      </c>
      <c r="O7" s="1139" t="s">
        <v>464</v>
      </c>
      <c r="P7" s="1139" t="s">
        <v>462</v>
      </c>
      <c r="Q7" s="1180" t="s">
        <v>462</v>
      </c>
      <c r="T7" s="879"/>
      <c r="U7" s="879"/>
      <c r="V7" s="879"/>
      <c r="W7" s="879"/>
      <c r="X7" s="879"/>
      <c r="Y7" s="879"/>
      <c r="Z7" s="879"/>
    </row>
    <row r="8" spans="1:26" ht="15" thickBot="1" x14ac:dyDescent="0.4">
      <c r="A8" s="1292" t="s">
        <v>39</v>
      </c>
      <c r="B8" s="1292"/>
      <c r="C8" s="1292"/>
      <c r="D8" s="885"/>
      <c r="E8" s="880"/>
      <c r="F8" s="1181">
        <v>0.35</v>
      </c>
      <c r="G8" s="1182" t="s">
        <v>465</v>
      </c>
      <c r="H8" s="1182" t="s">
        <v>463</v>
      </c>
      <c r="I8" s="1183" t="s">
        <v>527</v>
      </c>
      <c r="J8" s="1181">
        <v>0.35</v>
      </c>
      <c r="K8" s="1182" t="s">
        <v>465</v>
      </c>
      <c r="L8" s="1182" t="s">
        <v>530</v>
      </c>
      <c r="M8" s="1183" t="s">
        <v>463</v>
      </c>
      <c r="N8" s="1181">
        <v>0.35</v>
      </c>
      <c r="O8" s="1182" t="s">
        <v>465</v>
      </c>
      <c r="P8" s="1182" t="s">
        <v>466</v>
      </c>
      <c r="Q8" s="1183" t="s">
        <v>467</v>
      </c>
      <c r="R8" s="879"/>
      <c r="S8" s="1292" t="s">
        <v>40</v>
      </c>
      <c r="T8" s="1292"/>
      <c r="U8" s="1292"/>
      <c r="V8" s="62"/>
      <c r="W8" s="879"/>
      <c r="X8" s="879"/>
      <c r="Y8" s="879"/>
      <c r="Z8" s="879"/>
    </row>
    <row r="9" spans="1:26" ht="15" thickBot="1" x14ac:dyDescent="0.4">
      <c r="G9" s="884"/>
      <c r="P9" s="959"/>
      <c r="Q9" s="959"/>
    </row>
    <row r="10" spans="1:26" ht="15.75" customHeight="1" x14ac:dyDescent="0.35">
      <c r="A10" s="1308" t="s">
        <v>4</v>
      </c>
      <c r="B10" s="1310" t="s">
        <v>23</v>
      </c>
      <c r="C10" s="1312" t="s">
        <v>299</v>
      </c>
      <c r="D10" s="1313"/>
      <c r="E10" s="1313"/>
      <c r="F10" s="1314"/>
      <c r="G10" s="1315" t="s">
        <v>41</v>
      </c>
      <c r="H10" s="1316"/>
      <c r="I10" s="1317"/>
      <c r="J10" s="1318" t="s">
        <v>375</v>
      </c>
      <c r="K10" s="1319"/>
      <c r="L10" s="1319"/>
      <c r="M10" s="1320"/>
      <c r="N10" s="1295" t="s">
        <v>368</v>
      </c>
      <c r="O10" s="1296"/>
      <c r="P10" s="1296"/>
      <c r="Q10" s="1297"/>
      <c r="R10" s="886"/>
      <c r="S10" s="1298" t="s">
        <v>22</v>
      </c>
      <c r="T10" s="1300" t="s">
        <v>23</v>
      </c>
      <c r="U10" s="1302" t="s">
        <v>385</v>
      </c>
      <c r="V10" s="1303"/>
      <c r="W10" s="1303"/>
      <c r="X10" s="1304"/>
      <c r="Y10" s="1293" t="s">
        <v>43</v>
      </c>
    </row>
    <row r="11" spans="1:26" ht="29.5" thickBot="1" x14ac:dyDescent="0.4">
      <c r="A11" s="1309"/>
      <c r="B11" s="1311"/>
      <c r="C11" s="887" t="s">
        <v>44</v>
      </c>
      <c r="D11" s="888" t="s">
        <v>28</v>
      </c>
      <c r="E11" s="888" t="s">
        <v>29</v>
      </c>
      <c r="F11" s="889" t="s">
        <v>30</v>
      </c>
      <c r="G11" s="890" t="s">
        <v>28</v>
      </c>
      <c r="H11" s="891" t="s">
        <v>29</v>
      </c>
      <c r="I11" s="892" t="s">
        <v>30</v>
      </c>
      <c r="J11" s="887" t="s">
        <v>44</v>
      </c>
      <c r="K11" s="888" t="s">
        <v>28</v>
      </c>
      <c r="L11" s="888" t="s">
        <v>29</v>
      </c>
      <c r="M11" s="889" t="s">
        <v>30</v>
      </c>
      <c r="N11" s="893" t="s">
        <v>44</v>
      </c>
      <c r="O11" s="894" t="s">
        <v>369</v>
      </c>
      <c r="P11" s="894" t="s">
        <v>370</v>
      </c>
      <c r="Q11" s="895" t="s">
        <v>371</v>
      </c>
      <c r="R11" s="886"/>
      <c r="S11" s="1299"/>
      <c r="T11" s="1301"/>
      <c r="U11" s="896" t="s">
        <v>27</v>
      </c>
      <c r="V11" s="897" t="s">
        <v>28</v>
      </c>
      <c r="W11" s="897" t="s">
        <v>29</v>
      </c>
      <c r="X11" s="898" t="s">
        <v>30</v>
      </c>
      <c r="Y11" s="1294"/>
    </row>
    <row r="12" spans="1:26" x14ac:dyDescent="0.35">
      <c r="A12" s="1274" t="s">
        <v>45</v>
      </c>
      <c r="B12" s="764" t="s">
        <v>46</v>
      </c>
      <c r="C12" s="899">
        <v>31600</v>
      </c>
      <c r="D12" s="795">
        <v>48600</v>
      </c>
      <c r="E12" s="795">
        <v>57800</v>
      </c>
      <c r="F12" s="900">
        <v>60500</v>
      </c>
      <c r="G12" s="940">
        <v>4.4999999999999998E-2</v>
      </c>
      <c r="H12" s="941">
        <v>4.4999999999999998E-2</v>
      </c>
      <c r="I12" s="942">
        <v>4.4999999999999998E-2</v>
      </c>
      <c r="J12" s="822">
        <f>IF(OR(C12=0,C12=""),0,CEILING(K12*0.65,100))</f>
        <v>33100</v>
      </c>
      <c r="K12" s="814">
        <f>CEILING($D12*(1+$G12),100)</f>
        <v>50800</v>
      </c>
      <c r="L12" s="814">
        <f>CEILING($E12*(1+$H12),100)</f>
        <v>60500</v>
      </c>
      <c r="M12" s="834">
        <f>CEILING($F12*(1+$I12),100)</f>
        <v>63300</v>
      </c>
      <c r="N12" s="835">
        <f>J12-C12</f>
        <v>1500</v>
      </c>
      <c r="O12" s="814">
        <f t="shared" ref="O12:Q12" si="0">K12-D12</f>
        <v>2200</v>
      </c>
      <c r="P12" s="814">
        <f t="shared" si="0"/>
        <v>2700</v>
      </c>
      <c r="Q12" s="834">
        <f t="shared" si="0"/>
        <v>2800</v>
      </c>
      <c r="R12" s="63"/>
      <c r="S12" s="1248" t="str">
        <f>+A12</f>
        <v>C.H. OFICIALES "FARO EVANGELISTAS"</v>
      </c>
      <c r="T12" s="862" t="str">
        <f>+B12</f>
        <v>SINGLE</v>
      </c>
      <c r="U12" s="1104">
        <v>1395</v>
      </c>
      <c r="V12" s="1105">
        <v>664</v>
      </c>
      <c r="W12" s="1105">
        <v>138</v>
      </c>
      <c r="X12" s="1106">
        <v>32</v>
      </c>
      <c r="Y12" s="901">
        <f>SUM(U12:X12)</f>
        <v>2229</v>
      </c>
    </row>
    <row r="13" spans="1:26" x14ac:dyDescent="0.35">
      <c r="A13" s="1275"/>
      <c r="B13" s="863" t="s">
        <v>47</v>
      </c>
      <c r="C13" s="902">
        <v>41600</v>
      </c>
      <c r="D13" s="903">
        <v>64000</v>
      </c>
      <c r="E13" s="903">
        <v>76100</v>
      </c>
      <c r="F13" s="904">
        <v>79800</v>
      </c>
      <c r="G13" s="943">
        <v>4.4999999999999998E-2</v>
      </c>
      <c r="H13" s="944">
        <v>4.4999999999999998E-2</v>
      </c>
      <c r="I13" s="945">
        <v>4.4999999999999998E-2</v>
      </c>
      <c r="J13" s="823">
        <f t="shared" ref="J13:J37" si="1">IF(OR(C13=0,C13=""),0,CEILING(K13*0.65,100))</f>
        <v>43500</v>
      </c>
      <c r="K13" s="836">
        <f t="shared" ref="K13:K37" si="2">CEILING($D13*(1+$G13),100)</f>
        <v>66900</v>
      </c>
      <c r="L13" s="836">
        <f t="shared" ref="L13:L33" si="3">CEILING($E13*(1+$H13),100)</f>
        <v>79600</v>
      </c>
      <c r="M13" s="837">
        <f t="shared" ref="M13:M33" si="4">CEILING($F13*(1+$I13),100)</f>
        <v>83400</v>
      </c>
      <c r="N13" s="838">
        <f t="shared" ref="N13:N37" si="5">J13-C13</f>
        <v>1900</v>
      </c>
      <c r="O13" s="836">
        <f t="shared" ref="O13:O37" si="6">K13-D13</f>
        <v>2900</v>
      </c>
      <c r="P13" s="836">
        <f t="shared" ref="P13:P36" si="7">L13-E13</f>
        <v>3500</v>
      </c>
      <c r="Q13" s="837">
        <f t="shared" ref="Q13:Q36" si="8">M13-F13</f>
        <v>3600</v>
      </c>
      <c r="S13" s="1279"/>
      <c r="T13" s="864" t="str">
        <f>+B13</f>
        <v>DOBLE - MATRIMONIAL</v>
      </c>
      <c r="U13" s="1107">
        <v>542</v>
      </c>
      <c r="V13" s="1085">
        <v>297</v>
      </c>
      <c r="W13" s="1085">
        <v>71</v>
      </c>
      <c r="X13" s="1086">
        <v>18</v>
      </c>
      <c r="Y13" s="905">
        <f t="shared" ref="Y13:Y21" si="9">SUM(U13:X13)</f>
        <v>928</v>
      </c>
    </row>
    <row r="14" spans="1:26" x14ac:dyDescent="0.35">
      <c r="A14" s="1275"/>
      <c r="B14" s="863" t="s">
        <v>48</v>
      </c>
      <c r="C14" s="902">
        <v>51700</v>
      </c>
      <c r="D14" s="903">
        <v>79400</v>
      </c>
      <c r="E14" s="903">
        <v>94500</v>
      </c>
      <c r="F14" s="904">
        <v>99000</v>
      </c>
      <c r="G14" s="943">
        <v>4.4999999999999998E-2</v>
      </c>
      <c r="H14" s="944">
        <v>4.4999999999999998E-2</v>
      </c>
      <c r="I14" s="945">
        <v>4.4999999999999998E-2</v>
      </c>
      <c r="J14" s="823">
        <f t="shared" si="1"/>
        <v>54000</v>
      </c>
      <c r="K14" s="836">
        <f t="shared" si="2"/>
        <v>83000</v>
      </c>
      <c r="L14" s="836">
        <f t="shared" si="3"/>
        <v>98800</v>
      </c>
      <c r="M14" s="837">
        <f t="shared" si="4"/>
        <v>103500</v>
      </c>
      <c r="N14" s="838">
        <f t="shared" si="5"/>
        <v>2300</v>
      </c>
      <c r="O14" s="836">
        <f t="shared" si="6"/>
        <v>3600</v>
      </c>
      <c r="P14" s="836">
        <f t="shared" si="7"/>
        <v>4300</v>
      </c>
      <c r="Q14" s="837">
        <f t="shared" si="8"/>
        <v>4500</v>
      </c>
      <c r="S14" s="1279"/>
      <c r="T14" s="864" t="str">
        <f>+B14</f>
        <v>TRIPLE</v>
      </c>
      <c r="U14" s="1107">
        <v>238</v>
      </c>
      <c r="V14" s="1085">
        <v>104</v>
      </c>
      <c r="W14" s="1085">
        <v>24</v>
      </c>
      <c r="X14" s="1086">
        <v>4</v>
      </c>
      <c r="Y14" s="905">
        <f t="shared" si="9"/>
        <v>370</v>
      </c>
    </row>
    <row r="15" spans="1:26" x14ac:dyDescent="0.35">
      <c r="A15" s="1275"/>
      <c r="B15" s="863" t="s">
        <v>49</v>
      </c>
      <c r="C15" s="902">
        <v>49600</v>
      </c>
      <c r="D15" s="903">
        <v>76200</v>
      </c>
      <c r="E15" s="903">
        <v>90600</v>
      </c>
      <c r="F15" s="904">
        <v>95000</v>
      </c>
      <c r="G15" s="943">
        <v>4.4999999999999998E-2</v>
      </c>
      <c r="H15" s="944">
        <v>4.4999999999999998E-2</v>
      </c>
      <c r="I15" s="945">
        <v>4.4999999999999998E-2</v>
      </c>
      <c r="J15" s="823">
        <f t="shared" si="1"/>
        <v>51900</v>
      </c>
      <c r="K15" s="836">
        <f t="shared" si="2"/>
        <v>79700</v>
      </c>
      <c r="L15" s="836">
        <f t="shared" si="3"/>
        <v>94700</v>
      </c>
      <c r="M15" s="837">
        <f t="shared" si="4"/>
        <v>99300</v>
      </c>
      <c r="N15" s="838">
        <f t="shared" si="5"/>
        <v>2300</v>
      </c>
      <c r="O15" s="836">
        <f t="shared" si="6"/>
        <v>3500</v>
      </c>
      <c r="P15" s="836">
        <f t="shared" si="7"/>
        <v>4100</v>
      </c>
      <c r="Q15" s="837">
        <f t="shared" si="8"/>
        <v>4300</v>
      </c>
      <c r="S15" s="1279"/>
      <c r="T15" s="864" t="str">
        <f>+B15</f>
        <v>SUPERIOR MATRIMONIAL</v>
      </c>
      <c r="U15" s="1107">
        <v>293</v>
      </c>
      <c r="V15" s="1085">
        <v>58</v>
      </c>
      <c r="W15" s="1085">
        <v>49</v>
      </c>
      <c r="X15" s="1086"/>
      <c r="Y15" s="905">
        <f t="shared" si="9"/>
        <v>400</v>
      </c>
    </row>
    <row r="16" spans="1:26" x14ac:dyDescent="0.35">
      <c r="A16" s="1276"/>
      <c r="B16" s="863" t="s">
        <v>50</v>
      </c>
      <c r="C16" s="902">
        <v>12200</v>
      </c>
      <c r="D16" s="903">
        <v>18700</v>
      </c>
      <c r="E16" s="903">
        <v>22300</v>
      </c>
      <c r="F16" s="904">
        <v>23400</v>
      </c>
      <c r="G16" s="943">
        <v>4.4999999999999998E-2</v>
      </c>
      <c r="H16" s="944">
        <v>4.4999999999999998E-2</v>
      </c>
      <c r="I16" s="945">
        <v>4.4999999999999998E-2</v>
      </c>
      <c r="J16" s="823">
        <f t="shared" si="1"/>
        <v>12800</v>
      </c>
      <c r="K16" s="836">
        <f t="shared" si="2"/>
        <v>19600</v>
      </c>
      <c r="L16" s="836">
        <f t="shared" si="3"/>
        <v>23400</v>
      </c>
      <c r="M16" s="837">
        <f t="shared" si="4"/>
        <v>24500</v>
      </c>
      <c r="N16" s="838">
        <f t="shared" si="5"/>
        <v>600</v>
      </c>
      <c r="O16" s="836">
        <f t="shared" si="6"/>
        <v>900</v>
      </c>
      <c r="P16" s="836">
        <f t="shared" si="7"/>
        <v>1100</v>
      </c>
      <c r="Q16" s="837">
        <f t="shared" si="8"/>
        <v>1100</v>
      </c>
      <c r="S16" s="1279"/>
      <c r="T16" s="864" t="str">
        <f t="shared" ref="T16" si="10">+B16</f>
        <v>CAMA ADICIONAL</v>
      </c>
      <c r="U16" s="1107">
        <v>38</v>
      </c>
      <c r="V16" s="1085">
        <v>8</v>
      </c>
      <c r="W16" s="1085"/>
      <c r="X16" s="1086"/>
      <c r="Y16" s="905">
        <f t="shared" si="9"/>
        <v>46</v>
      </c>
    </row>
    <row r="17" spans="1:26" x14ac:dyDescent="0.35">
      <c r="A17" s="1276"/>
      <c r="B17" s="839" t="s">
        <v>51</v>
      </c>
      <c r="C17" s="1266"/>
      <c r="D17" s="1284"/>
      <c r="E17" s="1284"/>
      <c r="F17" s="1284"/>
      <c r="G17" s="832"/>
      <c r="H17" s="831"/>
      <c r="I17" s="833"/>
      <c r="J17" s="816"/>
      <c r="K17" s="816"/>
      <c r="L17" s="816"/>
      <c r="M17" s="840"/>
      <c r="N17" s="1271"/>
      <c r="O17" s="1272"/>
      <c r="P17" s="1272"/>
      <c r="Q17" s="1273"/>
      <c r="S17" s="1279"/>
      <c r="T17" s="864" t="s">
        <v>51</v>
      </c>
      <c r="U17" s="1257"/>
      <c r="V17" s="1258"/>
      <c r="W17" s="1258"/>
      <c r="X17" s="1259"/>
      <c r="Y17" s="906"/>
    </row>
    <row r="18" spans="1:26" x14ac:dyDescent="0.35">
      <c r="A18" s="1276"/>
      <c r="B18" s="865" t="s">
        <v>46</v>
      </c>
      <c r="C18" s="824"/>
      <c r="D18" s="836">
        <v>14600</v>
      </c>
      <c r="E18" s="836">
        <v>17400</v>
      </c>
      <c r="F18" s="817">
        <v>18200</v>
      </c>
      <c r="G18" s="828"/>
      <c r="H18" s="829"/>
      <c r="I18" s="830"/>
      <c r="J18" s="819"/>
      <c r="K18" s="841">
        <f>CEILING(K12*0.3,100)</f>
        <v>15300</v>
      </c>
      <c r="L18" s="841">
        <f t="shared" ref="L18:M18" si="11">CEILING(L12*0.3,100)</f>
        <v>18200</v>
      </c>
      <c r="M18" s="842">
        <f t="shared" si="11"/>
        <v>19000</v>
      </c>
      <c r="N18" s="824"/>
      <c r="O18" s="841">
        <f t="shared" si="6"/>
        <v>700</v>
      </c>
      <c r="P18" s="841">
        <f t="shared" si="7"/>
        <v>800</v>
      </c>
      <c r="Q18" s="842">
        <f t="shared" si="8"/>
        <v>800</v>
      </c>
      <c r="S18" s="1280"/>
      <c r="T18" s="866" t="s">
        <v>46</v>
      </c>
      <c r="U18" s="1108"/>
      <c r="V18" s="1085">
        <v>115</v>
      </c>
      <c r="W18" s="1085"/>
      <c r="X18" s="1109"/>
      <c r="Y18" s="905">
        <f t="shared" si="9"/>
        <v>115</v>
      </c>
    </row>
    <row r="19" spans="1:26" x14ac:dyDescent="0.35">
      <c r="A19" s="1277"/>
      <c r="B19" s="865" t="s">
        <v>47</v>
      </c>
      <c r="C19" s="824"/>
      <c r="D19" s="836">
        <v>19200</v>
      </c>
      <c r="E19" s="836">
        <v>22900</v>
      </c>
      <c r="F19" s="817">
        <v>24000</v>
      </c>
      <c r="G19" s="824"/>
      <c r="H19" s="821"/>
      <c r="I19" s="825"/>
      <c r="J19" s="819"/>
      <c r="K19" s="841">
        <f t="shared" ref="K19:M21" si="12">CEILING(K13*0.3,100)</f>
        <v>20100</v>
      </c>
      <c r="L19" s="841">
        <f t="shared" si="12"/>
        <v>23900</v>
      </c>
      <c r="M19" s="842">
        <f t="shared" si="12"/>
        <v>25100</v>
      </c>
      <c r="N19" s="824"/>
      <c r="O19" s="841">
        <f t="shared" si="6"/>
        <v>900</v>
      </c>
      <c r="P19" s="841">
        <f t="shared" si="7"/>
        <v>1000</v>
      </c>
      <c r="Q19" s="842">
        <f t="shared" si="8"/>
        <v>1100</v>
      </c>
      <c r="S19" s="1281"/>
      <c r="T19" s="866" t="s">
        <v>47</v>
      </c>
      <c r="U19" s="1108"/>
      <c r="V19" s="1085">
        <v>30</v>
      </c>
      <c r="W19" s="1085"/>
      <c r="X19" s="1109"/>
      <c r="Y19" s="905">
        <f t="shared" si="9"/>
        <v>30</v>
      </c>
    </row>
    <row r="20" spans="1:26" x14ac:dyDescent="0.35">
      <c r="A20" s="1277"/>
      <c r="B20" s="865" t="s">
        <v>48</v>
      </c>
      <c r="C20" s="824"/>
      <c r="D20" s="836">
        <v>23900</v>
      </c>
      <c r="E20" s="836">
        <v>28400</v>
      </c>
      <c r="F20" s="817">
        <v>29700</v>
      </c>
      <c r="G20" s="824"/>
      <c r="H20" s="821"/>
      <c r="I20" s="825"/>
      <c r="J20" s="819"/>
      <c r="K20" s="841">
        <f t="shared" si="12"/>
        <v>24900</v>
      </c>
      <c r="L20" s="841">
        <f t="shared" si="12"/>
        <v>29700</v>
      </c>
      <c r="M20" s="842">
        <f>CEILING(M14*0.3,100)</f>
        <v>31100</v>
      </c>
      <c r="N20" s="824"/>
      <c r="O20" s="841">
        <f t="shared" si="6"/>
        <v>1000</v>
      </c>
      <c r="P20" s="841">
        <f t="shared" si="7"/>
        <v>1300</v>
      </c>
      <c r="Q20" s="842">
        <f t="shared" si="8"/>
        <v>1400</v>
      </c>
      <c r="S20" s="1282"/>
      <c r="T20" s="866" t="s">
        <v>48</v>
      </c>
      <c r="U20" s="1108"/>
      <c r="V20" s="1085">
        <v>8</v>
      </c>
      <c r="W20" s="1085"/>
      <c r="X20" s="1109"/>
      <c r="Y20" s="905">
        <f t="shared" si="9"/>
        <v>8</v>
      </c>
    </row>
    <row r="21" spans="1:26" ht="15" thickBot="1" x14ac:dyDescent="0.4">
      <c r="A21" s="1278"/>
      <c r="B21" s="770" t="s">
        <v>49</v>
      </c>
      <c r="C21" s="815"/>
      <c r="D21" s="843">
        <v>22900</v>
      </c>
      <c r="E21" s="843">
        <v>27200</v>
      </c>
      <c r="F21" s="818">
        <v>28500</v>
      </c>
      <c r="G21" s="815"/>
      <c r="H21" s="826"/>
      <c r="I21" s="827"/>
      <c r="J21" s="820"/>
      <c r="K21" s="844">
        <f t="shared" si="12"/>
        <v>24000</v>
      </c>
      <c r="L21" s="844">
        <f t="shared" si="12"/>
        <v>28500</v>
      </c>
      <c r="M21" s="845">
        <f t="shared" si="12"/>
        <v>29800</v>
      </c>
      <c r="N21" s="846"/>
      <c r="O21" s="844">
        <f t="shared" si="6"/>
        <v>1100</v>
      </c>
      <c r="P21" s="844">
        <f t="shared" si="7"/>
        <v>1300</v>
      </c>
      <c r="Q21" s="845">
        <f t="shared" si="8"/>
        <v>1300</v>
      </c>
      <c r="S21" s="1283"/>
      <c r="T21" s="867" t="s">
        <v>49</v>
      </c>
      <c r="U21" s="1110"/>
      <c r="V21" s="1088">
        <v>15</v>
      </c>
      <c r="W21" s="1088"/>
      <c r="X21" s="1089"/>
      <c r="Y21" s="907">
        <f t="shared" si="9"/>
        <v>15</v>
      </c>
    </row>
    <row r="22" spans="1:26" ht="15" thickBot="1" x14ac:dyDescent="0.4">
      <c r="A22" s="920" t="s">
        <v>52</v>
      </c>
      <c r="B22" s="921" t="s">
        <v>53</v>
      </c>
      <c r="C22" s="922">
        <v>60000</v>
      </c>
      <c r="D22" s="923">
        <v>92200</v>
      </c>
      <c r="E22" s="923">
        <v>109800</v>
      </c>
      <c r="F22" s="924">
        <v>188100</v>
      </c>
      <c r="G22" s="946">
        <v>0.05</v>
      </c>
      <c r="H22" s="947">
        <v>0.313</v>
      </c>
      <c r="I22" s="948">
        <v>0.22600000000000001</v>
      </c>
      <c r="J22" s="925">
        <f t="shared" si="1"/>
        <v>63000</v>
      </c>
      <c r="K22" s="926">
        <f>CEILING($D22*(1+$G22),100)</f>
        <v>96900</v>
      </c>
      <c r="L22" s="926">
        <f>CEILING($E22*(1+$H22),100)</f>
        <v>144200</v>
      </c>
      <c r="M22" s="927">
        <f>CEILING($F22*(1+$I22),100)</f>
        <v>230700</v>
      </c>
      <c r="N22" s="925">
        <f t="shared" si="5"/>
        <v>3000</v>
      </c>
      <c r="O22" s="926">
        <f t="shared" si="6"/>
        <v>4700</v>
      </c>
      <c r="P22" s="926">
        <f t="shared" si="7"/>
        <v>34400</v>
      </c>
      <c r="Q22" s="927">
        <f t="shared" si="8"/>
        <v>42600</v>
      </c>
      <c r="R22" s="64"/>
      <c r="S22" s="861" t="str">
        <f>+A22</f>
        <v>CABAÑAS TORRES DEL PAINE</v>
      </c>
      <c r="T22" s="862" t="str">
        <f>B22</f>
        <v>CABAÑA (6 PERS.)</v>
      </c>
      <c r="U22" s="587">
        <v>522</v>
      </c>
      <c r="V22" s="69">
        <v>22</v>
      </c>
      <c r="W22" s="69">
        <v>6</v>
      </c>
      <c r="X22" s="1091"/>
      <c r="Y22" s="1092">
        <f>SUM(U22:X22)</f>
        <v>550</v>
      </c>
    </row>
    <row r="23" spans="1:26" x14ac:dyDescent="0.35">
      <c r="A23" s="1245" t="s">
        <v>54</v>
      </c>
      <c r="B23" s="774" t="s">
        <v>46</v>
      </c>
      <c r="C23" s="899">
        <v>25700</v>
      </c>
      <c r="D23" s="800">
        <v>39500</v>
      </c>
      <c r="E23" s="800">
        <v>47000</v>
      </c>
      <c r="F23" s="908">
        <v>49300</v>
      </c>
      <c r="G23" s="940">
        <v>4.4999999999999998E-2</v>
      </c>
      <c r="H23" s="941">
        <v>4.4999999999999998E-2</v>
      </c>
      <c r="I23" s="942">
        <v>4.4999999999999998E-2</v>
      </c>
      <c r="J23" s="835">
        <f t="shared" si="1"/>
        <v>26900</v>
      </c>
      <c r="K23" s="814">
        <f t="shared" si="2"/>
        <v>41300</v>
      </c>
      <c r="L23" s="814">
        <f t="shared" si="3"/>
        <v>49200</v>
      </c>
      <c r="M23" s="834">
        <f t="shared" si="4"/>
        <v>51600</v>
      </c>
      <c r="N23" s="835">
        <f t="shared" si="5"/>
        <v>1200</v>
      </c>
      <c r="O23" s="814">
        <f t="shared" si="6"/>
        <v>1800</v>
      </c>
      <c r="P23" s="814">
        <f t="shared" si="7"/>
        <v>2200</v>
      </c>
      <c r="Q23" s="834">
        <f t="shared" si="8"/>
        <v>2300</v>
      </c>
      <c r="S23" s="1248" t="str">
        <f>+A23</f>
        <v>C.H. GENTE DE MAR "FARO DUNGENESS"</v>
      </c>
      <c r="T23" s="862" t="str">
        <f t="shared" ref="T23:T27" si="13">+B23</f>
        <v>SINGLE</v>
      </c>
      <c r="U23" s="1083">
        <v>710</v>
      </c>
      <c r="V23" s="314">
        <v>52</v>
      </c>
      <c r="W23" s="314">
        <v>20</v>
      </c>
      <c r="X23" s="316"/>
      <c r="Y23" s="909">
        <f>SUM(U23:X23)</f>
        <v>782</v>
      </c>
      <c r="Z23" s="868"/>
    </row>
    <row r="24" spans="1:26" x14ac:dyDescent="0.35">
      <c r="A24" s="1260"/>
      <c r="B24" s="859" t="s">
        <v>47</v>
      </c>
      <c r="C24" s="910">
        <v>35200</v>
      </c>
      <c r="D24" s="911">
        <v>54100</v>
      </c>
      <c r="E24" s="911">
        <v>64400</v>
      </c>
      <c r="F24" s="912">
        <v>67500</v>
      </c>
      <c r="G24" s="943">
        <v>4.4999999999999998E-2</v>
      </c>
      <c r="H24" s="944">
        <v>4.4999999999999998E-2</v>
      </c>
      <c r="I24" s="945">
        <v>4.4999999999999998E-2</v>
      </c>
      <c r="J24" s="847">
        <f t="shared" si="1"/>
        <v>36800</v>
      </c>
      <c r="K24" s="841">
        <f t="shared" si="2"/>
        <v>56600</v>
      </c>
      <c r="L24" s="841">
        <f t="shared" si="3"/>
        <v>67300</v>
      </c>
      <c r="M24" s="842">
        <f t="shared" si="4"/>
        <v>70600</v>
      </c>
      <c r="N24" s="847">
        <f t="shared" si="5"/>
        <v>1600</v>
      </c>
      <c r="O24" s="841">
        <f t="shared" si="6"/>
        <v>2500</v>
      </c>
      <c r="P24" s="841">
        <f t="shared" si="7"/>
        <v>2900</v>
      </c>
      <c r="Q24" s="842">
        <f t="shared" si="8"/>
        <v>3100</v>
      </c>
      <c r="S24" s="1262"/>
      <c r="T24" s="864" t="str">
        <f t="shared" si="13"/>
        <v>DOBLE - MATRIMONIAL</v>
      </c>
      <c r="U24" s="1084">
        <v>669</v>
      </c>
      <c r="V24" s="1085">
        <v>58</v>
      </c>
      <c r="W24" s="1085">
        <v>13</v>
      </c>
      <c r="X24" s="1086">
        <v>3</v>
      </c>
      <c r="Y24" s="905">
        <f t="shared" ref="Y24:Y32" si="14">SUM(U24:X24)</f>
        <v>743</v>
      </c>
    </row>
    <row r="25" spans="1:26" x14ac:dyDescent="0.35">
      <c r="A25" s="1260"/>
      <c r="B25" s="859" t="s">
        <v>48</v>
      </c>
      <c r="C25" s="910">
        <v>44600</v>
      </c>
      <c r="D25" s="911">
        <v>68600</v>
      </c>
      <c r="E25" s="911">
        <v>81600</v>
      </c>
      <c r="F25" s="912">
        <v>85500</v>
      </c>
      <c r="G25" s="943">
        <v>4.4999999999999998E-2</v>
      </c>
      <c r="H25" s="944">
        <v>4.4999999999999998E-2</v>
      </c>
      <c r="I25" s="945">
        <v>4.4999999999999998E-2</v>
      </c>
      <c r="J25" s="847">
        <f t="shared" si="1"/>
        <v>46700</v>
      </c>
      <c r="K25" s="841">
        <f t="shared" si="2"/>
        <v>71700</v>
      </c>
      <c r="L25" s="841">
        <f t="shared" si="3"/>
        <v>85300</v>
      </c>
      <c r="M25" s="842">
        <f t="shared" si="4"/>
        <v>89400</v>
      </c>
      <c r="N25" s="847">
        <f t="shared" si="5"/>
        <v>2100</v>
      </c>
      <c r="O25" s="841">
        <f t="shared" si="6"/>
        <v>3100</v>
      </c>
      <c r="P25" s="841">
        <f t="shared" si="7"/>
        <v>3700</v>
      </c>
      <c r="Q25" s="842">
        <f t="shared" si="8"/>
        <v>3900</v>
      </c>
      <c r="S25" s="1263"/>
      <c r="T25" s="864" t="str">
        <f t="shared" si="13"/>
        <v>TRIPLE</v>
      </c>
      <c r="U25" s="1084">
        <v>332</v>
      </c>
      <c r="V25" s="1085">
        <v>46</v>
      </c>
      <c r="W25" s="1085">
        <v>8</v>
      </c>
      <c r="X25" s="1086"/>
      <c r="Y25" s="905">
        <f t="shared" si="14"/>
        <v>386</v>
      </c>
    </row>
    <row r="26" spans="1:26" x14ac:dyDescent="0.35">
      <c r="A26" s="1260"/>
      <c r="B26" s="859" t="s">
        <v>55</v>
      </c>
      <c r="C26" s="910">
        <v>54100</v>
      </c>
      <c r="D26" s="911">
        <v>83200</v>
      </c>
      <c r="E26" s="911">
        <v>99000</v>
      </c>
      <c r="F26" s="912">
        <v>103700</v>
      </c>
      <c r="G26" s="943">
        <v>4.4999999999999998E-2</v>
      </c>
      <c r="H26" s="944">
        <v>4.4999999999999998E-2</v>
      </c>
      <c r="I26" s="945">
        <v>4.4999999999999998E-2</v>
      </c>
      <c r="J26" s="847">
        <f t="shared" si="1"/>
        <v>56600</v>
      </c>
      <c r="K26" s="841">
        <f t="shared" si="2"/>
        <v>87000</v>
      </c>
      <c r="L26" s="841">
        <f t="shared" si="3"/>
        <v>103500</v>
      </c>
      <c r="M26" s="842">
        <f t="shared" si="4"/>
        <v>108400</v>
      </c>
      <c r="N26" s="847">
        <f t="shared" si="5"/>
        <v>2500</v>
      </c>
      <c r="O26" s="841">
        <f t="shared" si="6"/>
        <v>3800</v>
      </c>
      <c r="P26" s="841">
        <f t="shared" si="7"/>
        <v>4500</v>
      </c>
      <c r="Q26" s="842">
        <f t="shared" si="8"/>
        <v>4700</v>
      </c>
      <c r="S26" s="1264"/>
      <c r="T26" s="864" t="str">
        <f t="shared" si="13"/>
        <v>CUADRUPLE</v>
      </c>
      <c r="U26" s="1084">
        <v>154</v>
      </c>
      <c r="V26" s="1085">
        <v>23</v>
      </c>
      <c r="W26" s="1085"/>
      <c r="X26" s="1086"/>
      <c r="Y26" s="905">
        <f t="shared" si="14"/>
        <v>177</v>
      </c>
    </row>
    <row r="27" spans="1:26" ht="15" thickBot="1" x14ac:dyDescent="0.4">
      <c r="A27" s="1260"/>
      <c r="B27" s="859" t="s">
        <v>56</v>
      </c>
      <c r="C27" s="910">
        <v>9800</v>
      </c>
      <c r="D27" s="911">
        <v>15000</v>
      </c>
      <c r="E27" s="911">
        <v>17800</v>
      </c>
      <c r="F27" s="912">
        <v>18600</v>
      </c>
      <c r="G27" s="943">
        <v>4.4999999999999998E-2</v>
      </c>
      <c r="H27" s="944">
        <v>4.4999999999999998E-2</v>
      </c>
      <c r="I27" s="945">
        <v>4.4999999999999998E-2</v>
      </c>
      <c r="J27" s="847">
        <f t="shared" si="1"/>
        <v>10300</v>
      </c>
      <c r="K27" s="841">
        <f t="shared" si="2"/>
        <v>15700</v>
      </c>
      <c r="L27" s="841">
        <f t="shared" si="3"/>
        <v>18700</v>
      </c>
      <c r="M27" s="842">
        <f t="shared" si="4"/>
        <v>19500</v>
      </c>
      <c r="N27" s="847">
        <f t="shared" si="5"/>
        <v>500</v>
      </c>
      <c r="O27" s="841">
        <f t="shared" si="6"/>
        <v>700</v>
      </c>
      <c r="P27" s="841">
        <f t="shared" si="7"/>
        <v>900</v>
      </c>
      <c r="Q27" s="842">
        <f t="shared" si="8"/>
        <v>900</v>
      </c>
      <c r="S27" s="1249"/>
      <c r="T27" s="864" t="str">
        <f t="shared" si="13"/>
        <v>CAMA / PERSONA ADICIONAL</v>
      </c>
      <c r="U27" s="1087"/>
      <c r="V27" s="1088"/>
      <c r="W27" s="1088"/>
      <c r="X27" s="1089"/>
      <c r="Y27" s="905">
        <f t="shared" si="14"/>
        <v>0</v>
      </c>
      <c r="Z27" s="868"/>
    </row>
    <row r="28" spans="1:26" x14ac:dyDescent="0.35">
      <c r="A28" s="1260"/>
      <c r="B28" s="848" t="s">
        <v>51</v>
      </c>
      <c r="C28" s="1266"/>
      <c r="D28" s="1267"/>
      <c r="E28" s="1267"/>
      <c r="F28" s="1268"/>
      <c r="G28" s="1269"/>
      <c r="H28" s="1269"/>
      <c r="I28" s="1269"/>
      <c r="J28" s="1271"/>
      <c r="K28" s="1272"/>
      <c r="L28" s="1272"/>
      <c r="M28" s="1273"/>
      <c r="N28" s="1271"/>
      <c r="O28" s="1272"/>
      <c r="P28" s="1272"/>
      <c r="Q28" s="1273"/>
      <c r="S28" s="1249"/>
      <c r="T28" s="864" t="s">
        <v>51</v>
      </c>
      <c r="U28" s="1285"/>
      <c r="V28" s="1286"/>
      <c r="W28" s="1286"/>
      <c r="X28" s="1287"/>
      <c r="Y28" s="906"/>
    </row>
    <row r="29" spans="1:26" x14ac:dyDescent="0.35">
      <c r="A29" s="1260"/>
      <c r="B29" s="869" t="s">
        <v>46</v>
      </c>
      <c r="C29" s="824"/>
      <c r="D29" s="836">
        <v>11900</v>
      </c>
      <c r="E29" s="836">
        <v>14100</v>
      </c>
      <c r="F29" s="837">
        <v>14800</v>
      </c>
      <c r="G29" s="1269"/>
      <c r="H29" s="1269"/>
      <c r="I29" s="1269"/>
      <c r="J29" s="824"/>
      <c r="K29" s="849">
        <f>CEILING(K23*0.3,100)</f>
        <v>12400</v>
      </c>
      <c r="L29" s="849">
        <f t="shared" ref="L29:M29" si="15">CEILING(L23*0.3,100)</f>
        <v>14800</v>
      </c>
      <c r="M29" s="850">
        <f t="shared" si="15"/>
        <v>15500</v>
      </c>
      <c r="N29" s="824"/>
      <c r="O29" s="849">
        <f t="shared" si="6"/>
        <v>500</v>
      </c>
      <c r="P29" s="849">
        <f t="shared" si="7"/>
        <v>700</v>
      </c>
      <c r="Q29" s="850">
        <f t="shared" si="8"/>
        <v>700</v>
      </c>
      <c r="S29" s="1249"/>
      <c r="T29" s="866" t="s">
        <v>46</v>
      </c>
      <c r="U29" s="65"/>
      <c r="V29" s="563">
        <v>25</v>
      </c>
      <c r="W29" s="66"/>
      <c r="X29" s="67"/>
      <c r="Y29" s="905">
        <f t="shared" si="14"/>
        <v>25</v>
      </c>
    </row>
    <row r="30" spans="1:26" x14ac:dyDescent="0.35">
      <c r="A30" s="1260"/>
      <c r="B30" s="869" t="s">
        <v>47</v>
      </c>
      <c r="C30" s="851"/>
      <c r="D30" s="836">
        <v>16300</v>
      </c>
      <c r="E30" s="836">
        <v>19400</v>
      </c>
      <c r="F30" s="837">
        <v>20300</v>
      </c>
      <c r="G30" s="1269"/>
      <c r="H30" s="1269"/>
      <c r="I30" s="1269"/>
      <c r="J30" s="851"/>
      <c r="K30" s="849">
        <f t="shared" ref="K30:M32" si="16">CEILING(K24*0.3,100)</f>
        <v>17000</v>
      </c>
      <c r="L30" s="849">
        <f t="shared" si="16"/>
        <v>20200</v>
      </c>
      <c r="M30" s="850">
        <f t="shared" si="16"/>
        <v>21200</v>
      </c>
      <c r="N30" s="824"/>
      <c r="O30" s="849">
        <f t="shared" si="6"/>
        <v>700</v>
      </c>
      <c r="P30" s="849">
        <f t="shared" si="7"/>
        <v>800</v>
      </c>
      <c r="Q30" s="850">
        <f t="shared" si="8"/>
        <v>900</v>
      </c>
      <c r="S30" s="1249"/>
      <c r="T30" s="866" t="s">
        <v>47</v>
      </c>
      <c r="U30" s="65"/>
      <c r="V30" s="563">
        <v>28</v>
      </c>
      <c r="W30" s="66"/>
      <c r="X30" s="67"/>
      <c r="Y30" s="905">
        <f t="shared" si="14"/>
        <v>28</v>
      </c>
    </row>
    <row r="31" spans="1:26" x14ac:dyDescent="0.35">
      <c r="A31" s="1260"/>
      <c r="B31" s="869" t="s">
        <v>48</v>
      </c>
      <c r="C31" s="824"/>
      <c r="D31" s="852">
        <v>20600</v>
      </c>
      <c r="E31" s="852">
        <v>24500</v>
      </c>
      <c r="F31" s="853">
        <v>25700</v>
      </c>
      <c r="G31" s="1269"/>
      <c r="H31" s="1269"/>
      <c r="I31" s="1269"/>
      <c r="J31" s="824"/>
      <c r="K31" s="849">
        <f t="shared" si="16"/>
        <v>21600</v>
      </c>
      <c r="L31" s="849">
        <f t="shared" si="16"/>
        <v>25600</v>
      </c>
      <c r="M31" s="850">
        <f>CEILING(M25*0.3,100)</f>
        <v>26900</v>
      </c>
      <c r="N31" s="824"/>
      <c r="O31" s="849">
        <f t="shared" si="6"/>
        <v>1000</v>
      </c>
      <c r="P31" s="849">
        <f t="shared" si="7"/>
        <v>1100</v>
      </c>
      <c r="Q31" s="850">
        <f t="shared" si="8"/>
        <v>1200</v>
      </c>
      <c r="S31" s="1249"/>
      <c r="T31" s="866" t="s">
        <v>48</v>
      </c>
      <c r="U31" s="65"/>
      <c r="V31" s="563">
        <v>9</v>
      </c>
      <c r="W31" s="66"/>
      <c r="X31" s="67"/>
      <c r="Y31" s="905">
        <f t="shared" si="14"/>
        <v>9</v>
      </c>
    </row>
    <row r="32" spans="1:26" ht="15" thickBot="1" x14ac:dyDescent="0.4">
      <c r="A32" s="1261"/>
      <c r="B32" s="870" t="s">
        <v>55</v>
      </c>
      <c r="C32" s="854"/>
      <c r="D32" s="855">
        <v>25000</v>
      </c>
      <c r="E32" s="855">
        <v>29700</v>
      </c>
      <c r="F32" s="856">
        <v>31200</v>
      </c>
      <c r="G32" s="1270"/>
      <c r="H32" s="1270"/>
      <c r="I32" s="1270"/>
      <c r="J32" s="854"/>
      <c r="K32" s="857">
        <f t="shared" si="16"/>
        <v>26100</v>
      </c>
      <c r="L32" s="857">
        <f t="shared" si="16"/>
        <v>31100</v>
      </c>
      <c r="M32" s="858">
        <f t="shared" si="16"/>
        <v>32600</v>
      </c>
      <c r="N32" s="854"/>
      <c r="O32" s="857">
        <f t="shared" si="6"/>
        <v>1100</v>
      </c>
      <c r="P32" s="857">
        <f t="shared" si="7"/>
        <v>1400</v>
      </c>
      <c r="Q32" s="858">
        <f t="shared" si="8"/>
        <v>1400</v>
      </c>
      <c r="S32" s="1265"/>
      <c r="T32" s="871" t="s">
        <v>55</v>
      </c>
      <c r="U32" s="68"/>
      <c r="V32" s="563">
        <v>5</v>
      </c>
      <c r="W32" s="66"/>
      <c r="X32" s="67"/>
      <c r="Y32" s="913">
        <f t="shared" si="14"/>
        <v>5</v>
      </c>
    </row>
    <row r="33" spans="1:25" ht="15" thickBot="1" x14ac:dyDescent="0.4">
      <c r="A33" s="920" t="s">
        <v>57</v>
      </c>
      <c r="B33" s="1022" t="s">
        <v>53</v>
      </c>
      <c r="C33" s="922">
        <v>29500</v>
      </c>
      <c r="D33" s="923">
        <v>45300</v>
      </c>
      <c r="E33" s="923">
        <v>53900</v>
      </c>
      <c r="F33" s="924">
        <v>56500</v>
      </c>
      <c r="G33" s="1023">
        <v>0.11700000000000001</v>
      </c>
      <c r="H33" s="947">
        <v>0.4</v>
      </c>
      <c r="I33" s="1024">
        <v>1.135</v>
      </c>
      <c r="J33" s="925">
        <f t="shared" si="1"/>
        <v>33000</v>
      </c>
      <c r="K33" s="926">
        <f t="shared" si="2"/>
        <v>50700</v>
      </c>
      <c r="L33" s="926">
        <f t="shared" si="3"/>
        <v>75500</v>
      </c>
      <c r="M33" s="927">
        <f t="shared" si="4"/>
        <v>120700</v>
      </c>
      <c r="N33" s="925">
        <f t="shared" si="5"/>
        <v>3500</v>
      </c>
      <c r="O33" s="926">
        <f t="shared" si="6"/>
        <v>5400</v>
      </c>
      <c r="P33" s="926">
        <f t="shared" si="7"/>
        <v>21600</v>
      </c>
      <c r="Q33" s="927">
        <f t="shared" si="8"/>
        <v>64200</v>
      </c>
      <c r="S33" s="861" t="str">
        <f>+A33</f>
        <v>CABAÑAS RIO SAN JUAN</v>
      </c>
      <c r="T33" s="862" t="str">
        <f>B33</f>
        <v>CABAÑA (6 PERS.)</v>
      </c>
      <c r="U33" s="315">
        <v>155</v>
      </c>
      <c r="V33" s="314">
        <v>9</v>
      </c>
      <c r="W33" s="314"/>
      <c r="X33" s="316"/>
      <c r="Y33" s="901">
        <f>SUM(U33:X33)</f>
        <v>164</v>
      </c>
    </row>
    <row r="34" spans="1:25" x14ac:dyDescent="0.35">
      <c r="A34" s="1245" t="s">
        <v>58</v>
      </c>
      <c r="B34" s="774" t="s">
        <v>469</v>
      </c>
      <c r="C34" s="1093">
        <v>27600</v>
      </c>
      <c r="D34" s="1072">
        <v>42400</v>
      </c>
      <c r="E34" s="795">
        <v>50400</v>
      </c>
      <c r="F34" s="914">
        <v>52800</v>
      </c>
      <c r="G34" s="940">
        <v>4.4999999999999998E-2</v>
      </c>
      <c r="H34" s="941">
        <v>4.4999999999999998E-2</v>
      </c>
      <c r="I34" s="942">
        <v>4.4999999999999998E-2</v>
      </c>
      <c r="J34" s="1122">
        <f t="shared" si="1"/>
        <v>28900</v>
      </c>
      <c r="K34" s="822">
        <f t="shared" si="2"/>
        <v>44400</v>
      </c>
      <c r="L34" s="814">
        <v>68600</v>
      </c>
      <c r="M34" s="834">
        <v>109700</v>
      </c>
      <c r="N34" s="835">
        <f t="shared" si="5"/>
        <v>1300</v>
      </c>
      <c r="O34" s="814">
        <f t="shared" si="6"/>
        <v>2000</v>
      </c>
      <c r="P34" s="814">
        <f t="shared" si="7"/>
        <v>18200</v>
      </c>
      <c r="Q34" s="834">
        <f t="shared" si="8"/>
        <v>56900</v>
      </c>
      <c r="S34" s="1248" t="str">
        <f>+A34</f>
        <v>CENTRO RECREATIVO</v>
      </c>
      <c r="T34" s="862" t="str">
        <f>+B34</f>
        <v>QUINCHO 20 PERS.</v>
      </c>
      <c r="U34" s="1100">
        <v>82</v>
      </c>
      <c r="V34" s="314">
        <v>5</v>
      </c>
      <c r="W34" s="314"/>
      <c r="X34" s="316"/>
      <c r="Y34" s="901">
        <f>SUM(U34:X34)</f>
        <v>87</v>
      </c>
    </row>
    <row r="35" spans="1:25" x14ac:dyDescent="0.35">
      <c r="A35" s="1246"/>
      <c r="B35" s="859" t="s">
        <v>470</v>
      </c>
      <c r="C35" s="1094">
        <v>43300</v>
      </c>
      <c r="D35" s="1073">
        <v>66500</v>
      </c>
      <c r="E35" s="903">
        <v>79100</v>
      </c>
      <c r="F35" s="915">
        <v>82900</v>
      </c>
      <c r="G35" s="943">
        <v>4.4999999999999998E-2</v>
      </c>
      <c r="H35" s="944">
        <v>4.4999999999999998E-2</v>
      </c>
      <c r="I35" s="945">
        <v>4.4999999999999998E-2</v>
      </c>
      <c r="J35" s="1123">
        <f t="shared" si="1"/>
        <v>45200</v>
      </c>
      <c r="K35" s="1070">
        <f t="shared" si="2"/>
        <v>69500</v>
      </c>
      <c r="L35" s="849">
        <v>103000</v>
      </c>
      <c r="M35" s="850">
        <v>164700</v>
      </c>
      <c r="N35" s="847">
        <f t="shared" si="5"/>
        <v>1900</v>
      </c>
      <c r="O35" s="849">
        <f t="shared" si="6"/>
        <v>3000</v>
      </c>
      <c r="P35" s="849">
        <f t="shared" si="7"/>
        <v>23900</v>
      </c>
      <c r="Q35" s="850">
        <f t="shared" si="8"/>
        <v>81800</v>
      </c>
      <c r="S35" s="1249"/>
      <c r="T35" s="864" t="str">
        <f>+B35</f>
        <v>QUINCHO 40 PERS.</v>
      </c>
      <c r="U35" s="1101">
        <v>61</v>
      </c>
      <c r="V35" s="1085">
        <v>8</v>
      </c>
      <c r="W35" s="1085"/>
      <c r="X35" s="1086"/>
      <c r="Y35" s="905">
        <f t="shared" ref="Y35:Y36" si="17">SUM(U35:X35)</f>
        <v>69</v>
      </c>
    </row>
    <row r="36" spans="1:25" ht="15" thickBot="1" x14ac:dyDescent="0.4">
      <c r="A36" s="1247"/>
      <c r="B36" s="860" t="s">
        <v>471</v>
      </c>
      <c r="C36" s="1094">
        <v>66800</v>
      </c>
      <c r="D36" s="1074">
        <v>102700</v>
      </c>
      <c r="E36" s="916">
        <v>122300</v>
      </c>
      <c r="F36" s="917">
        <v>128100</v>
      </c>
      <c r="G36" s="943">
        <v>4.4999999999999998E-2</v>
      </c>
      <c r="H36" s="944">
        <v>4.4999999999999998E-2</v>
      </c>
      <c r="I36" s="945">
        <v>4.4999999999999998E-2</v>
      </c>
      <c r="J36" s="1124">
        <f t="shared" si="1"/>
        <v>69900</v>
      </c>
      <c r="K36" s="1071">
        <f t="shared" si="2"/>
        <v>107400</v>
      </c>
      <c r="L36" s="857">
        <v>171500</v>
      </c>
      <c r="M36" s="858">
        <v>274500</v>
      </c>
      <c r="N36" s="1069">
        <f t="shared" si="5"/>
        <v>3100</v>
      </c>
      <c r="O36" s="872">
        <f t="shared" si="6"/>
        <v>4700</v>
      </c>
      <c r="P36" s="872">
        <f t="shared" si="7"/>
        <v>49200</v>
      </c>
      <c r="Q36" s="873">
        <f t="shared" si="8"/>
        <v>146400</v>
      </c>
      <c r="S36" s="1250"/>
      <c r="T36" s="874" t="str">
        <f>+B36</f>
        <v>QUINCHO 80 PERS.</v>
      </c>
      <c r="U36" s="1102">
        <v>58</v>
      </c>
      <c r="V36" s="1088">
        <v>7</v>
      </c>
      <c r="W36" s="1088"/>
      <c r="X36" s="1089"/>
      <c r="Y36" s="913">
        <f t="shared" si="17"/>
        <v>65</v>
      </c>
    </row>
    <row r="37" spans="1:25" ht="33.75" customHeight="1" thickBot="1" x14ac:dyDescent="0.4">
      <c r="A37" s="789" t="s">
        <v>59</v>
      </c>
      <c r="B37" s="784" t="s">
        <v>472</v>
      </c>
      <c r="C37" s="1095">
        <v>35400</v>
      </c>
      <c r="D37" s="1075">
        <v>54400</v>
      </c>
      <c r="E37" s="1251"/>
      <c r="F37" s="1252"/>
      <c r="G37" s="949">
        <v>7.1999999999999995E-2</v>
      </c>
      <c r="H37" s="1253"/>
      <c r="I37" s="1254"/>
      <c r="J37" s="1125">
        <f t="shared" si="1"/>
        <v>38000</v>
      </c>
      <c r="K37" s="1068">
        <f t="shared" si="2"/>
        <v>58400</v>
      </c>
      <c r="L37" s="1255"/>
      <c r="M37" s="1256"/>
      <c r="N37" s="1096">
        <f t="shared" si="5"/>
        <v>2600</v>
      </c>
      <c r="O37" s="1097">
        <f t="shared" si="6"/>
        <v>4000</v>
      </c>
      <c r="P37" s="1255"/>
      <c r="Q37" s="1256"/>
      <c r="R37" s="63"/>
      <c r="S37" s="875" t="str">
        <f>+A37</f>
        <v>SALA EVENTOS - QUINCHO BERMUDEZ</v>
      </c>
      <c r="T37" s="876" t="str">
        <f>B37</f>
        <v>SALA - QUINCHO 40 PERS.</v>
      </c>
      <c r="U37" s="1103">
        <v>47</v>
      </c>
      <c r="V37" s="1090">
        <v>3</v>
      </c>
      <c r="W37" s="1243"/>
      <c r="X37" s="1244"/>
      <c r="Y37" s="918">
        <f>SUM(U37:X37)</f>
        <v>50</v>
      </c>
    </row>
    <row r="38" spans="1:25" x14ac:dyDescent="0.35">
      <c r="G38" s="877"/>
      <c r="J38" s="1170" t="s">
        <v>538</v>
      </c>
    </row>
    <row r="39" spans="1:25" x14ac:dyDescent="0.35">
      <c r="J39" s="1171" t="s">
        <v>536</v>
      </c>
      <c r="L39" s="1133"/>
      <c r="M39" s="1076"/>
    </row>
    <row r="40" spans="1:25" ht="15" thickBot="1" x14ac:dyDescent="0.4">
      <c r="J40" s="1172" t="s">
        <v>537</v>
      </c>
      <c r="L40" s="1076"/>
      <c r="M40" s="1076"/>
    </row>
    <row r="41" spans="1:25" x14ac:dyDescent="0.35">
      <c r="E41" s="813"/>
    </row>
    <row r="42" spans="1:25" x14ac:dyDescent="0.35">
      <c r="E42" s="813"/>
    </row>
    <row r="43" spans="1:25" x14ac:dyDescent="0.35">
      <c r="E43" s="813"/>
      <c r="K43" s="414"/>
      <c r="L43" s="414"/>
      <c r="M43" s="414"/>
    </row>
    <row r="44" spans="1:25" x14ac:dyDescent="0.35">
      <c r="K44" s="414"/>
    </row>
  </sheetData>
  <mergeCells count="36">
    <mergeCell ref="N5:Q5"/>
    <mergeCell ref="B3:C3"/>
    <mergeCell ref="D3:E3"/>
    <mergeCell ref="A8:C8"/>
    <mergeCell ref="S8:U8"/>
    <mergeCell ref="Y10:Y11"/>
    <mergeCell ref="N10:Q10"/>
    <mergeCell ref="S10:S11"/>
    <mergeCell ref="T10:T11"/>
    <mergeCell ref="U10:X10"/>
    <mergeCell ref="F5:I5"/>
    <mergeCell ref="A10:A11"/>
    <mergeCell ref="B10:B11"/>
    <mergeCell ref="C10:F10"/>
    <mergeCell ref="G10:I10"/>
    <mergeCell ref="J10:M10"/>
    <mergeCell ref="J5:M5"/>
    <mergeCell ref="U17:X17"/>
    <mergeCell ref="A23:A32"/>
    <mergeCell ref="S23:S32"/>
    <mergeCell ref="C28:F28"/>
    <mergeCell ref="G28:I32"/>
    <mergeCell ref="J28:M28"/>
    <mergeCell ref="N28:Q28"/>
    <mergeCell ref="A12:A21"/>
    <mergeCell ref="S12:S21"/>
    <mergeCell ref="C17:F17"/>
    <mergeCell ref="N17:Q17"/>
    <mergeCell ref="U28:X28"/>
    <mergeCell ref="W37:X37"/>
    <mergeCell ref="A34:A36"/>
    <mergeCell ref="S34:S36"/>
    <mergeCell ref="E37:F37"/>
    <mergeCell ref="H37:I37"/>
    <mergeCell ref="L37:M37"/>
    <mergeCell ref="P37:Q37"/>
  </mergeCells>
  <phoneticPr fontId="36" type="noConversion"/>
  <hyperlinks>
    <hyperlink ref="A8:C8" location="'Índice Tablas'!A1" display="TABLA 3: REAJUSTE DE TARIFAS POR PRESTACIÓN Y SEGMENTO" xr:uid="{00000000-0004-0000-0100-000000000000}"/>
    <hyperlink ref="S8:U8" location="'Índice Tablas'!A1" display="TABLA 4: METAS DE OCUPACIÓN POR PRESTACIÓN Y SEGMENTO" xr:uid="{00000000-0004-0000-0100-000001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C0EB-1DED-4930-AFC0-F8454CE3D8AF}">
  <dimension ref="A2:L29"/>
  <sheetViews>
    <sheetView workbookViewId="0">
      <selection activeCell="O26" sqref="O26"/>
    </sheetView>
  </sheetViews>
  <sheetFormatPr baseColWidth="10" defaultRowHeight="14.5" x14ac:dyDescent="0.35"/>
  <cols>
    <col min="1" max="1" width="36.81640625" bestFit="1" customWidth="1"/>
    <col min="2" max="2" width="43.54296875" bestFit="1" customWidth="1"/>
    <col min="9" max="12" width="11.81640625" bestFit="1" customWidth="1"/>
  </cols>
  <sheetData>
    <row r="2" spans="1:12" x14ac:dyDescent="0.35">
      <c r="A2" t="s">
        <v>4</v>
      </c>
      <c r="B2" t="s">
        <v>23</v>
      </c>
      <c r="C2" s="1327" t="s">
        <v>376</v>
      </c>
      <c r="D2" s="1327"/>
      <c r="E2" s="1327"/>
      <c r="F2" s="1327"/>
    </row>
    <row r="3" spans="1:12" x14ac:dyDescent="0.35">
      <c r="C3" t="s">
        <v>27</v>
      </c>
      <c r="D3" t="s">
        <v>167</v>
      </c>
      <c r="E3" t="s">
        <v>168</v>
      </c>
      <c r="F3" t="s">
        <v>169</v>
      </c>
      <c r="H3">
        <v>1.19</v>
      </c>
    </row>
    <row r="4" spans="1:12" x14ac:dyDescent="0.35">
      <c r="A4" t="s">
        <v>45</v>
      </c>
      <c r="B4" t="s">
        <v>46</v>
      </c>
      <c r="C4" s="813">
        <v>33100</v>
      </c>
      <c r="D4" s="813">
        <v>50800</v>
      </c>
      <c r="E4" s="813">
        <v>60500</v>
      </c>
      <c r="F4" s="813">
        <v>63300</v>
      </c>
      <c r="G4" s="813"/>
      <c r="H4" s="813">
        <f>E4/$H$3</f>
        <v>50840.336134453784</v>
      </c>
      <c r="I4" s="813">
        <f>F4/$H$3</f>
        <v>53193.277310924372</v>
      </c>
      <c r="K4" t="b">
        <f>H4&gt;D4</f>
        <v>1</v>
      </c>
      <c r="L4" t="b">
        <f>F4&gt;D4</f>
        <v>1</v>
      </c>
    </row>
    <row r="5" spans="1:12" x14ac:dyDescent="0.35">
      <c r="B5" t="s">
        <v>47</v>
      </c>
      <c r="C5" s="813">
        <v>43500</v>
      </c>
      <c r="D5" s="813">
        <v>66900</v>
      </c>
      <c r="E5" s="813">
        <v>79600</v>
      </c>
      <c r="F5" s="813">
        <v>83400</v>
      </c>
      <c r="G5" s="813"/>
      <c r="H5" s="813">
        <f t="shared" ref="H5:H28" si="0">E5/$H$3</f>
        <v>66890.756302521011</v>
      </c>
      <c r="I5" s="813">
        <f t="shared" ref="I5:I28" si="1">F5/$H$3</f>
        <v>70084.033613445383</v>
      </c>
      <c r="K5" t="b">
        <f t="shared" ref="K5:K28" si="2">H5&gt;D5</f>
        <v>0</v>
      </c>
      <c r="L5" t="b">
        <f t="shared" ref="L5:L28" si="3">F5&gt;D5</f>
        <v>1</v>
      </c>
    </row>
    <row r="6" spans="1:12" x14ac:dyDescent="0.35">
      <c r="B6" t="s">
        <v>48</v>
      </c>
      <c r="C6" s="813">
        <v>54000</v>
      </c>
      <c r="D6" s="813">
        <v>83000</v>
      </c>
      <c r="E6" s="813">
        <v>98800</v>
      </c>
      <c r="F6" s="813">
        <v>103500</v>
      </c>
      <c r="G6" s="813"/>
      <c r="H6" s="813">
        <f t="shared" si="0"/>
        <v>83025.210084033621</v>
      </c>
      <c r="I6" s="813">
        <f t="shared" si="1"/>
        <v>86974.789915966394</v>
      </c>
      <c r="K6" t="b">
        <f t="shared" si="2"/>
        <v>1</v>
      </c>
      <c r="L6" t="b">
        <f t="shared" si="3"/>
        <v>1</v>
      </c>
    </row>
    <row r="7" spans="1:12" x14ac:dyDescent="0.35">
      <c r="B7" t="s">
        <v>49</v>
      </c>
      <c r="C7" s="813">
        <v>51900</v>
      </c>
      <c r="D7" s="813">
        <v>79700</v>
      </c>
      <c r="E7" s="813">
        <v>94700</v>
      </c>
      <c r="F7" s="813">
        <v>99300</v>
      </c>
      <c r="G7" s="813"/>
      <c r="H7" s="813">
        <f t="shared" si="0"/>
        <v>79579.831932773115</v>
      </c>
      <c r="I7" s="813">
        <f t="shared" si="1"/>
        <v>83445.378151260506</v>
      </c>
      <c r="K7" t="b">
        <f t="shared" si="2"/>
        <v>0</v>
      </c>
      <c r="L7" t="b">
        <f t="shared" si="3"/>
        <v>1</v>
      </c>
    </row>
    <row r="8" spans="1:12" x14ac:dyDescent="0.35">
      <c r="B8" t="s">
        <v>50</v>
      </c>
      <c r="C8" s="813">
        <v>12800</v>
      </c>
      <c r="D8" s="813">
        <v>19600</v>
      </c>
      <c r="E8" s="813">
        <v>23400</v>
      </c>
      <c r="F8" s="813">
        <v>24500</v>
      </c>
      <c r="G8" s="813"/>
      <c r="H8" s="813">
        <f t="shared" si="0"/>
        <v>19663.865546218487</v>
      </c>
      <c r="I8" s="813">
        <f t="shared" si="1"/>
        <v>20588.235294117647</v>
      </c>
      <c r="K8" t="b">
        <f t="shared" si="2"/>
        <v>1</v>
      </c>
      <c r="L8" t="b">
        <f t="shared" si="3"/>
        <v>1</v>
      </c>
    </row>
    <row r="9" spans="1:12" x14ac:dyDescent="0.35">
      <c r="B9" t="s">
        <v>51</v>
      </c>
      <c r="C9" s="813"/>
      <c r="D9" s="813"/>
      <c r="E9" s="813"/>
      <c r="F9" s="813"/>
      <c r="G9" s="813"/>
      <c r="H9" s="813"/>
      <c r="I9" s="813"/>
    </row>
    <row r="10" spans="1:12" x14ac:dyDescent="0.35">
      <c r="B10" t="s">
        <v>46</v>
      </c>
      <c r="C10" s="813"/>
      <c r="D10" s="813">
        <v>15300</v>
      </c>
      <c r="E10" s="813">
        <v>18200</v>
      </c>
      <c r="F10" s="813">
        <v>19000</v>
      </c>
      <c r="G10" s="813"/>
      <c r="H10" s="813">
        <f t="shared" si="0"/>
        <v>15294.117647058823</v>
      </c>
      <c r="I10" s="813">
        <f t="shared" si="1"/>
        <v>15966.386554621849</v>
      </c>
      <c r="K10" t="b">
        <f t="shared" si="2"/>
        <v>0</v>
      </c>
      <c r="L10" t="b">
        <f t="shared" si="3"/>
        <v>1</v>
      </c>
    </row>
    <row r="11" spans="1:12" x14ac:dyDescent="0.35">
      <c r="B11" t="s">
        <v>47</v>
      </c>
      <c r="C11" s="813"/>
      <c r="D11" s="813">
        <v>20100</v>
      </c>
      <c r="E11" s="813">
        <v>23900</v>
      </c>
      <c r="F11" s="813">
        <v>25100</v>
      </c>
      <c r="G11" s="813"/>
      <c r="H11" s="813">
        <f t="shared" si="0"/>
        <v>20084.033613445379</v>
      </c>
      <c r="I11" s="813">
        <f t="shared" si="1"/>
        <v>21092.436974789918</v>
      </c>
      <c r="K11" t="b">
        <f t="shared" si="2"/>
        <v>0</v>
      </c>
      <c r="L11" t="b">
        <f t="shared" si="3"/>
        <v>1</v>
      </c>
    </row>
    <row r="12" spans="1:12" x14ac:dyDescent="0.35">
      <c r="B12" t="s">
        <v>48</v>
      </c>
      <c r="C12" s="813"/>
      <c r="D12" s="813">
        <v>24900</v>
      </c>
      <c r="E12" s="813">
        <v>29700</v>
      </c>
      <c r="F12" s="813">
        <v>31100</v>
      </c>
      <c r="G12" s="813"/>
      <c r="H12" s="813">
        <f t="shared" si="0"/>
        <v>24957.983193277312</v>
      </c>
      <c r="I12" s="813">
        <f t="shared" si="1"/>
        <v>26134.453781512606</v>
      </c>
      <c r="K12" t="b">
        <f t="shared" si="2"/>
        <v>1</v>
      </c>
      <c r="L12" t="b">
        <f t="shared" si="3"/>
        <v>1</v>
      </c>
    </row>
    <row r="13" spans="1:12" x14ac:dyDescent="0.35">
      <c r="B13" t="s">
        <v>49</v>
      </c>
      <c r="C13" s="813"/>
      <c r="D13" s="813">
        <v>24000</v>
      </c>
      <c r="E13" s="813">
        <v>28500</v>
      </c>
      <c r="F13" s="813">
        <v>29800</v>
      </c>
      <c r="G13" s="813"/>
      <c r="H13" s="813">
        <f t="shared" si="0"/>
        <v>23949.579831932773</v>
      </c>
      <c r="I13" s="813">
        <f t="shared" si="1"/>
        <v>25042.016806722691</v>
      </c>
      <c r="K13" t="b">
        <f t="shared" si="2"/>
        <v>0</v>
      </c>
      <c r="L13" t="b">
        <f t="shared" si="3"/>
        <v>1</v>
      </c>
    </row>
    <row r="14" spans="1:12" x14ac:dyDescent="0.35">
      <c r="A14" t="s">
        <v>52</v>
      </c>
      <c r="B14" t="s">
        <v>53</v>
      </c>
      <c r="C14" s="813">
        <v>62700</v>
      </c>
      <c r="D14" s="813">
        <v>96400</v>
      </c>
      <c r="E14" s="813">
        <v>114800</v>
      </c>
      <c r="F14" s="813">
        <v>196600</v>
      </c>
      <c r="G14" s="813"/>
      <c r="H14" s="813">
        <f t="shared" si="0"/>
        <v>96470.588235294126</v>
      </c>
      <c r="I14" s="813">
        <f t="shared" si="1"/>
        <v>165210.08403361344</v>
      </c>
      <c r="K14" t="b">
        <f t="shared" si="2"/>
        <v>1</v>
      </c>
      <c r="L14" t="b">
        <f t="shared" si="3"/>
        <v>1</v>
      </c>
    </row>
    <row r="15" spans="1:12" x14ac:dyDescent="0.35">
      <c r="A15" t="s">
        <v>54</v>
      </c>
      <c r="B15" t="s">
        <v>46</v>
      </c>
      <c r="C15" s="813">
        <v>26900</v>
      </c>
      <c r="D15" s="813">
        <v>41300</v>
      </c>
      <c r="E15" s="813">
        <v>49200</v>
      </c>
      <c r="F15" s="813">
        <v>51600</v>
      </c>
      <c r="G15" s="813"/>
      <c r="H15" s="813">
        <f t="shared" si="0"/>
        <v>41344.537815126052</v>
      </c>
      <c r="I15" s="813">
        <f t="shared" si="1"/>
        <v>43361.34453781513</v>
      </c>
      <c r="K15" t="b">
        <f t="shared" si="2"/>
        <v>1</v>
      </c>
      <c r="L15" t="b">
        <f t="shared" si="3"/>
        <v>1</v>
      </c>
    </row>
    <row r="16" spans="1:12" x14ac:dyDescent="0.35">
      <c r="B16" t="s">
        <v>47</v>
      </c>
      <c r="C16" s="813">
        <v>36800</v>
      </c>
      <c r="D16" s="813">
        <v>56600</v>
      </c>
      <c r="E16" s="813">
        <v>67300</v>
      </c>
      <c r="F16" s="813">
        <v>70600</v>
      </c>
      <c r="G16" s="813"/>
      <c r="H16" s="813">
        <f t="shared" si="0"/>
        <v>56554.621848739502</v>
      </c>
      <c r="I16" s="813">
        <f t="shared" si="1"/>
        <v>59327.731092436974</v>
      </c>
      <c r="K16" t="b">
        <f t="shared" si="2"/>
        <v>0</v>
      </c>
      <c r="L16" t="b">
        <f t="shared" si="3"/>
        <v>1</v>
      </c>
    </row>
    <row r="17" spans="1:12" x14ac:dyDescent="0.35">
      <c r="B17" t="s">
        <v>48</v>
      </c>
      <c r="C17" s="813">
        <v>46700</v>
      </c>
      <c r="D17" s="813">
        <v>71700</v>
      </c>
      <c r="E17" s="813">
        <v>85300</v>
      </c>
      <c r="F17" s="813">
        <v>89400</v>
      </c>
      <c r="G17" s="813"/>
      <c r="H17" s="813">
        <f t="shared" si="0"/>
        <v>71680.672268907569</v>
      </c>
      <c r="I17" s="813">
        <f t="shared" si="1"/>
        <v>75126.050420168074</v>
      </c>
      <c r="K17" t="b">
        <f t="shared" si="2"/>
        <v>0</v>
      </c>
      <c r="L17" t="b">
        <f t="shared" si="3"/>
        <v>1</v>
      </c>
    </row>
    <row r="18" spans="1:12" x14ac:dyDescent="0.35">
      <c r="B18" t="s">
        <v>55</v>
      </c>
      <c r="C18" s="813">
        <v>56600</v>
      </c>
      <c r="D18" s="813">
        <v>87000</v>
      </c>
      <c r="E18" s="813">
        <v>103500</v>
      </c>
      <c r="F18" s="813">
        <v>108400</v>
      </c>
      <c r="G18" s="813"/>
      <c r="H18" s="813">
        <f t="shared" si="0"/>
        <v>86974.789915966394</v>
      </c>
      <c r="I18" s="813">
        <f t="shared" si="1"/>
        <v>91092.436974789918</v>
      </c>
      <c r="K18" t="b">
        <f t="shared" si="2"/>
        <v>0</v>
      </c>
      <c r="L18" t="b">
        <f t="shared" si="3"/>
        <v>1</v>
      </c>
    </row>
    <row r="19" spans="1:12" x14ac:dyDescent="0.35">
      <c r="B19" t="s">
        <v>56</v>
      </c>
      <c r="C19" s="813">
        <v>10300</v>
      </c>
      <c r="D19" s="813">
        <v>15700</v>
      </c>
      <c r="E19" s="813">
        <v>18700</v>
      </c>
      <c r="F19" s="813">
        <v>19500</v>
      </c>
      <c r="G19" s="813"/>
      <c r="H19" s="813">
        <f t="shared" si="0"/>
        <v>15714.285714285716</v>
      </c>
      <c r="I19" s="813">
        <f t="shared" si="1"/>
        <v>16386.55462184874</v>
      </c>
      <c r="K19" t="b">
        <f t="shared" si="2"/>
        <v>1</v>
      </c>
      <c r="L19" t="b">
        <f t="shared" si="3"/>
        <v>1</v>
      </c>
    </row>
    <row r="20" spans="1:12" x14ac:dyDescent="0.35">
      <c r="B20" t="s">
        <v>170</v>
      </c>
      <c r="C20" s="813"/>
      <c r="D20" s="813"/>
      <c r="E20" s="813"/>
      <c r="F20" s="813"/>
      <c r="G20" s="813"/>
      <c r="H20" s="813"/>
      <c r="I20" s="813"/>
    </row>
    <row r="21" spans="1:12" x14ac:dyDescent="0.35">
      <c r="B21" t="s">
        <v>46</v>
      </c>
      <c r="C21" s="813"/>
      <c r="D21" s="813">
        <v>12400</v>
      </c>
      <c r="E21" s="813">
        <v>14800</v>
      </c>
      <c r="F21" s="813">
        <v>15500</v>
      </c>
      <c r="G21" s="813"/>
      <c r="H21" s="813">
        <f t="shared" si="0"/>
        <v>12436.974789915967</v>
      </c>
      <c r="I21" s="813">
        <f t="shared" si="1"/>
        <v>13025.210084033613</v>
      </c>
      <c r="K21" t="b">
        <f t="shared" si="2"/>
        <v>1</v>
      </c>
      <c r="L21" t="b">
        <f t="shared" si="3"/>
        <v>1</v>
      </c>
    </row>
    <row r="22" spans="1:12" x14ac:dyDescent="0.35">
      <c r="B22" t="s">
        <v>47</v>
      </c>
      <c r="C22" s="813"/>
      <c r="D22" s="813">
        <v>17000</v>
      </c>
      <c r="E22" s="813">
        <v>20200</v>
      </c>
      <c r="F22" s="813">
        <v>21200</v>
      </c>
      <c r="G22" s="813"/>
      <c r="H22" s="813">
        <f t="shared" si="0"/>
        <v>16974.789915966387</v>
      </c>
      <c r="I22" s="813">
        <f t="shared" si="1"/>
        <v>17815.126050420167</v>
      </c>
      <c r="K22" t="b">
        <f t="shared" si="2"/>
        <v>0</v>
      </c>
      <c r="L22" t="b">
        <f t="shared" si="3"/>
        <v>1</v>
      </c>
    </row>
    <row r="23" spans="1:12" x14ac:dyDescent="0.35">
      <c r="B23" t="s">
        <v>48</v>
      </c>
      <c r="C23" s="813"/>
      <c r="D23" s="813">
        <v>21600</v>
      </c>
      <c r="E23" s="813">
        <v>25600</v>
      </c>
      <c r="F23" s="813">
        <v>26900</v>
      </c>
      <c r="G23" s="813"/>
      <c r="H23" s="813">
        <f t="shared" si="0"/>
        <v>21512.605042016807</v>
      </c>
      <c r="I23" s="813">
        <f>F23/$H$3</f>
        <v>22605.042016806725</v>
      </c>
      <c r="K23" t="b">
        <f t="shared" si="2"/>
        <v>0</v>
      </c>
      <c r="L23" t="b">
        <f t="shared" si="3"/>
        <v>1</v>
      </c>
    </row>
    <row r="24" spans="1:12" x14ac:dyDescent="0.35">
      <c r="B24" t="s">
        <v>55</v>
      </c>
      <c r="C24" s="813"/>
      <c r="D24" s="813">
        <v>26100</v>
      </c>
      <c r="E24" s="813">
        <v>31100</v>
      </c>
      <c r="F24" s="813">
        <v>32600</v>
      </c>
      <c r="G24" s="813"/>
      <c r="H24" s="813">
        <f t="shared" si="0"/>
        <v>26134.453781512606</v>
      </c>
      <c r="I24" s="813">
        <f t="shared" si="1"/>
        <v>27394.957983193279</v>
      </c>
      <c r="K24" t="b">
        <f t="shared" si="2"/>
        <v>1</v>
      </c>
      <c r="L24" t="b">
        <f t="shared" si="3"/>
        <v>1</v>
      </c>
    </row>
    <row r="25" spans="1:12" x14ac:dyDescent="0.35">
      <c r="A25" t="s">
        <v>57</v>
      </c>
      <c r="B25" t="s">
        <v>53</v>
      </c>
      <c r="C25" s="813">
        <v>30900</v>
      </c>
      <c r="D25" s="813">
        <v>47400</v>
      </c>
      <c r="E25" s="813">
        <v>56400</v>
      </c>
      <c r="F25" s="813">
        <v>59100</v>
      </c>
      <c r="G25" s="813"/>
      <c r="H25" s="813">
        <f t="shared" si="0"/>
        <v>47394.957983193279</v>
      </c>
      <c r="I25" s="813">
        <f t="shared" si="1"/>
        <v>49663.865546218491</v>
      </c>
      <c r="K25" t="b">
        <f t="shared" si="2"/>
        <v>0</v>
      </c>
      <c r="L25" t="b">
        <f t="shared" si="3"/>
        <v>1</v>
      </c>
    </row>
    <row r="26" spans="1:12" x14ac:dyDescent="0.35">
      <c r="A26" t="s">
        <v>58</v>
      </c>
      <c r="B26" t="s">
        <v>287</v>
      </c>
      <c r="C26" s="813"/>
      <c r="D26" s="813">
        <v>44400</v>
      </c>
      <c r="E26" s="813">
        <v>52700</v>
      </c>
      <c r="F26" s="813">
        <v>55200</v>
      </c>
      <c r="G26" s="813"/>
      <c r="H26" s="813">
        <f t="shared" si="0"/>
        <v>44285.71428571429</v>
      </c>
      <c r="I26" s="813">
        <f t="shared" si="1"/>
        <v>46386.554621848743</v>
      </c>
      <c r="K26" t="b">
        <f t="shared" si="2"/>
        <v>0</v>
      </c>
      <c r="L26" t="b">
        <f t="shared" si="3"/>
        <v>1</v>
      </c>
    </row>
    <row r="27" spans="1:12" x14ac:dyDescent="0.35">
      <c r="B27" t="s">
        <v>288</v>
      </c>
      <c r="C27" s="813"/>
      <c r="D27" s="813">
        <v>69500</v>
      </c>
      <c r="E27" s="813">
        <v>82700</v>
      </c>
      <c r="F27" s="813">
        <v>86700</v>
      </c>
      <c r="G27" s="813"/>
      <c r="H27" s="813">
        <f t="shared" si="0"/>
        <v>69495.798319327732</v>
      </c>
      <c r="I27" s="813">
        <f t="shared" si="1"/>
        <v>72857.142857142855</v>
      </c>
      <c r="K27" t="b">
        <f t="shared" si="2"/>
        <v>0</v>
      </c>
      <c r="L27" t="b">
        <f t="shared" si="3"/>
        <v>1</v>
      </c>
    </row>
    <row r="28" spans="1:12" x14ac:dyDescent="0.35">
      <c r="B28" t="s">
        <v>289</v>
      </c>
      <c r="C28" s="813"/>
      <c r="D28" s="813">
        <v>107400</v>
      </c>
      <c r="E28" s="813">
        <v>127900</v>
      </c>
      <c r="F28" s="813">
        <v>133900</v>
      </c>
      <c r="G28" s="813"/>
      <c r="H28" s="813">
        <f t="shared" si="0"/>
        <v>107478.99159663866</v>
      </c>
      <c r="I28" s="813">
        <f t="shared" si="1"/>
        <v>112521.00840336135</v>
      </c>
      <c r="K28" t="b">
        <f t="shared" si="2"/>
        <v>1</v>
      </c>
      <c r="L28" t="b">
        <f t="shared" si="3"/>
        <v>1</v>
      </c>
    </row>
    <row r="29" spans="1:12" x14ac:dyDescent="0.35">
      <c r="A29" t="s">
        <v>59</v>
      </c>
      <c r="B29" t="s">
        <v>290</v>
      </c>
      <c r="C29" s="813"/>
      <c r="D29" s="813">
        <v>56900</v>
      </c>
      <c r="E29" s="813"/>
      <c r="F29" s="813"/>
      <c r="G29" s="813"/>
      <c r="H29" s="813"/>
      <c r="I29" s="813"/>
    </row>
  </sheetData>
  <mergeCells count="1">
    <mergeCell ref="C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55FA1-6E00-490B-98A1-51C30C3C6F01}">
  <dimension ref="B1:M29"/>
  <sheetViews>
    <sheetView zoomScaleNormal="100" workbookViewId="0">
      <selection activeCell="O23" sqref="O23"/>
    </sheetView>
  </sheetViews>
  <sheetFormatPr baseColWidth="10" defaultColWidth="11.453125" defaultRowHeight="14.5" x14ac:dyDescent="0.35"/>
  <cols>
    <col min="1" max="1" width="11.453125" style="143"/>
    <col min="2" max="2" width="45.81640625" style="143" bestFit="1" customWidth="1"/>
    <col min="3" max="3" width="43.54296875" style="143" bestFit="1" customWidth="1"/>
    <col min="4" max="4" width="11.453125" style="143"/>
    <col min="5" max="5" width="13.81640625" style="143" customWidth="1"/>
    <col min="6" max="7" width="13.54296875" style="143" customWidth="1"/>
    <col min="8" max="11" width="11.453125" style="143"/>
    <col min="12" max="13" width="11.453125" style="786"/>
    <col min="14" max="16384" width="11.453125" style="143"/>
  </cols>
  <sheetData>
    <row r="1" spans="2:13" ht="15" thickBot="1" x14ac:dyDescent="0.4">
      <c r="G1" s="143" t="s">
        <v>372</v>
      </c>
      <c r="J1" s="143">
        <v>1.8</v>
      </c>
    </row>
    <row r="2" spans="2:13" x14ac:dyDescent="0.35">
      <c r="B2" s="1330" t="s">
        <v>4</v>
      </c>
      <c r="C2" s="1274" t="s">
        <v>23</v>
      </c>
      <c r="D2" s="1333" t="s">
        <v>297</v>
      </c>
      <c r="E2" s="1334"/>
      <c r="F2" s="1334"/>
      <c r="G2" s="1335"/>
      <c r="H2" s="812">
        <v>1.19</v>
      </c>
      <c r="I2" s="812">
        <v>1.05</v>
      </c>
      <c r="J2" s="812">
        <v>1.1000000000000001</v>
      </c>
    </row>
    <row r="3" spans="2:13" ht="15" thickBot="1" x14ac:dyDescent="0.4">
      <c r="B3" s="1331"/>
      <c r="C3" s="1332"/>
      <c r="D3" s="790" t="s">
        <v>44</v>
      </c>
      <c r="E3" s="791" t="s">
        <v>28</v>
      </c>
      <c r="F3" s="791" t="s">
        <v>29</v>
      </c>
      <c r="G3" s="792" t="s">
        <v>30</v>
      </c>
      <c r="I3" s="793" t="s">
        <v>29</v>
      </c>
      <c r="J3" s="793" t="s">
        <v>30</v>
      </c>
    </row>
    <row r="4" spans="2:13" x14ac:dyDescent="0.35">
      <c r="B4" s="1336" t="s">
        <v>45</v>
      </c>
      <c r="C4" s="764" t="s">
        <v>46</v>
      </c>
      <c r="D4" s="794">
        <v>30100</v>
      </c>
      <c r="E4" s="795">
        <v>46200</v>
      </c>
      <c r="F4" s="795">
        <v>58500</v>
      </c>
      <c r="G4" s="796">
        <v>89900</v>
      </c>
      <c r="I4" s="787">
        <f>E4*$I$2*$H$2</f>
        <v>57726.899999999994</v>
      </c>
      <c r="J4" s="787">
        <f>E4*$J$2*$H$2</f>
        <v>60475.8</v>
      </c>
      <c r="L4" s="919">
        <f t="shared" ref="L4:L25" si="0">(I4-F4)/F4</f>
        <v>-1.3215384615384716E-2</v>
      </c>
      <c r="M4" s="919">
        <f>(J4-G4)/G4</f>
        <v>-0.32729922135706335</v>
      </c>
    </row>
    <row r="5" spans="2:13" x14ac:dyDescent="0.35">
      <c r="B5" s="1337"/>
      <c r="C5" s="765" t="s">
        <v>47</v>
      </c>
      <c r="D5" s="797">
        <v>39600</v>
      </c>
      <c r="E5" s="798">
        <v>60900</v>
      </c>
      <c r="F5" s="798">
        <v>77100</v>
      </c>
      <c r="G5" s="799">
        <v>118500</v>
      </c>
      <c r="I5" s="787">
        <f t="shared" ref="I5:I29" si="1">E5*$I$2*$H$2</f>
        <v>76094.55</v>
      </c>
      <c r="J5" s="787">
        <f t="shared" ref="J5:J29" si="2">E5*$J$2*$H$2</f>
        <v>79718.099999999991</v>
      </c>
      <c r="L5" s="919">
        <f t="shared" si="0"/>
        <v>-1.3040856031128367E-2</v>
      </c>
      <c r="M5" s="919">
        <f t="shared" ref="M5:M25" si="3">(J5-G5)/G5</f>
        <v>-0.32727341772151908</v>
      </c>
    </row>
    <row r="6" spans="2:13" x14ac:dyDescent="0.35">
      <c r="B6" s="1337"/>
      <c r="C6" s="765" t="s">
        <v>48</v>
      </c>
      <c r="D6" s="797">
        <v>49200</v>
      </c>
      <c r="E6" s="798">
        <v>75600</v>
      </c>
      <c r="F6" s="798">
        <v>95700</v>
      </c>
      <c r="G6" s="799">
        <v>147200</v>
      </c>
      <c r="I6" s="787">
        <f t="shared" si="1"/>
        <v>94462.2</v>
      </c>
      <c r="J6" s="787">
        <f t="shared" si="2"/>
        <v>98960.4</v>
      </c>
      <c r="L6" s="919">
        <f t="shared" si="0"/>
        <v>-1.2934169278996896E-2</v>
      </c>
      <c r="M6" s="919">
        <f t="shared" si="3"/>
        <v>-0.32771467391304354</v>
      </c>
    </row>
    <row r="7" spans="2:13" x14ac:dyDescent="0.35">
      <c r="B7" s="1337"/>
      <c r="C7" s="765" t="s">
        <v>49</v>
      </c>
      <c r="D7" s="797">
        <v>47200</v>
      </c>
      <c r="E7" s="798">
        <v>72500</v>
      </c>
      <c r="F7" s="798">
        <v>91800</v>
      </c>
      <c r="G7" s="799">
        <v>141200</v>
      </c>
      <c r="I7" s="787">
        <f t="shared" si="1"/>
        <v>90588.75</v>
      </c>
      <c r="J7" s="787">
        <f t="shared" si="2"/>
        <v>94902.5</v>
      </c>
      <c r="L7" s="919">
        <f t="shared" si="0"/>
        <v>-1.3194444444444444E-2</v>
      </c>
      <c r="M7" s="919">
        <f>(J7-G7)/G7</f>
        <v>-0.3278859773371105</v>
      </c>
    </row>
    <row r="8" spans="2:13" x14ac:dyDescent="0.35">
      <c r="B8" s="1338"/>
      <c r="C8" s="765" t="s">
        <v>50</v>
      </c>
      <c r="D8" s="797">
        <v>11600</v>
      </c>
      <c r="E8" s="798">
        <v>17800</v>
      </c>
      <c r="F8" s="798">
        <v>22600</v>
      </c>
      <c r="G8" s="799">
        <v>34500</v>
      </c>
      <c r="I8" s="787">
        <f t="shared" si="1"/>
        <v>22241.1</v>
      </c>
      <c r="J8" s="787">
        <f t="shared" si="2"/>
        <v>23300.2</v>
      </c>
      <c r="L8" s="919">
        <f t="shared" si="0"/>
        <v>-1.5880530973451393E-2</v>
      </c>
      <c r="M8" s="919">
        <f t="shared" si="3"/>
        <v>-0.324631884057971</v>
      </c>
    </row>
    <row r="9" spans="2:13" x14ac:dyDescent="0.35">
      <c r="B9" s="1338"/>
      <c r="C9" s="765" t="s">
        <v>51</v>
      </c>
      <c r="D9" s="1340"/>
      <c r="E9" s="1341"/>
      <c r="F9" s="1341"/>
      <c r="G9" s="1342"/>
      <c r="I9" s="787">
        <f t="shared" si="1"/>
        <v>0</v>
      </c>
      <c r="J9" s="787">
        <f t="shared" si="2"/>
        <v>0</v>
      </c>
      <c r="L9" s="919"/>
      <c r="M9" s="919"/>
    </row>
    <row r="10" spans="2:13" x14ac:dyDescent="0.35">
      <c r="B10" s="1338"/>
      <c r="C10" s="766" t="s">
        <v>46</v>
      </c>
      <c r="D10" s="767"/>
      <c r="E10" s="768">
        <v>13900</v>
      </c>
      <c r="F10" s="768">
        <v>17600</v>
      </c>
      <c r="G10" s="769">
        <v>27000</v>
      </c>
      <c r="I10" s="787">
        <f t="shared" si="1"/>
        <v>17368.05</v>
      </c>
      <c r="J10" s="787">
        <f t="shared" si="2"/>
        <v>18195.100000000002</v>
      </c>
      <c r="L10" s="919">
        <f t="shared" si="0"/>
        <v>-1.3178977272727314E-2</v>
      </c>
      <c r="M10" s="919">
        <f t="shared" si="3"/>
        <v>-0.32610740740740735</v>
      </c>
    </row>
    <row r="11" spans="2:13" x14ac:dyDescent="0.35">
      <c r="B11" s="1339"/>
      <c r="C11" s="766" t="s">
        <v>47</v>
      </c>
      <c r="D11" s="767"/>
      <c r="E11" s="768">
        <v>18300</v>
      </c>
      <c r="F11" s="768">
        <v>23200</v>
      </c>
      <c r="G11" s="769">
        <v>35600</v>
      </c>
      <c r="I11" s="787">
        <f t="shared" si="1"/>
        <v>22865.85</v>
      </c>
      <c r="J11" s="787">
        <f t="shared" si="2"/>
        <v>23954.7</v>
      </c>
      <c r="L11" s="919">
        <f t="shared" si="0"/>
        <v>-1.4403017241379374E-2</v>
      </c>
      <c r="M11" s="919">
        <f t="shared" si="3"/>
        <v>-0.32711516853932582</v>
      </c>
    </row>
    <row r="12" spans="2:13" x14ac:dyDescent="0.35">
      <c r="B12" s="1339"/>
      <c r="C12" s="766" t="s">
        <v>48</v>
      </c>
      <c r="D12" s="767"/>
      <c r="E12" s="768">
        <v>22700</v>
      </c>
      <c r="F12" s="768">
        <v>28800</v>
      </c>
      <c r="G12" s="769">
        <v>44200</v>
      </c>
      <c r="I12" s="787">
        <f t="shared" si="1"/>
        <v>28363.649999999998</v>
      </c>
      <c r="J12" s="787">
        <f t="shared" si="2"/>
        <v>29714.300000000003</v>
      </c>
      <c r="L12" s="919">
        <f t="shared" si="0"/>
        <v>-1.5151041666666743E-2</v>
      </c>
      <c r="M12" s="919">
        <f t="shared" si="3"/>
        <v>-0.32773076923076916</v>
      </c>
    </row>
    <row r="13" spans="2:13" ht="15" thickBot="1" x14ac:dyDescent="0.4">
      <c r="B13" s="1278"/>
      <c r="C13" s="770" t="s">
        <v>49</v>
      </c>
      <c r="D13" s="771"/>
      <c r="E13" s="772">
        <v>21800</v>
      </c>
      <c r="F13" s="772">
        <v>27600</v>
      </c>
      <c r="G13" s="773">
        <v>42400</v>
      </c>
      <c r="I13" s="787">
        <f t="shared" si="1"/>
        <v>27239.1</v>
      </c>
      <c r="J13" s="787">
        <f t="shared" si="2"/>
        <v>28536.200000000004</v>
      </c>
      <c r="L13" s="919">
        <f t="shared" si="0"/>
        <v>-1.3076086956521791E-2</v>
      </c>
      <c r="M13" s="919">
        <f t="shared" si="3"/>
        <v>-0.3269764150943395</v>
      </c>
    </row>
    <row r="14" spans="2:13" ht="15" thickBot="1" x14ac:dyDescent="0.4">
      <c r="B14" s="928" t="s">
        <v>52</v>
      </c>
      <c r="C14" s="929" t="s">
        <v>53</v>
      </c>
      <c r="D14" s="930">
        <v>57100</v>
      </c>
      <c r="E14" s="931">
        <v>87800</v>
      </c>
      <c r="F14" s="931">
        <v>121600</v>
      </c>
      <c r="G14" s="932">
        <v>177500</v>
      </c>
      <c r="H14" s="933"/>
      <c r="I14" s="934">
        <f t="shared" si="1"/>
        <v>109706.09999999999</v>
      </c>
      <c r="J14" s="934">
        <f>E14*$J$1*$H$2</f>
        <v>188067.6</v>
      </c>
      <c r="K14" s="933"/>
      <c r="L14" s="935">
        <f t="shared" si="0"/>
        <v>-9.7811677631579025E-2</v>
      </c>
      <c r="M14" s="935">
        <f t="shared" si="3"/>
        <v>5.9535774647887355E-2</v>
      </c>
    </row>
    <row r="15" spans="2:13" x14ac:dyDescent="0.35">
      <c r="B15" s="1245" t="s">
        <v>54</v>
      </c>
      <c r="C15" s="774" t="s">
        <v>46</v>
      </c>
      <c r="D15" s="794">
        <v>24500</v>
      </c>
      <c r="E15" s="800">
        <v>37600</v>
      </c>
      <c r="F15" s="800">
        <v>46800</v>
      </c>
      <c r="G15" s="801">
        <v>73200</v>
      </c>
      <c r="I15" s="787">
        <f t="shared" si="1"/>
        <v>46981.2</v>
      </c>
      <c r="J15" s="787">
        <f t="shared" si="2"/>
        <v>49218.399999999994</v>
      </c>
      <c r="L15" s="919">
        <f>(I15-F15)/F15</f>
        <v>3.8717948717948095E-3</v>
      </c>
      <c r="M15" s="919">
        <f>(J15-G15)/G15</f>
        <v>-0.32761748633879789</v>
      </c>
    </row>
    <row r="16" spans="2:13" x14ac:dyDescent="0.35">
      <c r="B16" s="1343"/>
      <c r="C16" s="775" t="s">
        <v>47</v>
      </c>
      <c r="D16" s="797">
        <v>33500</v>
      </c>
      <c r="E16" s="802">
        <v>51500</v>
      </c>
      <c r="F16" s="802">
        <v>64000</v>
      </c>
      <c r="G16" s="803">
        <v>100200</v>
      </c>
      <c r="I16" s="787">
        <f t="shared" si="1"/>
        <v>64349.25</v>
      </c>
      <c r="J16" s="787">
        <f t="shared" si="2"/>
        <v>67413.5</v>
      </c>
      <c r="L16" s="919">
        <f t="shared" si="0"/>
        <v>5.4570312500000001E-3</v>
      </c>
      <c r="M16" s="919">
        <f t="shared" si="3"/>
        <v>-0.32721057884231536</v>
      </c>
    </row>
    <row r="17" spans="2:13" x14ac:dyDescent="0.35">
      <c r="B17" s="1343"/>
      <c r="C17" s="775" t="s">
        <v>48</v>
      </c>
      <c r="D17" s="797">
        <v>42500</v>
      </c>
      <c r="E17" s="802">
        <v>65300</v>
      </c>
      <c r="F17" s="802">
        <v>81200</v>
      </c>
      <c r="G17" s="803">
        <v>127200</v>
      </c>
      <c r="I17" s="787">
        <f t="shared" si="1"/>
        <v>81592.349999999991</v>
      </c>
      <c r="J17" s="787">
        <f t="shared" si="2"/>
        <v>85477.7</v>
      </c>
      <c r="L17" s="919">
        <f>(I17-F17)/F17</f>
        <v>4.8318965517240306E-3</v>
      </c>
      <c r="M17" s="919">
        <f>(J17-G17)/G17</f>
        <v>-0.3280055031446541</v>
      </c>
    </row>
    <row r="18" spans="2:13" x14ac:dyDescent="0.35">
      <c r="B18" s="1343"/>
      <c r="C18" s="775" t="s">
        <v>55</v>
      </c>
      <c r="D18" s="797">
        <v>51500</v>
      </c>
      <c r="E18" s="802">
        <v>79200</v>
      </c>
      <c r="F18" s="802">
        <v>98500</v>
      </c>
      <c r="G18" s="803">
        <v>154000</v>
      </c>
      <c r="I18" s="787">
        <f t="shared" si="1"/>
        <v>98960.4</v>
      </c>
      <c r="J18" s="787">
        <f t="shared" si="2"/>
        <v>103672.79999999999</v>
      </c>
      <c r="L18" s="919">
        <f t="shared" si="0"/>
        <v>4.6741116751268441E-3</v>
      </c>
      <c r="M18" s="919">
        <f t="shared" si="3"/>
        <v>-0.32680000000000009</v>
      </c>
    </row>
    <row r="19" spans="2:13" x14ac:dyDescent="0.35">
      <c r="B19" s="1343"/>
      <c r="C19" s="775" t="s">
        <v>56</v>
      </c>
      <c r="D19" s="797">
        <v>9300</v>
      </c>
      <c r="E19" s="802">
        <v>14200</v>
      </c>
      <c r="F19" s="802">
        <v>20100</v>
      </c>
      <c r="G19" s="803">
        <v>27500</v>
      </c>
      <c r="I19" s="787">
        <f t="shared" si="1"/>
        <v>17742.899999999998</v>
      </c>
      <c r="J19" s="787">
        <f t="shared" si="2"/>
        <v>18587.800000000003</v>
      </c>
      <c r="L19" s="919">
        <f>(I19-F19)/F19</f>
        <v>-0.11726865671641802</v>
      </c>
      <c r="M19" s="919">
        <f t="shared" si="3"/>
        <v>-0.32407999999999987</v>
      </c>
    </row>
    <row r="20" spans="2:13" x14ac:dyDescent="0.35">
      <c r="B20" s="1343"/>
      <c r="C20" s="775" t="s">
        <v>51</v>
      </c>
      <c r="D20" s="1340"/>
      <c r="E20" s="1341"/>
      <c r="F20" s="1341"/>
      <c r="G20" s="1342"/>
      <c r="I20" s="787">
        <f t="shared" si="1"/>
        <v>0</v>
      </c>
      <c r="J20" s="787">
        <f t="shared" si="2"/>
        <v>0</v>
      </c>
      <c r="L20" s="919"/>
      <c r="M20" s="919"/>
    </row>
    <row r="21" spans="2:13" x14ac:dyDescent="0.35">
      <c r="B21" s="1343"/>
      <c r="C21" s="776" t="s">
        <v>46</v>
      </c>
      <c r="D21" s="767"/>
      <c r="E21" s="768">
        <v>11300</v>
      </c>
      <c r="F21" s="768">
        <v>14100</v>
      </c>
      <c r="G21" s="769">
        <v>22000</v>
      </c>
      <c r="I21" s="787">
        <f t="shared" si="1"/>
        <v>14119.349999999999</v>
      </c>
      <c r="J21" s="787">
        <f t="shared" si="2"/>
        <v>14791.7</v>
      </c>
      <c r="L21" s="919">
        <f t="shared" si="0"/>
        <v>1.3723404255318117E-3</v>
      </c>
      <c r="M21" s="919">
        <f t="shared" si="3"/>
        <v>-0.32764999999999994</v>
      </c>
    </row>
    <row r="22" spans="2:13" x14ac:dyDescent="0.35">
      <c r="B22" s="1343"/>
      <c r="C22" s="776" t="s">
        <v>47</v>
      </c>
      <c r="D22" s="767"/>
      <c r="E22" s="768">
        <v>15500</v>
      </c>
      <c r="F22" s="768">
        <v>19200</v>
      </c>
      <c r="G22" s="769">
        <v>30100</v>
      </c>
      <c r="I22" s="787">
        <f t="shared" si="1"/>
        <v>19367.25</v>
      </c>
      <c r="J22" s="787">
        <f t="shared" si="2"/>
        <v>20289.5</v>
      </c>
      <c r="L22" s="919">
        <f t="shared" si="0"/>
        <v>8.7109374999999999E-3</v>
      </c>
      <c r="M22" s="919">
        <f t="shared" si="3"/>
        <v>-0.32593023255813952</v>
      </c>
    </row>
    <row r="23" spans="2:13" x14ac:dyDescent="0.35">
      <c r="B23" s="1343"/>
      <c r="C23" s="776" t="s">
        <v>48</v>
      </c>
      <c r="D23" s="767"/>
      <c r="E23" s="768">
        <v>19600</v>
      </c>
      <c r="F23" s="768">
        <v>24400</v>
      </c>
      <c r="G23" s="769">
        <v>38200</v>
      </c>
      <c r="I23" s="787">
        <f t="shared" si="1"/>
        <v>24490.199999999997</v>
      </c>
      <c r="J23" s="787">
        <f t="shared" si="2"/>
        <v>25656.399999999998</v>
      </c>
      <c r="L23" s="919">
        <f t="shared" si="0"/>
        <v>3.6967213114752905E-3</v>
      </c>
      <c r="M23" s="919">
        <f t="shared" si="3"/>
        <v>-0.32836649214659691</v>
      </c>
    </row>
    <row r="24" spans="2:13" ht="15" thickBot="1" x14ac:dyDescent="0.4">
      <c r="B24" s="1261"/>
      <c r="C24" s="777" t="s">
        <v>55</v>
      </c>
      <c r="D24" s="771"/>
      <c r="E24" s="772">
        <v>23800</v>
      </c>
      <c r="F24" s="772">
        <v>29600</v>
      </c>
      <c r="G24" s="773">
        <v>46200</v>
      </c>
      <c r="I24" s="787">
        <f t="shared" si="1"/>
        <v>29738.1</v>
      </c>
      <c r="J24" s="787">
        <f t="shared" si="2"/>
        <v>31154.200000000004</v>
      </c>
      <c r="L24" s="919">
        <f t="shared" si="0"/>
        <v>4.665540540540491E-3</v>
      </c>
      <c r="M24" s="919">
        <f t="shared" si="3"/>
        <v>-0.32566666666666655</v>
      </c>
    </row>
    <row r="25" spans="2:13" ht="15" thickBot="1" x14ac:dyDescent="0.4">
      <c r="B25" s="788" t="s">
        <v>57</v>
      </c>
      <c r="C25" s="778" t="s">
        <v>53</v>
      </c>
      <c r="D25" s="804">
        <v>28100</v>
      </c>
      <c r="E25" s="805">
        <v>43100</v>
      </c>
      <c r="F25" s="805">
        <v>64600</v>
      </c>
      <c r="G25" s="806">
        <v>94300</v>
      </c>
      <c r="I25" s="787">
        <f t="shared" si="1"/>
        <v>53853.45</v>
      </c>
      <c r="J25" s="787">
        <f t="shared" si="2"/>
        <v>56417.900000000009</v>
      </c>
      <c r="L25" s="919">
        <f t="shared" si="0"/>
        <v>-0.16635526315789478</v>
      </c>
      <c r="M25" s="919">
        <f t="shared" si="3"/>
        <v>-0.40171898197242834</v>
      </c>
    </row>
    <row r="26" spans="2:13" x14ac:dyDescent="0.35">
      <c r="B26" s="1245" t="s">
        <v>58</v>
      </c>
      <c r="C26" s="779" t="s">
        <v>287</v>
      </c>
      <c r="D26" s="780"/>
      <c r="E26" s="807">
        <v>40300</v>
      </c>
      <c r="F26" s="807">
        <v>66800</v>
      </c>
      <c r="G26" s="808">
        <v>80600</v>
      </c>
      <c r="I26" s="787">
        <f t="shared" si="1"/>
        <v>50354.85</v>
      </c>
      <c r="J26" s="787">
        <f t="shared" si="2"/>
        <v>52752.7</v>
      </c>
      <c r="L26" s="919">
        <f t="shared" ref="L26:L27" si="4">(I26-F26)/F26</f>
        <v>-0.24618488023952098</v>
      </c>
      <c r="M26" s="919">
        <f t="shared" ref="M26:M27" si="5">(J26-G26)/G26</f>
        <v>-0.34550000000000003</v>
      </c>
    </row>
    <row r="27" spans="2:13" x14ac:dyDescent="0.35">
      <c r="B27" s="1328"/>
      <c r="C27" s="781" t="s">
        <v>288</v>
      </c>
      <c r="D27" s="767"/>
      <c r="E27" s="798">
        <v>63300</v>
      </c>
      <c r="F27" s="798">
        <v>105000</v>
      </c>
      <c r="G27" s="799">
        <v>127200</v>
      </c>
      <c r="I27" s="787">
        <f t="shared" si="1"/>
        <v>79093.349999999991</v>
      </c>
      <c r="J27" s="787">
        <f t="shared" si="2"/>
        <v>82859.7</v>
      </c>
      <c r="L27" s="919">
        <f t="shared" si="4"/>
        <v>-0.24673000000000009</v>
      </c>
      <c r="M27" s="919">
        <f t="shared" si="5"/>
        <v>-0.34858726415094343</v>
      </c>
    </row>
    <row r="28" spans="2:13" ht="15" thickBot="1" x14ac:dyDescent="0.4">
      <c r="B28" s="1329"/>
      <c r="C28" s="782" t="s">
        <v>289</v>
      </c>
      <c r="D28" s="783"/>
      <c r="E28" s="809">
        <v>97800</v>
      </c>
      <c r="F28" s="809">
        <v>162200</v>
      </c>
      <c r="G28" s="810">
        <v>197200</v>
      </c>
      <c r="I28" s="787">
        <f t="shared" si="1"/>
        <v>122201.09999999999</v>
      </c>
      <c r="J28" s="787">
        <f t="shared" si="2"/>
        <v>128020.20000000001</v>
      </c>
      <c r="L28" s="919">
        <f>(I28-F28)/F28</f>
        <v>-0.24660234278668317</v>
      </c>
      <c r="M28" s="919">
        <f>(J28-G28)/G28</f>
        <v>-0.35081034482758616</v>
      </c>
    </row>
    <row r="29" spans="2:13" ht="15" thickBot="1" x14ac:dyDescent="0.4">
      <c r="B29" s="789" t="s">
        <v>59</v>
      </c>
      <c r="C29" s="784" t="s">
        <v>290</v>
      </c>
      <c r="D29" s="785"/>
      <c r="E29" s="811">
        <v>51800</v>
      </c>
      <c r="F29" s="1251"/>
      <c r="G29" s="1252"/>
      <c r="I29" s="787">
        <f t="shared" si="1"/>
        <v>64724.1</v>
      </c>
      <c r="J29" s="787">
        <f t="shared" si="2"/>
        <v>67806.200000000012</v>
      </c>
      <c r="L29" s="919"/>
      <c r="M29" s="919"/>
    </row>
  </sheetData>
  <mergeCells count="9">
    <mergeCell ref="B26:B28"/>
    <mergeCell ref="F29:G29"/>
    <mergeCell ref="B2:B3"/>
    <mergeCell ref="C2:C3"/>
    <mergeCell ref="D2:G2"/>
    <mergeCell ref="B4:B13"/>
    <mergeCell ref="D9:G9"/>
    <mergeCell ref="B15:B24"/>
    <mergeCell ref="D20:G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I526"/>
  <sheetViews>
    <sheetView showGridLines="0" zoomScale="80" zoomScaleNormal="80" workbookViewId="0">
      <selection activeCell="D4" sqref="D4:E4"/>
    </sheetView>
  </sheetViews>
  <sheetFormatPr baseColWidth="10" defaultRowHeight="14.5" x14ac:dyDescent="0.35"/>
  <cols>
    <col min="1" max="1" width="24.7265625" style="5" customWidth="1"/>
    <col min="2" max="2" width="21.1796875" style="5" customWidth="1"/>
    <col min="3" max="3" width="59.81640625" style="5" customWidth="1"/>
    <col min="4" max="4" width="20" style="5" customWidth="1"/>
    <col min="5" max="5" width="11.54296875" style="5" customWidth="1"/>
    <col min="6" max="6" width="11.54296875" style="70" customWidth="1"/>
    <col min="7" max="7" width="15.26953125" style="2" bestFit="1" customWidth="1"/>
    <col min="8" max="8" width="20.1796875" style="2" customWidth="1"/>
    <col min="9" max="9" width="107.81640625" style="5" customWidth="1"/>
    <col min="10" max="10" width="12.81640625" bestFit="1" customWidth="1"/>
    <col min="11" max="11" width="13.81640625" bestFit="1" customWidth="1"/>
  </cols>
  <sheetData>
    <row r="1" spans="1:9" x14ac:dyDescent="0.35">
      <c r="C1" s="3"/>
      <c r="D1" s="3"/>
      <c r="F1" s="3"/>
      <c r="G1" s="3"/>
      <c r="H1" s="3"/>
    </row>
    <row r="2" spans="1:9" x14ac:dyDescent="0.35">
      <c r="C2" s="3"/>
      <c r="D2" s="3" t="s">
        <v>60</v>
      </c>
      <c r="F2" s="3"/>
      <c r="G2" s="3"/>
      <c r="H2" s="3"/>
    </row>
    <row r="3" spans="1:9" x14ac:dyDescent="0.35">
      <c r="C3" s="3"/>
      <c r="F3" s="3"/>
      <c r="G3" s="3"/>
      <c r="H3" s="3"/>
    </row>
    <row r="4" spans="1:9" ht="15.5" x14ac:dyDescent="0.35">
      <c r="C4" s="8" t="s">
        <v>1</v>
      </c>
      <c r="D4" s="1374" t="str">
        <f>+'[1]B) Reajuste Tarifa y Ocupación'!F5</f>
        <v>BIENMAG</v>
      </c>
      <c r="E4" s="1375"/>
      <c r="F4" s="3"/>
      <c r="G4" s="3"/>
      <c r="H4" s="3"/>
    </row>
    <row r="5" spans="1:9" x14ac:dyDescent="0.35">
      <c r="B5" s="3"/>
      <c r="C5" s="3"/>
      <c r="D5" s="3"/>
      <c r="E5" s="3"/>
      <c r="F5" s="3"/>
      <c r="G5" s="3"/>
      <c r="H5" s="3"/>
    </row>
    <row r="6" spans="1:9" x14ac:dyDescent="0.35">
      <c r="B6" s="3"/>
      <c r="C6" s="3"/>
      <c r="D6" s="3"/>
      <c r="E6" s="3"/>
      <c r="F6" s="3"/>
      <c r="G6" s="3"/>
      <c r="H6" s="3"/>
    </row>
    <row r="7" spans="1:9" x14ac:dyDescent="0.35">
      <c r="A7" s="1376" t="s">
        <v>283</v>
      </c>
      <c r="B7" s="1376"/>
      <c r="C7" s="1376"/>
      <c r="D7" s="3"/>
      <c r="G7" s="5"/>
    </row>
    <row r="9" spans="1:9" x14ac:dyDescent="0.35">
      <c r="A9" s="1377" t="s">
        <v>22</v>
      </c>
      <c r="B9" s="1378" t="s">
        <v>61</v>
      </c>
      <c r="C9" s="1379" t="s">
        <v>62</v>
      </c>
      <c r="D9" s="1381" t="s">
        <v>63</v>
      </c>
      <c r="E9" s="1383" t="s">
        <v>64</v>
      </c>
      <c r="F9" s="1384"/>
      <c r="G9" s="1385"/>
      <c r="H9" s="1370" t="s">
        <v>380</v>
      </c>
      <c r="I9" s="1367" t="s">
        <v>65</v>
      </c>
    </row>
    <row r="10" spans="1:9" ht="39" x14ac:dyDescent="0.35">
      <c r="A10" s="1353"/>
      <c r="B10" s="1355"/>
      <c r="C10" s="1380"/>
      <c r="D10" s="1382"/>
      <c r="E10" s="71" t="s">
        <v>66</v>
      </c>
      <c r="F10" s="72" t="s">
        <v>67</v>
      </c>
      <c r="G10" s="73" t="s">
        <v>68</v>
      </c>
      <c r="H10" s="1345"/>
      <c r="I10" s="1367"/>
    </row>
    <row r="11" spans="1:9" x14ac:dyDescent="0.35">
      <c r="A11" s="1371" t="str">
        <f>+'B) Reajuste Tarifa y Ocupación'!A12</f>
        <v>C.H. OFICIALES "FARO EVANGELISTAS"</v>
      </c>
      <c r="B11" s="74"/>
      <c r="C11" s="75" t="s">
        <v>69</v>
      </c>
      <c r="D11" s="76">
        <f>SUM(D12,D17,D19)</f>
        <v>154471270.40000001</v>
      </c>
      <c r="E11" s="77"/>
      <c r="F11" s="77"/>
      <c r="G11" s="76">
        <f>SUM(G12,G17,G19)</f>
        <v>0</v>
      </c>
      <c r="H11" s="318">
        <f>SUM(H12,H17,H19)</f>
        <v>154471270.40000001</v>
      </c>
      <c r="I11" s="317"/>
    </row>
    <row r="12" spans="1:9" x14ac:dyDescent="0.35">
      <c r="A12" s="1351"/>
      <c r="B12" s="78"/>
      <c r="C12" s="79" t="s">
        <v>70</v>
      </c>
      <c r="D12" s="80">
        <f>SUM(D13:D16)</f>
        <v>122878770.40000001</v>
      </c>
      <c r="E12" s="81"/>
      <c r="F12" s="81"/>
      <c r="G12" s="80">
        <f>SUM(G13:G16)</f>
        <v>0</v>
      </c>
      <c r="H12" s="319">
        <f>SUM(H13:H16)</f>
        <v>122878770.40000001</v>
      </c>
      <c r="I12" s="317"/>
    </row>
    <row r="13" spans="1:9" x14ac:dyDescent="0.35">
      <c r="A13" s="1351"/>
      <c r="B13" s="82">
        <v>53103040100000</v>
      </c>
      <c r="C13" s="83" t="s">
        <v>71</v>
      </c>
      <c r="D13" s="84">
        <f>+'F) Remuneraciones'!M11</f>
        <v>122878770.40000001</v>
      </c>
      <c r="E13" s="85"/>
      <c r="F13" s="85"/>
      <c r="G13" s="85"/>
      <c r="H13" s="320">
        <f>D13+G13</f>
        <v>122878770.40000001</v>
      </c>
      <c r="I13" s="317"/>
    </row>
    <row r="14" spans="1:9" x14ac:dyDescent="0.35">
      <c r="A14" s="1351"/>
      <c r="B14" s="82">
        <v>53103050000000</v>
      </c>
      <c r="C14" s="83" t="s">
        <v>72</v>
      </c>
      <c r="D14" s="86">
        <v>0</v>
      </c>
      <c r="E14" s="87"/>
      <c r="F14" s="88"/>
      <c r="G14" s="89">
        <f>E14*F14</f>
        <v>0</v>
      </c>
      <c r="H14" s="321">
        <f t="shared" ref="H14:H16" si="0">D14+G14</f>
        <v>0</v>
      </c>
      <c r="I14" s="355"/>
    </row>
    <row r="15" spans="1:9" x14ac:dyDescent="0.35">
      <c r="A15" s="1351"/>
      <c r="B15" s="82">
        <v>53103060000000</v>
      </c>
      <c r="C15" s="83" t="s">
        <v>73</v>
      </c>
      <c r="D15" s="86">
        <v>0</v>
      </c>
      <c r="E15" s="87"/>
      <c r="F15" s="88"/>
      <c r="G15" s="89">
        <f t="shared" ref="G15:G16" si="1">E15*F15</f>
        <v>0</v>
      </c>
      <c r="H15" s="322">
        <f t="shared" si="0"/>
        <v>0</v>
      </c>
      <c r="I15" s="317"/>
    </row>
    <row r="16" spans="1:9" x14ac:dyDescent="0.35">
      <c r="A16" s="1351"/>
      <c r="B16" s="82">
        <v>53103080010000</v>
      </c>
      <c r="C16" s="83" t="s">
        <v>74</v>
      </c>
      <c r="D16" s="86">
        <v>0</v>
      </c>
      <c r="E16" s="87"/>
      <c r="F16" s="88"/>
      <c r="G16" s="89">
        <f t="shared" si="1"/>
        <v>0</v>
      </c>
      <c r="H16" s="322">
        <f t="shared" si="0"/>
        <v>0</v>
      </c>
      <c r="I16" s="317"/>
    </row>
    <row r="17" spans="1:9" x14ac:dyDescent="0.35">
      <c r="A17" s="1351"/>
      <c r="B17" s="78"/>
      <c r="C17" s="79" t="s">
        <v>75</v>
      </c>
      <c r="D17" s="80">
        <f>SUM(D18)</f>
        <v>0</v>
      </c>
      <c r="E17" s="90"/>
      <c r="F17" s="90"/>
      <c r="G17" s="91">
        <f>SUM(G18:G18)</f>
        <v>0</v>
      </c>
      <c r="H17" s="323">
        <f>SUM(H18:H18)</f>
        <v>0</v>
      </c>
      <c r="I17" s="317"/>
    </row>
    <row r="18" spans="1:9" x14ac:dyDescent="0.35">
      <c r="A18" s="1351"/>
      <c r="B18" s="82">
        <v>55201010100001</v>
      </c>
      <c r="C18" s="83" t="s">
        <v>76</v>
      </c>
      <c r="D18" s="86">
        <v>0</v>
      </c>
      <c r="E18" s="87"/>
      <c r="F18" s="88"/>
      <c r="G18" s="89">
        <f t="shared" ref="G18" si="2">E18*F18</f>
        <v>0</v>
      </c>
      <c r="H18" s="322">
        <f>D18+G18</f>
        <v>0</v>
      </c>
      <c r="I18" s="555"/>
    </row>
    <row r="19" spans="1:9" x14ac:dyDescent="0.35">
      <c r="A19" s="1351"/>
      <c r="B19" s="78"/>
      <c r="C19" s="79" t="s">
        <v>77</v>
      </c>
      <c r="D19" s="361">
        <f>SUM(D20:D38)</f>
        <v>31592500</v>
      </c>
      <c r="E19" s="366"/>
      <c r="F19" s="366"/>
      <c r="G19" s="80">
        <f>SUM(G20:G38)</f>
        <v>0</v>
      </c>
      <c r="H19" s="323">
        <f>SUM(H20:H38)</f>
        <v>31592500</v>
      </c>
      <c r="I19" s="317"/>
    </row>
    <row r="20" spans="1:9" x14ac:dyDescent="0.35">
      <c r="A20" s="1351"/>
      <c r="B20" s="82">
        <v>53201010100000</v>
      </c>
      <c r="C20" s="357" t="s">
        <v>78</v>
      </c>
      <c r="D20" s="542">
        <v>0</v>
      </c>
      <c r="E20" s="368"/>
      <c r="F20" s="369"/>
      <c r="G20" s="89">
        <f t="shared" ref="G20:G38" si="3">E20*F20</f>
        <v>0</v>
      </c>
      <c r="H20" s="322">
        <f t="shared" ref="H20:H38" si="4">D20+G20</f>
        <v>0</v>
      </c>
      <c r="I20" s="317"/>
    </row>
    <row r="21" spans="1:9" x14ac:dyDescent="0.35">
      <c r="A21" s="1351"/>
      <c r="B21" s="82">
        <v>53202010100000</v>
      </c>
      <c r="C21" s="357" t="s">
        <v>79</v>
      </c>
      <c r="D21" s="542">
        <v>0</v>
      </c>
      <c r="E21" s="368"/>
      <c r="F21" s="369"/>
      <c r="G21" s="89">
        <f t="shared" si="3"/>
        <v>0</v>
      </c>
      <c r="H21" s="322">
        <f t="shared" si="4"/>
        <v>0</v>
      </c>
      <c r="I21" s="544"/>
    </row>
    <row r="22" spans="1:9" x14ac:dyDescent="0.35">
      <c r="A22" s="1351"/>
      <c r="B22" s="82">
        <v>53203010100000</v>
      </c>
      <c r="C22" s="357" t="s">
        <v>80</v>
      </c>
      <c r="D22" s="543">
        <v>0</v>
      </c>
      <c r="E22" s="370"/>
      <c r="F22" s="371"/>
      <c r="G22" s="89">
        <f t="shared" si="3"/>
        <v>0</v>
      </c>
      <c r="H22" s="322">
        <f t="shared" si="4"/>
        <v>0</v>
      </c>
      <c r="I22" s="544"/>
    </row>
    <row r="23" spans="1:9" x14ac:dyDescent="0.35">
      <c r="A23" s="1351"/>
      <c r="B23" s="82">
        <v>53203030000000</v>
      </c>
      <c r="C23" s="357" t="s">
        <v>81</v>
      </c>
      <c r="D23" s="543">
        <v>0</v>
      </c>
      <c r="E23" s="370"/>
      <c r="F23" s="371"/>
      <c r="G23" s="89">
        <f t="shared" si="3"/>
        <v>0</v>
      </c>
      <c r="H23" s="322">
        <f t="shared" si="4"/>
        <v>0</v>
      </c>
      <c r="I23" s="544"/>
    </row>
    <row r="24" spans="1:9" x14ac:dyDescent="0.35">
      <c r="A24" s="1351"/>
      <c r="B24" s="82">
        <v>53204030000000</v>
      </c>
      <c r="C24" s="357" t="s">
        <v>82</v>
      </c>
      <c r="D24" s="543">
        <v>169000</v>
      </c>
      <c r="E24" s="370"/>
      <c r="F24" s="371"/>
      <c r="G24" s="89">
        <f t="shared" si="3"/>
        <v>0</v>
      </c>
      <c r="H24" s="322">
        <f t="shared" si="4"/>
        <v>169000</v>
      </c>
      <c r="I24" s="544" t="s">
        <v>460</v>
      </c>
    </row>
    <row r="25" spans="1:9" x14ac:dyDescent="0.35">
      <c r="A25" s="1351"/>
      <c r="B25" s="82">
        <v>53204100100001</v>
      </c>
      <c r="C25" s="360" t="s">
        <v>83</v>
      </c>
      <c r="D25" s="543">
        <v>360000</v>
      </c>
      <c r="E25" s="370"/>
      <c r="F25" s="371"/>
      <c r="G25" s="89">
        <f t="shared" si="3"/>
        <v>0</v>
      </c>
      <c r="H25" s="322">
        <f>D25+G25</f>
        <v>360000</v>
      </c>
      <c r="I25" s="544" t="s">
        <v>389</v>
      </c>
    </row>
    <row r="26" spans="1:9" x14ac:dyDescent="0.35">
      <c r="A26" s="1351"/>
      <c r="B26" s="82">
        <v>53204130100000</v>
      </c>
      <c r="C26" s="360" t="s">
        <v>84</v>
      </c>
      <c r="D26" s="543">
        <v>0</v>
      </c>
      <c r="E26" s="370"/>
      <c r="F26" s="371"/>
      <c r="G26" s="89">
        <f t="shared" si="3"/>
        <v>0</v>
      </c>
      <c r="H26" s="322">
        <f t="shared" si="4"/>
        <v>0</v>
      </c>
      <c r="I26" s="544"/>
    </row>
    <row r="27" spans="1:9" x14ac:dyDescent="0.35">
      <c r="A27" s="1351"/>
      <c r="B27" s="82">
        <v>53205010100000</v>
      </c>
      <c r="C27" s="360" t="s">
        <v>85</v>
      </c>
      <c r="D27" s="543">
        <v>7423000</v>
      </c>
      <c r="E27" s="370"/>
      <c r="F27" s="371"/>
      <c r="G27" s="89">
        <f t="shared" si="3"/>
        <v>0</v>
      </c>
      <c r="H27" s="322">
        <f t="shared" si="4"/>
        <v>7423000</v>
      </c>
      <c r="I27" s="544" t="s">
        <v>486</v>
      </c>
    </row>
    <row r="28" spans="1:9" x14ac:dyDescent="0.35">
      <c r="A28" s="1351"/>
      <c r="B28" s="82">
        <v>53205020100000</v>
      </c>
      <c r="C28" s="360" t="s">
        <v>86</v>
      </c>
      <c r="D28" s="543">
        <v>5035000</v>
      </c>
      <c r="E28" s="370"/>
      <c r="F28" s="371"/>
      <c r="G28" s="89">
        <f t="shared" si="3"/>
        <v>0</v>
      </c>
      <c r="H28" s="322">
        <f t="shared" si="4"/>
        <v>5035000</v>
      </c>
      <c r="I28" s="544" t="s">
        <v>486</v>
      </c>
    </row>
    <row r="29" spans="1:9" x14ac:dyDescent="0.35">
      <c r="A29" s="1351"/>
      <c r="B29" s="82">
        <v>53205030100000</v>
      </c>
      <c r="C29" s="360" t="s">
        <v>87</v>
      </c>
      <c r="D29" s="543">
        <v>4043000</v>
      </c>
      <c r="E29" s="370"/>
      <c r="F29" s="371"/>
      <c r="G29" s="89">
        <f t="shared" si="3"/>
        <v>0</v>
      </c>
      <c r="H29" s="322">
        <f t="shared" si="4"/>
        <v>4043000</v>
      </c>
      <c r="I29" s="544" t="s">
        <v>486</v>
      </c>
    </row>
    <row r="30" spans="1:9" x14ac:dyDescent="0.35">
      <c r="A30" s="1351"/>
      <c r="B30" s="82">
        <v>53205050100000</v>
      </c>
      <c r="C30" s="360" t="s">
        <v>88</v>
      </c>
      <c r="D30" s="543">
        <v>225000</v>
      </c>
      <c r="E30" s="370"/>
      <c r="F30" s="371"/>
      <c r="G30" s="89">
        <f t="shared" si="3"/>
        <v>0</v>
      </c>
      <c r="H30" s="322">
        <f t="shared" si="4"/>
        <v>225000</v>
      </c>
      <c r="I30" s="544" t="s">
        <v>486</v>
      </c>
    </row>
    <row r="31" spans="1:9" x14ac:dyDescent="0.35">
      <c r="A31" s="1351"/>
      <c r="B31" s="82">
        <v>53205060100000</v>
      </c>
      <c r="C31" s="360" t="s">
        <v>89</v>
      </c>
      <c r="D31" s="543">
        <v>0</v>
      </c>
      <c r="E31" s="370"/>
      <c r="F31" s="371"/>
      <c r="G31" s="89">
        <f t="shared" si="3"/>
        <v>0</v>
      </c>
      <c r="H31" s="322">
        <f t="shared" si="4"/>
        <v>0</v>
      </c>
      <c r="I31" s="544"/>
    </row>
    <row r="32" spans="1:9" x14ac:dyDescent="0.35">
      <c r="A32" s="1351"/>
      <c r="B32" s="82">
        <v>53205070100000</v>
      </c>
      <c r="C32" s="360" t="s">
        <v>90</v>
      </c>
      <c r="D32" s="543">
        <v>667500</v>
      </c>
      <c r="E32" s="370"/>
      <c r="F32" s="371"/>
      <c r="G32" s="89">
        <f t="shared" si="3"/>
        <v>0</v>
      </c>
      <c r="H32" s="322">
        <f t="shared" si="4"/>
        <v>667500</v>
      </c>
      <c r="I32" s="544" t="s">
        <v>390</v>
      </c>
    </row>
    <row r="33" spans="1:9" x14ac:dyDescent="0.35">
      <c r="A33" s="1351"/>
      <c r="B33" s="82">
        <v>53208010100000</v>
      </c>
      <c r="C33" s="360" t="s">
        <v>91</v>
      </c>
      <c r="D33" s="543">
        <v>10330000</v>
      </c>
      <c r="E33" s="370"/>
      <c r="F33" s="371"/>
      <c r="G33" s="89">
        <f t="shared" si="3"/>
        <v>0</v>
      </c>
      <c r="H33" s="322">
        <f t="shared" si="4"/>
        <v>10330000</v>
      </c>
      <c r="I33" s="544" t="s">
        <v>488</v>
      </c>
    </row>
    <row r="34" spans="1:9" x14ac:dyDescent="0.35">
      <c r="A34" s="1351"/>
      <c r="B34" s="82">
        <v>53208070100001</v>
      </c>
      <c r="C34" s="360" t="s">
        <v>92</v>
      </c>
      <c r="D34" s="543">
        <v>0</v>
      </c>
      <c r="E34" s="370"/>
      <c r="F34" s="371"/>
      <c r="G34" s="89">
        <f t="shared" si="3"/>
        <v>0</v>
      </c>
      <c r="H34" s="322">
        <f t="shared" si="4"/>
        <v>0</v>
      </c>
      <c r="I34" s="544"/>
    </row>
    <row r="35" spans="1:9" x14ac:dyDescent="0.35">
      <c r="A35" s="1351"/>
      <c r="B35" s="82">
        <v>53208100100001</v>
      </c>
      <c r="C35" s="360" t="s">
        <v>93</v>
      </c>
      <c r="D35" s="543">
        <v>0</v>
      </c>
      <c r="E35" s="370"/>
      <c r="F35" s="371"/>
      <c r="G35" s="89">
        <f t="shared" si="3"/>
        <v>0</v>
      </c>
      <c r="H35" s="322">
        <f t="shared" si="4"/>
        <v>0</v>
      </c>
      <c r="I35" s="544"/>
    </row>
    <row r="36" spans="1:9" x14ac:dyDescent="0.35">
      <c r="A36" s="1351"/>
      <c r="B36" s="82">
        <v>53211030000000</v>
      </c>
      <c r="C36" s="360" t="s">
        <v>94</v>
      </c>
      <c r="D36" s="543">
        <v>2840000</v>
      </c>
      <c r="E36" s="370"/>
      <c r="F36" s="371"/>
      <c r="G36" s="89">
        <f t="shared" si="3"/>
        <v>0</v>
      </c>
      <c r="H36" s="322">
        <f t="shared" si="4"/>
        <v>2840000</v>
      </c>
      <c r="I36" s="544" t="s">
        <v>391</v>
      </c>
    </row>
    <row r="37" spans="1:9" x14ac:dyDescent="0.35">
      <c r="A37" s="1351"/>
      <c r="B37" s="82">
        <v>53212020100000</v>
      </c>
      <c r="C37" s="357" t="s">
        <v>95</v>
      </c>
      <c r="D37" s="543">
        <v>500000</v>
      </c>
      <c r="E37" s="370"/>
      <c r="F37" s="371"/>
      <c r="G37" s="89">
        <f t="shared" si="3"/>
        <v>0</v>
      </c>
      <c r="H37" s="322">
        <f t="shared" si="4"/>
        <v>500000</v>
      </c>
      <c r="I37" s="544" t="s">
        <v>392</v>
      </c>
    </row>
    <row r="38" spans="1:9" x14ac:dyDescent="0.35">
      <c r="A38" s="1351"/>
      <c r="B38" s="82">
        <v>53214020000000</v>
      </c>
      <c r="C38" s="357" t="s">
        <v>96</v>
      </c>
      <c r="D38" s="542">
        <v>0</v>
      </c>
      <c r="E38" s="368"/>
      <c r="F38" s="369"/>
      <c r="G38" s="89">
        <f t="shared" si="3"/>
        <v>0</v>
      </c>
      <c r="H38" s="322">
        <f t="shared" si="4"/>
        <v>0</v>
      </c>
      <c r="I38" s="544"/>
    </row>
    <row r="39" spans="1:9" x14ac:dyDescent="0.35">
      <c r="A39" s="1351"/>
      <c r="B39" s="74"/>
      <c r="C39" s="75" t="s">
        <v>97</v>
      </c>
      <c r="D39" s="363">
        <f>SUM(D40,D45,D48,D59,D69,D77)</f>
        <v>66756000</v>
      </c>
      <c r="E39" s="367"/>
      <c r="F39" s="367"/>
      <c r="G39" s="95">
        <f>SUM(G40,G45,G48,G59,G69,G77)</f>
        <v>0</v>
      </c>
      <c r="H39" s="324">
        <f>SUM(H40,H45,H48,H59,H69,H77)</f>
        <v>66756000</v>
      </c>
      <c r="I39" s="544"/>
    </row>
    <row r="40" spans="1:9" x14ac:dyDescent="0.35">
      <c r="A40" s="1351"/>
      <c r="B40" s="78"/>
      <c r="C40" s="79" t="s">
        <v>98</v>
      </c>
      <c r="D40" s="361">
        <f>SUM(D41:D44)</f>
        <v>0</v>
      </c>
      <c r="E40" s="90"/>
      <c r="F40" s="90"/>
      <c r="G40" s="91">
        <f>SUM(G41:G44)</f>
        <v>0</v>
      </c>
      <c r="H40" s="325">
        <f>SUM(H41:H44)</f>
        <v>0</v>
      </c>
      <c r="I40" s="544"/>
    </row>
    <row r="41" spans="1:9" x14ac:dyDescent="0.35">
      <c r="A41" s="1351"/>
      <c r="B41" s="82">
        <v>53202020100000</v>
      </c>
      <c r="C41" s="357" t="s">
        <v>99</v>
      </c>
      <c r="D41" s="543">
        <v>0</v>
      </c>
      <c r="E41" s="92"/>
      <c r="F41" s="93"/>
      <c r="G41" s="89">
        <f>E41*F41</f>
        <v>0</v>
      </c>
      <c r="H41" s="322">
        <f t="shared" ref="H41:H79" si="5">D41+G41</f>
        <v>0</v>
      </c>
      <c r="I41" s="544"/>
    </row>
    <row r="42" spans="1:9" x14ac:dyDescent="0.35">
      <c r="A42" s="1351"/>
      <c r="B42" s="82">
        <v>53202030000000</v>
      </c>
      <c r="C42" s="357" t="s">
        <v>100</v>
      </c>
      <c r="D42" s="542">
        <v>0</v>
      </c>
      <c r="E42" s="87"/>
      <c r="F42" s="88"/>
      <c r="G42" s="89">
        <f t="shared" ref="G42:G79" si="6">E42*F42</f>
        <v>0</v>
      </c>
      <c r="H42" s="322">
        <f t="shared" si="5"/>
        <v>0</v>
      </c>
      <c r="I42" s="544"/>
    </row>
    <row r="43" spans="1:9" x14ac:dyDescent="0.35">
      <c r="A43" s="1351"/>
      <c r="B43" s="82">
        <v>53211020000000</v>
      </c>
      <c r="C43" s="357" t="s">
        <v>101</v>
      </c>
      <c r="D43" s="543"/>
      <c r="E43" s="92"/>
      <c r="F43" s="93"/>
      <c r="G43" s="89">
        <f t="shared" si="6"/>
        <v>0</v>
      </c>
      <c r="H43" s="322">
        <f t="shared" si="5"/>
        <v>0</v>
      </c>
      <c r="I43" s="544"/>
    </row>
    <row r="44" spans="1:9" x14ac:dyDescent="0.35">
      <c r="A44" s="1351"/>
      <c r="B44" s="82">
        <v>53101004030000</v>
      </c>
      <c r="C44" s="357" t="s">
        <v>102</v>
      </c>
      <c r="D44" s="542">
        <v>0</v>
      </c>
      <c r="E44" s="87"/>
      <c r="F44" s="88"/>
      <c r="G44" s="89">
        <f t="shared" si="6"/>
        <v>0</v>
      </c>
      <c r="H44" s="322">
        <f t="shared" si="5"/>
        <v>0</v>
      </c>
      <c r="I44" s="544"/>
    </row>
    <row r="45" spans="1:9" x14ac:dyDescent="0.35">
      <c r="A45" s="1351"/>
      <c r="B45" s="78"/>
      <c r="C45" s="364" t="s">
        <v>103</v>
      </c>
      <c r="D45" s="365">
        <f>SUM(D46:D47)</f>
        <v>3456000</v>
      </c>
      <c r="E45" s="90"/>
      <c r="F45" s="90"/>
      <c r="G45" s="91">
        <f>SUM(G46:G47)</f>
        <v>0</v>
      </c>
      <c r="H45" s="325">
        <f>SUM(H46:H47)</f>
        <v>3456000</v>
      </c>
      <c r="I45" s="544"/>
    </row>
    <row r="46" spans="1:9" x14ac:dyDescent="0.35">
      <c r="A46" s="1351"/>
      <c r="B46" s="82">
        <v>53205080000000</v>
      </c>
      <c r="C46" s="360" t="s">
        <v>104</v>
      </c>
      <c r="D46" s="362">
        <v>3456000</v>
      </c>
      <c r="E46" s="87"/>
      <c r="F46" s="88"/>
      <c r="G46" s="89">
        <f t="shared" si="6"/>
        <v>0</v>
      </c>
      <c r="H46" s="322">
        <f t="shared" si="5"/>
        <v>3456000</v>
      </c>
      <c r="I46" s="544" t="s">
        <v>491</v>
      </c>
    </row>
    <row r="47" spans="1:9" x14ac:dyDescent="0.35">
      <c r="A47" s="1351"/>
      <c r="B47" s="82">
        <v>53205990000000</v>
      </c>
      <c r="C47" s="357" t="s">
        <v>105</v>
      </c>
      <c r="D47" s="543">
        <v>0</v>
      </c>
      <c r="E47" s="92"/>
      <c r="F47" s="93"/>
      <c r="G47" s="89">
        <f t="shared" si="6"/>
        <v>0</v>
      </c>
      <c r="H47" s="322">
        <f t="shared" si="5"/>
        <v>0</v>
      </c>
      <c r="I47" s="545"/>
    </row>
    <row r="48" spans="1:9" x14ac:dyDescent="0.35">
      <c r="A48" s="1351"/>
      <c r="B48" s="78"/>
      <c r="C48" s="364" t="s">
        <v>106</v>
      </c>
      <c r="D48" s="365">
        <f>SUM(D49:D58)</f>
        <v>39292500</v>
      </c>
      <c r="E48" s="90"/>
      <c r="F48" s="90"/>
      <c r="G48" s="80">
        <f>SUM(G49:G58)</f>
        <v>0</v>
      </c>
      <c r="H48" s="323">
        <f>SUM(H49:H58)</f>
        <v>39292500</v>
      </c>
      <c r="I48" s="544"/>
    </row>
    <row r="49" spans="1:9" x14ac:dyDescent="0.35">
      <c r="A49" s="1351"/>
      <c r="B49" s="82">
        <v>53203010200000</v>
      </c>
      <c r="C49" s="357" t="s">
        <v>107</v>
      </c>
      <c r="D49" s="542">
        <v>0</v>
      </c>
      <c r="E49" s="86"/>
      <c r="F49" s="88"/>
      <c r="G49" s="89">
        <f t="shared" si="6"/>
        <v>0</v>
      </c>
      <c r="H49" s="322">
        <f t="shared" si="5"/>
        <v>0</v>
      </c>
      <c r="I49" s="544"/>
    </row>
    <row r="50" spans="1:9" x14ac:dyDescent="0.35">
      <c r="A50" s="1351"/>
      <c r="B50" s="82">
        <v>53204010000000</v>
      </c>
      <c r="C50" s="357" t="s">
        <v>108</v>
      </c>
      <c r="D50" s="543">
        <v>235000</v>
      </c>
      <c r="E50" s="96"/>
      <c r="F50" s="93"/>
      <c r="G50" s="89">
        <f t="shared" si="6"/>
        <v>0</v>
      </c>
      <c r="H50" s="322">
        <f t="shared" si="5"/>
        <v>235000</v>
      </c>
      <c r="I50" s="544" t="s">
        <v>393</v>
      </c>
    </row>
    <row r="51" spans="1:9" x14ac:dyDescent="0.35">
      <c r="A51" s="1351"/>
      <c r="B51" s="82">
        <v>53204040200000</v>
      </c>
      <c r="C51" s="360" t="s">
        <v>109</v>
      </c>
      <c r="D51" s="543">
        <v>20000</v>
      </c>
      <c r="E51" s="96"/>
      <c r="F51" s="93"/>
      <c r="G51" s="89">
        <f t="shared" si="6"/>
        <v>0</v>
      </c>
      <c r="H51" s="322">
        <f t="shared" si="5"/>
        <v>20000</v>
      </c>
      <c r="I51" s="544" t="s">
        <v>394</v>
      </c>
    </row>
    <row r="52" spans="1:9" x14ac:dyDescent="0.35">
      <c r="A52" s="1351"/>
      <c r="B52" s="82">
        <v>53204060000000</v>
      </c>
      <c r="C52" s="360" t="s">
        <v>110</v>
      </c>
      <c r="D52" s="543">
        <v>0</v>
      </c>
      <c r="E52" s="96"/>
      <c r="F52" s="93"/>
      <c r="G52" s="89">
        <f t="shared" si="6"/>
        <v>0</v>
      </c>
      <c r="H52" s="322">
        <f t="shared" si="5"/>
        <v>0</v>
      </c>
      <c r="I52" s="544"/>
    </row>
    <row r="53" spans="1:9" x14ac:dyDescent="0.35">
      <c r="A53" s="1351"/>
      <c r="B53" s="82">
        <v>53204070000000</v>
      </c>
      <c r="C53" s="360" t="s">
        <v>111</v>
      </c>
      <c r="D53" s="543">
        <v>6201000</v>
      </c>
      <c r="E53" s="96"/>
      <c r="F53" s="93"/>
      <c r="G53" s="89">
        <f t="shared" si="6"/>
        <v>0</v>
      </c>
      <c r="H53" s="322">
        <f t="shared" si="5"/>
        <v>6201000</v>
      </c>
      <c r="I53" s="544" t="s">
        <v>543</v>
      </c>
    </row>
    <row r="54" spans="1:9" x14ac:dyDescent="0.35">
      <c r="A54" s="1351"/>
      <c r="B54" s="82">
        <v>53204080000000</v>
      </c>
      <c r="C54" s="360" t="s">
        <v>112</v>
      </c>
      <c r="D54" s="543">
        <v>80000</v>
      </c>
      <c r="E54" s="96"/>
      <c r="F54" s="93"/>
      <c r="G54" s="89">
        <f t="shared" si="6"/>
        <v>0</v>
      </c>
      <c r="H54" s="322">
        <f t="shared" si="5"/>
        <v>80000</v>
      </c>
      <c r="I54" s="544" t="s">
        <v>395</v>
      </c>
    </row>
    <row r="55" spans="1:9" x14ac:dyDescent="0.35">
      <c r="A55" s="1351"/>
      <c r="B55" s="82">
        <v>53214010000000</v>
      </c>
      <c r="C55" s="360" t="s">
        <v>113</v>
      </c>
      <c r="D55" s="542">
        <v>0</v>
      </c>
      <c r="E55" s="86"/>
      <c r="F55" s="88"/>
      <c r="G55" s="89">
        <f t="shared" si="6"/>
        <v>0</v>
      </c>
      <c r="H55" s="322">
        <f t="shared" si="5"/>
        <v>0</v>
      </c>
      <c r="I55" s="544"/>
    </row>
    <row r="56" spans="1:9" x14ac:dyDescent="0.35">
      <c r="A56" s="1351"/>
      <c r="B56" s="82">
        <v>53214040000000</v>
      </c>
      <c r="C56" s="357" t="s">
        <v>114</v>
      </c>
      <c r="D56" s="542">
        <v>1115000</v>
      </c>
      <c r="E56" s="86"/>
      <c r="F56" s="88"/>
      <c r="G56" s="89">
        <f t="shared" si="6"/>
        <v>0</v>
      </c>
      <c r="H56" s="322">
        <f t="shared" si="5"/>
        <v>1115000</v>
      </c>
      <c r="I56" s="544" t="s">
        <v>512</v>
      </c>
    </row>
    <row r="57" spans="1:9" x14ac:dyDescent="0.35">
      <c r="A57" s="1351"/>
      <c r="B57" s="82">
        <v>55201010100004</v>
      </c>
      <c r="C57" s="357" t="s">
        <v>115</v>
      </c>
      <c r="D57" s="542">
        <v>31641500</v>
      </c>
      <c r="E57" s="84">
        <f>+'I) Costo Desayuno'!E29</f>
        <v>4250</v>
      </c>
      <c r="F57" s="88"/>
      <c r="G57" s="89">
        <f>E57*F57</f>
        <v>0</v>
      </c>
      <c r="H57" s="322">
        <f t="shared" si="5"/>
        <v>31641500</v>
      </c>
      <c r="I57" s="544" t="s">
        <v>545</v>
      </c>
    </row>
    <row r="58" spans="1:9" x14ac:dyDescent="0.35">
      <c r="A58" s="1351"/>
      <c r="B58" s="82">
        <v>55201010100005</v>
      </c>
      <c r="C58" s="357" t="s">
        <v>116</v>
      </c>
      <c r="D58" s="542">
        <v>0</v>
      </c>
      <c r="E58" s="86"/>
      <c r="F58" s="88"/>
      <c r="G58" s="89">
        <f t="shared" si="6"/>
        <v>0</v>
      </c>
      <c r="H58" s="322">
        <f t="shared" si="5"/>
        <v>0</v>
      </c>
      <c r="I58" s="544"/>
    </row>
    <row r="59" spans="1:9" x14ac:dyDescent="0.35">
      <c r="A59" s="1351"/>
      <c r="B59" s="78"/>
      <c r="C59" s="364" t="s">
        <v>117</v>
      </c>
      <c r="D59" s="365">
        <f>SUM(D60:D68)</f>
        <v>11002500</v>
      </c>
      <c r="E59" s="90"/>
      <c r="F59" s="90"/>
      <c r="G59" s="80">
        <f>SUM(G60:G68)</f>
        <v>0</v>
      </c>
      <c r="H59" s="323">
        <f>SUM(H60:H68)</f>
        <v>11002500</v>
      </c>
      <c r="I59" s="544"/>
    </row>
    <row r="60" spans="1:9" x14ac:dyDescent="0.35">
      <c r="A60" s="1351"/>
      <c r="B60" s="82">
        <v>53207010000000</v>
      </c>
      <c r="C60" s="357" t="s">
        <v>118</v>
      </c>
      <c r="D60" s="543">
        <v>0</v>
      </c>
      <c r="E60" s="96"/>
      <c r="F60" s="93"/>
      <c r="G60" s="89">
        <f t="shared" si="6"/>
        <v>0</v>
      </c>
      <c r="H60" s="322">
        <f t="shared" si="5"/>
        <v>0</v>
      </c>
      <c r="I60" s="544"/>
    </row>
    <row r="61" spans="1:9" x14ac:dyDescent="0.35">
      <c r="A61" s="1351"/>
      <c r="B61" s="82">
        <v>53207020000000</v>
      </c>
      <c r="C61" s="357" t="s">
        <v>119</v>
      </c>
      <c r="D61" s="543">
        <v>180000</v>
      </c>
      <c r="E61" s="96"/>
      <c r="F61" s="93"/>
      <c r="G61" s="89">
        <f t="shared" si="6"/>
        <v>0</v>
      </c>
      <c r="H61" s="322">
        <f t="shared" si="5"/>
        <v>180000</v>
      </c>
      <c r="I61" s="545" t="s">
        <v>396</v>
      </c>
    </row>
    <row r="62" spans="1:9" x14ac:dyDescent="0.35">
      <c r="A62" s="1351"/>
      <c r="B62" s="82">
        <v>53208020000000</v>
      </c>
      <c r="C62" s="357" t="s">
        <v>120</v>
      </c>
      <c r="D62" s="543">
        <v>0</v>
      </c>
      <c r="E62" s="96"/>
      <c r="F62" s="93"/>
      <c r="G62" s="89">
        <f t="shared" si="6"/>
        <v>0</v>
      </c>
      <c r="H62" s="322">
        <f t="shared" si="5"/>
        <v>0</v>
      </c>
      <c r="I62" s="544"/>
    </row>
    <row r="63" spans="1:9" x14ac:dyDescent="0.35">
      <c r="A63" s="1351"/>
      <c r="B63" s="82">
        <v>53208990000000</v>
      </c>
      <c r="C63" s="357" t="s">
        <v>121</v>
      </c>
      <c r="D63" s="546">
        <v>5866000</v>
      </c>
      <c r="E63" s="403"/>
      <c r="F63" s="404"/>
      <c r="G63" s="405">
        <f t="shared" si="6"/>
        <v>0</v>
      </c>
      <c r="H63" s="406">
        <f t="shared" si="5"/>
        <v>5866000</v>
      </c>
      <c r="I63" s="545" t="s">
        <v>520</v>
      </c>
    </row>
    <row r="64" spans="1:9" x14ac:dyDescent="0.35">
      <c r="A64" s="1351"/>
      <c r="B64" s="82">
        <v>53209010000000</v>
      </c>
      <c r="C64" s="357" t="s">
        <v>489</v>
      </c>
      <c r="D64" s="543">
        <v>3510500</v>
      </c>
      <c r="E64" s="96"/>
      <c r="F64" s="93"/>
      <c r="G64" s="89">
        <f t="shared" si="6"/>
        <v>0</v>
      </c>
      <c r="H64" s="322">
        <f t="shared" si="5"/>
        <v>3510500</v>
      </c>
      <c r="I64" s="544" t="s">
        <v>490</v>
      </c>
    </row>
    <row r="65" spans="1:9" x14ac:dyDescent="0.35">
      <c r="A65" s="1351"/>
      <c r="B65" s="82">
        <v>53209040000000</v>
      </c>
      <c r="C65" s="357" t="s">
        <v>123</v>
      </c>
      <c r="D65" s="543">
        <v>0</v>
      </c>
      <c r="E65" s="96"/>
      <c r="F65" s="93"/>
      <c r="G65" s="89">
        <f t="shared" si="6"/>
        <v>0</v>
      </c>
      <c r="H65" s="322">
        <f t="shared" si="5"/>
        <v>0</v>
      </c>
      <c r="I65" s="544"/>
    </row>
    <row r="66" spans="1:9" x14ac:dyDescent="0.35">
      <c r="A66" s="1351"/>
      <c r="B66" s="82">
        <v>53209050000000</v>
      </c>
      <c r="C66" s="357" t="s">
        <v>124</v>
      </c>
      <c r="D66" s="543">
        <v>1446000</v>
      </c>
      <c r="E66" s="96"/>
      <c r="F66" s="93"/>
      <c r="G66" s="89">
        <f t="shared" si="6"/>
        <v>0</v>
      </c>
      <c r="H66" s="322">
        <f t="shared" si="5"/>
        <v>1446000</v>
      </c>
      <c r="I66" s="544" t="s">
        <v>492</v>
      </c>
    </row>
    <row r="67" spans="1:9" x14ac:dyDescent="0.35">
      <c r="A67" s="1351"/>
      <c r="B67" s="82">
        <v>53209990000000</v>
      </c>
      <c r="C67" s="357" t="s">
        <v>125</v>
      </c>
      <c r="D67" s="543">
        <v>0</v>
      </c>
      <c r="E67" s="96"/>
      <c r="F67" s="93"/>
      <c r="G67" s="89">
        <f t="shared" si="6"/>
        <v>0</v>
      </c>
      <c r="H67" s="322">
        <f t="shared" si="5"/>
        <v>0</v>
      </c>
      <c r="I67" s="544"/>
    </row>
    <row r="68" spans="1:9" x14ac:dyDescent="0.35">
      <c r="A68" s="1351"/>
      <c r="B68" s="82">
        <v>53210020100000</v>
      </c>
      <c r="C68" s="357" t="s">
        <v>126</v>
      </c>
      <c r="D68" s="543">
        <v>0</v>
      </c>
      <c r="E68" s="96"/>
      <c r="F68" s="93"/>
      <c r="G68" s="89">
        <f t="shared" si="6"/>
        <v>0</v>
      </c>
      <c r="H68" s="322">
        <f t="shared" si="5"/>
        <v>0</v>
      </c>
      <c r="I68" s="544"/>
    </row>
    <row r="69" spans="1:9" x14ac:dyDescent="0.35">
      <c r="A69" s="1351"/>
      <c r="B69" s="78"/>
      <c r="C69" s="364" t="s">
        <v>127</v>
      </c>
      <c r="D69" s="365">
        <f>SUM(D70:D76)</f>
        <v>6489500</v>
      </c>
      <c r="E69" s="90"/>
      <c r="F69" s="90"/>
      <c r="G69" s="80">
        <f>SUM(G70:G76)</f>
        <v>0</v>
      </c>
      <c r="H69" s="323">
        <f>SUM(H70:H76)</f>
        <v>6489500</v>
      </c>
      <c r="I69" s="544"/>
    </row>
    <row r="70" spans="1:9" x14ac:dyDescent="0.35">
      <c r="A70" s="1351"/>
      <c r="B70" s="82">
        <v>53206030000000</v>
      </c>
      <c r="C70" s="357" t="s">
        <v>128</v>
      </c>
      <c r="D70" s="543">
        <v>0</v>
      </c>
      <c r="E70" s="96"/>
      <c r="F70" s="93"/>
      <c r="G70" s="89">
        <f t="shared" si="6"/>
        <v>0</v>
      </c>
      <c r="H70" s="322">
        <f t="shared" si="5"/>
        <v>0</v>
      </c>
      <c r="I70" s="544"/>
    </row>
    <row r="71" spans="1:9" x14ac:dyDescent="0.35">
      <c r="A71" s="1351"/>
      <c r="B71" s="82">
        <v>53206040000000</v>
      </c>
      <c r="C71" s="357" t="s">
        <v>129</v>
      </c>
      <c r="D71" s="543">
        <v>0</v>
      </c>
      <c r="E71" s="96"/>
      <c r="F71" s="93"/>
      <c r="G71" s="89">
        <f t="shared" si="6"/>
        <v>0</v>
      </c>
      <c r="H71" s="322">
        <f t="shared" si="5"/>
        <v>0</v>
      </c>
      <c r="I71" s="544"/>
    </row>
    <row r="72" spans="1:9" x14ac:dyDescent="0.35">
      <c r="A72" s="1351"/>
      <c r="B72" s="82">
        <v>53206060000000</v>
      </c>
      <c r="C72" s="357" t="s">
        <v>130</v>
      </c>
      <c r="D72" s="543">
        <v>0</v>
      </c>
      <c r="E72" s="96"/>
      <c r="F72" s="93"/>
      <c r="G72" s="89">
        <f t="shared" si="6"/>
        <v>0</v>
      </c>
      <c r="H72" s="322">
        <f t="shared" si="5"/>
        <v>0</v>
      </c>
      <c r="I72" s="544"/>
    </row>
    <row r="73" spans="1:9" x14ac:dyDescent="0.35">
      <c r="A73" s="1351"/>
      <c r="B73" s="82">
        <v>53206070000000</v>
      </c>
      <c r="C73" s="357" t="s">
        <v>131</v>
      </c>
      <c r="D73" s="543">
        <v>0</v>
      </c>
      <c r="E73" s="96"/>
      <c r="F73" s="93"/>
      <c r="G73" s="89">
        <f t="shared" si="6"/>
        <v>0</v>
      </c>
      <c r="H73" s="322">
        <f t="shared" si="5"/>
        <v>0</v>
      </c>
      <c r="I73" s="544"/>
    </row>
    <row r="74" spans="1:9" x14ac:dyDescent="0.35">
      <c r="A74" s="1351"/>
      <c r="B74" s="82">
        <v>53206990000000</v>
      </c>
      <c r="C74" s="357" t="s">
        <v>132</v>
      </c>
      <c r="D74" s="543">
        <v>5489500</v>
      </c>
      <c r="E74" s="96"/>
      <c r="F74" s="93"/>
      <c r="G74" s="89">
        <f t="shared" si="6"/>
        <v>0</v>
      </c>
      <c r="H74" s="322">
        <f t="shared" si="5"/>
        <v>5489500</v>
      </c>
      <c r="I74" s="544" t="s">
        <v>539</v>
      </c>
    </row>
    <row r="75" spans="1:9" x14ac:dyDescent="0.35">
      <c r="A75" s="1351"/>
      <c r="B75" s="82">
        <v>53208030000000</v>
      </c>
      <c r="C75" s="357" t="s">
        <v>133</v>
      </c>
      <c r="D75" s="543">
        <v>0</v>
      </c>
      <c r="E75" s="96"/>
      <c r="F75" s="93"/>
      <c r="G75" s="89">
        <f t="shared" si="6"/>
        <v>0</v>
      </c>
      <c r="H75" s="322">
        <f t="shared" si="5"/>
        <v>0</v>
      </c>
      <c r="I75" s="544"/>
    </row>
    <row r="76" spans="1:9" x14ac:dyDescent="0.35">
      <c r="A76" s="1351"/>
      <c r="B76" s="82">
        <v>53212060000000</v>
      </c>
      <c r="C76" s="357" t="s">
        <v>134</v>
      </c>
      <c r="D76" s="542">
        <v>1000000</v>
      </c>
      <c r="E76" s="86"/>
      <c r="F76" s="88"/>
      <c r="G76" s="89">
        <f t="shared" si="6"/>
        <v>0</v>
      </c>
      <c r="H76" s="322">
        <f t="shared" si="5"/>
        <v>1000000</v>
      </c>
      <c r="I76" s="544" t="s">
        <v>494</v>
      </c>
    </row>
    <row r="77" spans="1:9" x14ac:dyDescent="0.35">
      <c r="A77" s="1351"/>
      <c r="B77" s="78"/>
      <c r="C77" s="79" t="s">
        <v>135</v>
      </c>
      <c r="D77" s="358">
        <f>SUM(D78:D79)</f>
        <v>6515500</v>
      </c>
      <c r="E77" s="90"/>
      <c r="F77" s="90"/>
      <c r="G77" s="80">
        <f>SUM(G78:G79)</f>
        <v>0</v>
      </c>
      <c r="H77" s="323">
        <f>SUM(H78:H79)</f>
        <v>6515500</v>
      </c>
      <c r="I77" s="544"/>
    </row>
    <row r="78" spans="1:9" x14ac:dyDescent="0.35">
      <c r="A78" s="1351"/>
      <c r="B78" s="82">
        <v>53210020500000</v>
      </c>
      <c r="C78" s="83" t="s">
        <v>136</v>
      </c>
      <c r="D78" s="542">
        <v>6515500</v>
      </c>
      <c r="E78" s="86"/>
      <c r="F78" s="88"/>
      <c r="G78" s="89">
        <f t="shared" si="6"/>
        <v>0</v>
      </c>
      <c r="H78" s="326">
        <f t="shared" si="5"/>
        <v>6515500</v>
      </c>
      <c r="I78" s="544" t="s">
        <v>493</v>
      </c>
    </row>
    <row r="79" spans="1:9" x14ac:dyDescent="0.35">
      <c r="A79" s="1351"/>
      <c r="B79" s="97">
        <v>53204999000000</v>
      </c>
      <c r="C79" s="83" t="s">
        <v>137</v>
      </c>
      <c r="D79" s="96"/>
      <c r="E79" s="96"/>
      <c r="F79" s="93"/>
      <c r="G79" s="89">
        <f t="shared" si="6"/>
        <v>0</v>
      </c>
      <c r="H79" s="326">
        <f t="shared" si="5"/>
        <v>0</v>
      </c>
      <c r="I79" s="544"/>
    </row>
    <row r="80" spans="1:9" x14ac:dyDescent="0.35">
      <c r="A80" s="1349"/>
      <c r="B80" s="98"/>
      <c r="C80" s="99" t="s">
        <v>13</v>
      </c>
      <c r="D80" s="100">
        <f>SUM(D11,D39)</f>
        <v>221227270.40000001</v>
      </c>
      <c r="E80" s="101"/>
      <c r="F80" s="101"/>
      <c r="G80" s="100">
        <f>SUM(G11,G39)</f>
        <v>0</v>
      </c>
      <c r="H80" s="327">
        <f>SUM(H11,H39)</f>
        <v>221227270.40000001</v>
      </c>
      <c r="I80" s="544"/>
    </row>
    <row r="81" spans="1:9" x14ac:dyDescent="0.35">
      <c r="A81" s="1372" t="s">
        <v>22</v>
      </c>
      <c r="B81" s="1373" t="s">
        <v>61</v>
      </c>
      <c r="C81" s="1368" t="s">
        <v>62</v>
      </c>
      <c r="D81" s="1369" t="s">
        <v>63</v>
      </c>
      <c r="E81" s="1367" t="s">
        <v>64</v>
      </c>
      <c r="F81" s="1367"/>
      <c r="G81" s="1367"/>
      <c r="H81" s="1365" t="str">
        <f>+H9</f>
        <v>COSTO DIRECTO ESTIMADO 2026</v>
      </c>
      <c r="I81" s="1346"/>
    </row>
    <row r="82" spans="1:9" ht="39" x14ac:dyDescent="0.35">
      <c r="A82" s="1353"/>
      <c r="B82" s="1363"/>
      <c r="C82" s="1368"/>
      <c r="D82" s="1369"/>
      <c r="E82" s="102" t="s">
        <v>66</v>
      </c>
      <c r="F82" s="103" t="s">
        <v>67</v>
      </c>
      <c r="G82" s="104" t="s">
        <v>68</v>
      </c>
      <c r="H82" s="1366"/>
      <c r="I82" s="1346"/>
    </row>
    <row r="83" spans="1:9" x14ac:dyDescent="0.35">
      <c r="A83" s="1350" t="str">
        <f>+'B) Reajuste Tarifa y Ocupación'!A22</f>
        <v>CABAÑAS TORRES DEL PAINE</v>
      </c>
      <c r="B83" s="105"/>
      <c r="C83" s="75" t="s">
        <v>69</v>
      </c>
      <c r="D83" s="76">
        <f>SUM(D84,D89,D91)</f>
        <v>18565000</v>
      </c>
      <c r="E83" s="77"/>
      <c r="F83" s="77"/>
      <c r="G83" s="76">
        <f>SUM(G84,G89,G91)</f>
        <v>0</v>
      </c>
      <c r="H83" s="318">
        <f>SUM(H84,H89,H91)</f>
        <v>18565000</v>
      </c>
      <c r="I83" s="317"/>
    </row>
    <row r="84" spans="1:9" x14ac:dyDescent="0.35">
      <c r="A84" s="1351"/>
      <c r="B84" s="78"/>
      <c r="C84" s="79" t="s">
        <v>70</v>
      </c>
      <c r="D84" s="80">
        <f>SUM(D85:D88)</f>
        <v>1234500</v>
      </c>
      <c r="E84" s="81"/>
      <c r="F84" s="81"/>
      <c r="G84" s="80">
        <f>SUM(G85:G88)</f>
        <v>0</v>
      </c>
      <c r="H84" s="319">
        <f>SUM(H85:H88)</f>
        <v>1234500</v>
      </c>
      <c r="I84" s="317"/>
    </row>
    <row r="85" spans="1:9" x14ac:dyDescent="0.35">
      <c r="A85" s="1351"/>
      <c r="B85" s="82">
        <v>53103040100000</v>
      </c>
      <c r="C85" s="83" t="s">
        <v>71</v>
      </c>
      <c r="D85" s="84">
        <f>+'F) Remuneraciones'!M39</f>
        <v>0</v>
      </c>
      <c r="E85" s="85"/>
      <c r="F85" s="85"/>
      <c r="G85" s="85"/>
      <c r="H85" s="320">
        <f>D85+G85</f>
        <v>0</v>
      </c>
      <c r="I85" s="317"/>
    </row>
    <row r="86" spans="1:9" x14ac:dyDescent="0.35">
      <c r="A86" s="1351"/>
      <c r="B86" s="82">
        <v>53103050000000</v>
      </c>
      <c r="C86" s="83" t="s">
        <v>72</v>
      </c>
      <c r="D86" s="86"/>
      <c r="E86" s="87"/>
      <c r="F86" s="88"/>
      <c r="G86" s="89">
        <f>E86*F86</f>
        <v>0</v>
      </c>
      <c r="H86" s="321">
        <f t="shared" ref="H86:H88" si="7">D86+G86</f>
        <v>0</v>
      </c>
      <c r="I86" s="317"/>
    </row>
    <row r="87" spans="1:9" x14ac:dyDescent="0.35">
      <c r="A87" s="1351"/>
      <c r="B87" s="82">
        <v>53103060000000</v>
      </c>
      <c r="C87" s="83" t="s">
        <v>73</v>
      </c>
      <c r="D87" s="86"/>
      <c r="E87" s="87"/>
      <c r="F87" s="88"/>
      <c r="G87" s="89">
        <f t="shared" ref="G87:G88" si="8">E87*F87</f>
        <v>0</v>
      </c>
      <c r="H87" s="322">
        <f t="shared" si="7"/>
        <v>0</v>
      </c>
      <c r="I87" s="317"/>
    </row>
    <row r="88" spans="1:9" x14ac:dyDescent="0.35">
      <c r="A88" s="1351"/>
      <c r="B88" s="82">
        <v>53103080010000</v>
      </c>
      <c r="C88" s="83" t="s">
        <v>495</v>
      </c>
      <c r="D88" s="86">
        <v>1234500</v>
      </c>
      <c r="E88" s="87"/>
      <c r="F88" s="88"/>
      <c r="G88" s="89">
        <f t="shared" si="8"/>
        <v>0</v>
      </c>
      <c r="H88" s="322">
        <f t="shared" si="7"/>
        <v>1234500</v>
      </c>
      <c r="I88" s="317" t="s">
        <v>496</v>
      </c>
    </row>
    <row r="89" spans="1:9" x14ac:dyDescent="0.35">
      <c r="A89" s="1351"/>
      <c r="B89" s="78"/>
      <c r="C89" s="79" t="s">
        <v>75</v>
      </c>
      <c r="D89" s="80">
        <f>SUM(D90)</f>
        <v>0</v>
      </c>
      <c r="E89" s="90"/>
      <c r="F89" s="90"/>
      <c r="G89" s="91">
        <f>SUM(G90:G90)</f>
        <v>0</v>
      </c>
      <c r="H89" s="323">
        <f>SUM(H90:H90)</f>
        <v>0</v>
      </c>
      <c r="I89" s="340"/>
    </row>
    <row r="90" spans="1:9" x14ac:dyDescent="0.35">
      <c r="A90" s="1351"/>
      <c r="B90" s="82">
        <v>55201010100001</v>
      </c>
      <c r="C90" s="83" t="s">
        <v>76</v>
      </c>
      <c r="D90" s="86"/>
      <c r="E90" s="87"/>
      <c r="F90" s="88"/>
      <c r="G90" s="89">
        <f t="shared" ref="G90" si="9">E90*F90</f>
        <v>0</v>
      </c>
      <c r="H90" s="322">
        <f>D90+G90</f>
        <v>0</v>
      </c>
      <c r="I90" s="340"/>
    </row>
    <row r="91" spans="1:9" x14ac:dyDescent="0.35">
      <c r="A91" s="1351"/>
      <c r="B91" s="78"/>
      <c r="C91" s="79" t="s">
        <v>77</v>
      </c>
      <c r="D91" s="361">
        <f>SUM(D92:D110)</f>
        <v>17330500</v>
      </c>
      <c r="E91" s="90"/>
      <c r="F91" s="90"/>
      <c r="G91" s="80">
        <f>SUM(G92:G110)</f>
        <v>0</v>
      </c>
      <c r="H91" s="323">
        <f>SUM(H92:H110)</f>
        <v>17330500</v>
      </c>
      <c r="I91" s="340"/>
    </row>
    <row r="92" spans="1:9" x14ac:dyDescent="0.35">
      <c r="A92" s="1351"/>
      <c r="B92" s="82">
        <v>53201010100000</v>
      </c>
      <c r="C92" s="357" t="s">
        <v>78</v>
      </c>
      <c r="D92" s="542">
        <v>0</v>
      </c>
      <c r="E92" s="87"/>
      <c r="F92" s="88"/>
      <c r="G92" s="89">
        <f t="shared" ref="G92:G110" si="10">E92*F92</f>
        <v>0</v>
      </c>
      <c r="H92" s="322">
        <f t="shared" ref="H92:H110" si="11">D92+G92</f>
        <v>0</v>
      </c>
      <c r="I92" s="545"/>
    </row>
    <row r="93" spans="1:9" x14ac:dyDescent="0.35">
      <c r="A93" s="1351"/>
      <c r="B93" s="82">
        <v>53202010100000</v>
      </c>
      <c r="C93" s="357" t="s">
        <v>79</v>
      </c>
      <c r="D93" s="542">
        <v>786000</v>
      </c>
      <c r="E93" s="87"/>
      <c r="F93" s="88"/>
      <c r="G93" s="89">
        <f t="shared" si="10"/>
        <v>0</v>
      </c>
      <c r="H93" s="322">
        <f t="shared" si="11"/>
        <v>786000</v>
      </c>
      <c r="I93" s="545" t="s">
        <v>498</v>
      </c>
    </row>
    <row r="94" spans="1:9" x14ac:dyDescent="0.35">
      <c r="A94" s="1351"/>
      <c r="B94" s="82">
        <v>53203010100000</v>
      </c>
      <c r="C94" s="357" t="s">
        <v>80</v>
      </c>
      <c r="D94" s="543">
        <v>2640000</v>
      </c>
      <c r="E94" s="92"/>
      <c r="F94" s="93"/>
      <c r="G94" s="89">
        <f t="shared" si="10"/>
        <v>0</v>
      </c>
      <c r="H94" s="322">
        <f t="shared" si="11"/>
        <v>2640000</v>
      </c>
      <c r="I94" s="545" t="s">
        <v>487</v>
      </c>
    </row>
    <row r="95" spans="1:9" x14ac:dyDescent="0.35">
      <c r="A95" s="1351"/>
      <c r="B95" s="82">
        <v>53203030000000</v>
      </c>
      <c r="C95" s="357" t="s">
        <v>81</v>
      </c>
      <c r="D95" s="543">
        <v>0</v>
      </c>
      <c r="E95" s="92"/>
      <c r="F95" s="93"/>
      <c r="G95" s="89">
        <f t="shared" si="10"/>
        <v>0</v>
      </c>
      <c r="H95" s="322">
        <f t="shared" si="11"/>
        <v>0</v>
      </c>
      <c r="I95" s="547"/>
    </row>
    <row r="96" spans="1:9" x14ac:dyDescent="0.35">
      <c r="A96" s="1351"/>
      <c r="B96" s="82">
        <v>53204030000000</v>
      </c>
      <c r="C96" s="357" t="s">
        <v>82</v>
      </c>
      <c r="D96" s="543">
        <v>374000</v>
      </c>
      <c r="E96" s="92"/>
      <c r="F96" s="93"/>
      <c r="G96" s="89">
        <f t="shared" si="10"/>
        <v>0</v>
      </c>
      <c r="H96" s="322">
        <f t="shared" si="11"/>
        <v>374000</v>
      </c>
      <c r="I96" s="545" t="s">
        <v>497</v>
      </c>
    </row>
    <row r="97" spans="1:9" x14ac:dyDescent="0.35">
      <c r="A97" s="1351"/>
      <c r="B97" s="82">
        <v>53204100100001</v>
      </c>
      <c r="C97" s="357" t="s">
        <v>83</v>
      </c>
      <c r="D97" s="543">
        <v>780000</v>
      </c>
      <c r="E97" s="92"/>
      <c r="F97" s="93"/>
      <c r="G97" s="89">
        <f t="shared" si="10"/>
        <v>0</v>
      </c>
      <c r="H97" s="322">
        <f t="shared" si="11"/>
        <v>780000</v>
      </c>
      <c r="I97" s="545" t="s">
        <v>461</v>
      </c>
    </row>
    <row r="98" spans="1:9" x14ac:dyDescent="0.35">
      <c r="A98" s="1351"/>
      <c r="B98" s="82">
        <v>53204130100000</v>
      </c>
      <c r="C98" s="357" t="s">
        <v>84</v>
      </c>
      <c r="D98" s="543">
        <v>0</v>
      </c>
      <c r="E98" s="92"/>
      <c r="F98" s="93"/>
      <c r="G98" s="89">
        <f t="shared" si="10"/>
        <v>0</v>
      </c>
      <c r="H98" s="322">
        <f t="shared" si="11"/>
        <v>0</v>
      </c>
      <c r="I98" s="547"/>
    </row>
    <row r="99" spans="1:9" x14ac:dyDescent="0.35">
      <c r="A99" s="1351"/>
      <c r="B99" s="82">
        <v>53205010100000</v>
      </c>
      <c r="C99" s="357" t="s">
        <v>85</v>
      </c>
      <c r="D99" s="543">
        <v>0</v>
      </c>
      <c r="E99" s="92"/>
      <c r="F99" s="93"/>
      <c r="G99" s="89">
        <f t="shared" si="10"/>
        <v>0</v>
      </c>
      <c r="H99" s="322">
        <f t="shared" si="11"/>
        <v>0</v>
      </c>
      <c r="I99" s="547"/>
    </row>
    <row r="100" spans="1:9" x14ac:dyDescent="0.35">
      <c r="A100" s="1351"/>
      <c r="B100" s="82">
        <v>53205020100000</v>
      </c>
      <c r="C100" s="360" t="s">
        <v>86</v>
      </c>
      <c r="D100" s="543">
        <v>0</v>
      </c>
      <c r="E100" s="92"/>
      <c r="F100" s="93"/>
      <c r="G100" s="89">
        <f t="shared" si="10"/>
        <v>0</v>
      </c>
      <c r="H100" s="322">
        <f t="shared" si="11"/>
        <v>0</v>
      </c>
      <c r="I100" s="547"/>
    </row>
    <row r="101" spans="1:9" x14ac:dyDescent="0.35">
      <c r="A101" s="1351"/>
      <c r="B101" s="82">
        <v>53205030100000</v>
      </c>
      <c r="C101" s="360" t="s">
        <v>87</v>
      </c>
      <c r="D101" s="543">
        <v>8938500</v>
      </c>
      <c r="E101" s="92"/>
      <c r="F101" s="93"/>
      <c r="G101" s="89">
        <f t="shared" si="10"/>
        <v>0</v>
      </c>
      <c r="H101" s="322">
        <f t="shared" si="11"/>
        <v>8938500</v>
      </c>
      <c r="I101" s="544" t="s">
        <v>516</v>
      </c>
    </row>
    <row r="102" spans="1:9" x14ac:dyDescent="0.35">
      <c r="A102" s="1351"/>
      <c r="B102" s="82">
        <v>53205050100000</v>
      </c>
      <c r="C102" s="360" t="s">
        <v>88</v>
      </c>
      <c r="D102" s="543">
        <v>0</v>
      </c>
      <c r="E102" s="92"/>
      <c r="F102" s="93"/>
      <c r="G102" s="89">
        <f t="shared" si="10"/>
        <v>0</v>
      </c>
      <c r="H102" s="322">
        <f t="shared" si="11"/>
        <v>0</v>
      </c>
      <c r="I102" s="547"/>
    </row>
    <row r="103" spans="1:9" x14ac:dyDescent="0.35">
      <c r="A103" s="1351"/>
      <c r="B103" s="82">
        <v>53205060100000</v>
      </c>
      <c r="C103" s="357" t="s">
        <v>89</v>
      </c>
      <c r="D103" s="543">
        <v>0</v>
      </c>
      <c r="E103" s="92"/>
      <c r="F103" s="93"/>
      <c r="G103" s="89">
        <f t="shared" si="10"/>
        <v>0</v>
      </c>
      <c r="H103" s="322">
        <f t="shared" si="11"/>
        <v>0</v>
      </c>
      <c r="I103" s="545"/>
    </row>
    <row r="104" spans="1:9" x14ac:dyDescent="0.35">
      <c r="A104" s="1351"/>
      <c r="B104" s="82">
        <v>53205070100000</v>
      </c>
      <c r="C104" s="357" t="s">
        <v>90</v>
      </c>
      <c r="D104" s="543">
        <v>0</v>
      </c>
      <c r="E104" s="92"/>
      <c r="F104" s="93"/>
      <c r="G104" s="89">
        <f t="shared" si="10"/>
        <v>0</v>
      </c>
      <c r="H104" s="322">
        <f t="shared" si="11"/>
        <v>0</v>
      </c>
      <c r="I104" s="547"/>
    </row>
    <row r="105" spans="1:9" x14ac:dyDescent="0.35">
      <c r="A105" s="1351"/>
      <c r="B105" s="82">
        <v>53208010100000</v>
      </c>
      <c r="C105" s="357" t="s">
        <v>91</v>
      </c>
      <c r="D105" s="543">
        <v>3012000</v>
      </c>
      <c r="E105" s="92"/>
      <c r="F105" s="93"/>
      <c r="G105" s="89">
        <f t="shared" si="10"/>
        <v>0</v>
      </c>
      <c r="H105" s="322">
        <f t="shared" si="11"/>
        <v>3012000</v>
      </c>
      <c r="I105" s="544" t="s">
        <v>541</v>
      </c>
    </row>
    <row r="106" spans="1:9" x14ac:dyDescent="0.35">
      <c r="A106" s="1351"/>
      <c r="B106" s="82">
        <v>53208070100001</v>
      </c>
      <c r="C106" s="357" t="s">
        <v>92</v>
      </c>
      <c r="D106" s="543">
        <v>0</v>
      </c>
      <c r="E106" s="92"/>
      <c r="F106" s="93"/>
      <c r="G106" s="89">
        <f t="shared" si="10"/>
        <v>0</v>
      </c>
      <c r="H106" s="322">
        <f t="shared" si="11"/>
        <v>0</v>
      </c>
      <c r="I106" s="547"/>
    </row>
    <row r="107" spans="1:9" x14ac:dyDescent="0.35">
      <c r="A107" s="1351"/>
      <c r="B107" s="82">
        <v>53208100100001</v>
      </c>
      <c r="C107" s="357" t="s">
        <v>93</v>
      </c>
      <c r="D107" s="543">
        <v>0</v>
      </c>
      <c r="E107" s="92"/>
      <c r="F107" s="93"/>
      <c r="G107" s="89">
        <f t="shared" si="10"/>
        <v>0</v>
      </c>
      <c r="H107" s="322">
        <f t="shared" si="11"/>
        <v>0</v>
      </c>
      <c r="I107" s="547"/>
    </row>
    <row r="108" spans="1:9" x14ac:dyDescent="0.35">
      <c r="A108" s="1351"/>
      <c r="B108" s="82">
        <v>53211030000000</v>
      </c>
      <c r="C108" s="357" t="s">
        <v>94</v>
      </c>
      <c r="D108" s="543">
        <v>0</v>
      </c>
      <c r="E108" s="92"/>
      <c r="F108" s="93"/>
      <c r="G108" s="89">
        <f t="shared" si="10"/>
        <v>0</v>
      </c>
      <c r="H108" s="322">
        <f t="shared" si="11"/>
        <v>0</v>
      </c>
      <c r="I108" s="547"/>
    </row>
    <row r="109" spans="1:9" x14ac:dyDescent="0.35">
      <c r="A109" s="1351"/>
      <c r="B109" s="82">
        <v>53212020100000</v>
      </c>
      <c r="C109" s="357" t="s">
        <v>95</v>
      </c>
      <c r="D109" s="543">
        <v>800000</v>
      </c>
      <c r="E109" s="92"/>
      <c r="F109" s="93"/>
      <c r="G109" s="89">
        <f t="shared" si="10"/>
        <v>0</v>
      </c>
      <c r="H109" s="322">
        <f t="shared" si="11"/>
        <v>800000</v>
      </c>
      <c r="I109" s="545" t="s">
        <v>392</v>
      </c>
    </row>
    <row r="110" spans="1:9" x14ac:dyDescent="0.35">
      <c r="A110" s="1351"/>
      <c r="B110" s="82">
        <v>53214020000000</v>
      </c>
      <c r="C110" s="357" t="s">
        <v>96</v>
      </c>
      <c r="D110" s="542">
        <v>0</v>
      </c>
      <c r="E110" s="87"/>
      <c r="F110" s="88"/>
      <c r="G110" s="89">
        <f t="shared" si="10"/>
        <v>0</v>
      </c>
      <c r="H110" s="322">
        <f t="shared" si="11"/>
        <v>0</v>
      </c>
      <c r="I110" s="545"/>
    </row>
    <row r="111" spans="1:9" x14ac:dyDescent="0.35">
      <c r="A111" s="1351"/>
      <c r="B111" s="105"/>
      <c r="C111" s="75" t="s">
        <v>97</v>
      </c>
      <c r="D111" s="363">
        <f>SUM(D112,D117,D120,D131,D141,D149)</f>
        <v>6642000</v>
      </c>
      <c r="E111" s="77"/>
      <c r="F111" s="77"/>
      <c r="G111" s="95">
        <f>SUM(G112,G117,G120,G131,G141,G149)</f>
        <v>0</v>
      </c>
      <c r="H111" s="324">
        <f>SUM(H112,H117,H120,H131,H141,H149)</f>
        <v>6642000</v>
      </c>
      <c r="I111" s="340"/>
    </row>
    <row r="112" spans="1:9" x14ac:dyDescent="0.35">
      <c r="A112" s="1351"/>
      <c r="B112" s="78"/>
      <c r="C112" s="79" t="s">
        <v>98</v>
      </c>
      <c r="D112" s="80">
        <f>SUM(D113:D116)</f>
        <v>0</v>
      </c>
      <c r="E112" s="90"/>
      <c r="F112" s="90"/>
      <c r="G112" s="91">
        <f>SUM(G113:G116)</f>
        <v>0</v>
      </c>
      <c r="H112" s="325">
        <f>SUM(H113:H116)</f>
        <v>0</v>
      </c>
      <c r="I112" s="340"/>
    </row>
    <row r="113" spans="1:9" x14ac:dyDescent="0.35">
      <c r="A113" s="1351"/>
      <c r="B113" s="82">
        <v>53202020100000</v>
      </c>
      <c r="C113" s="357" t="s">
        <v>99</v>
      </c>
      <c r="D113" s="359"/>
      <c r="E113" s="92"/>
      <c r="F113" s="93"/>
      <c r="G113" s="89">
        <f>E113*F113</f>
        <v>0</v>
      </c>
      <c r="H113" s="322">
        <f t="shared" ref="H113:H116" si="12">D113+G113</f>
        <v>0</v>
      </c>
      <c r="I113" s="340"/>
    </row>
    <row r="114" spans="1:9" x14ac:dyDescent="0.35">
      <c r="A114" s="1351"/>
      <c r="B114" s="82">
        <v>53202030000000</v>
      </c>
      <c r="C114" s="357" t="s">
        <v>100</v>
      </c>
      <c r="D114" s="362"/>
      <c r="E114" s="87"/>
      <c r="F114" s="88"/>
      <c r="G114" s="89">
        <f t="shared" ref="G114:G116" si="13">E114*F114</f>
        <v>0</v>
      </c>
      <c r="H114" s="322">
        <f t="shared" si="12"/>
        <v>0</v>
      </c>
      <c r="I114" s="340"/>
    </row>
    <row r="115" spans="1:9" x14ac:dyDescent="0.35">
      <c r="A115" s="1351"/>
      <c r="B115" s="82">
        <v>53211020000000</v>
      </c>
      <c r="C115" s="357" t="s">
        <v>101</v>
      </c>
      <c r="D115" s="359"/>
      <c r="E115" s="92"/>
      <c r="F115" s="93"/>
      <c r="G115" s="89">
        <f t="shared" si="13"/>
        <v>0</v>
      </c>
      <c r="H115" s="322">
        <f t="shared" si="12"/>
        <v>0</v>
      </c>
      <c r="I115" s="340"/>
    </row>
    <row r="116" spans="1:9" x14ac:dyDescent="0.35">
      <c r="A116" s="1351"/>
      <c r="B116" s="82">
        <v>53101004030000</v>
      </c>
      <c r="C116" s="357" t="s">
        <v>102</v>
      </c>
      <c r="D116" s="362"/>
      <c r="E116" s="87"/>
      <c r="F116" s="88"/>
      <c r="G116" s="89">
        <f t="shared" si="13"/>
        <v>0</v>
      </c>
      <c r="H116" s="322">
        <f t="shared" si="12"/>
        <v>0</v>
      </c>
      <c r="I116" s="340"/>
    </row>
    <row r="117" spans="1:9" x14ac:dyDescent="0.35">
      <c r="A117" s="1351"/>
      <c r="B117" s="78"/>
      <c r="C117" s="79" t="s">
        <v>103</v>
      </c>
      <c r="D117" s="358">
        <f>SUM(D118:D119)</f>
        <v>0</v>
      </c>
      <c r="E117" s="90"/>
      <c r="F117" s="90"/>
      <c r="G117" s="91">
        <f>SUM(G118:G119)</f>
        <v>0</v>
      </c>
      <c r="H117" s="325">
        <f>SUM(H118:H119)</f>
        <v>0</v>
      </c>
      <c r="I117" s="340"/>
    </row>
    <row r="118" spans="1:9" x14ac:dyDescent="0.35">
      <c r="A118" s="1351"/>
      <c r="B118" s="82">
        <v>53205080000000</v>
      </c>
      <c r="C118" s="94" t="s">
        <v>104</v>
      </c>
      <c r="D118" s="86"/>
      <c r="E118" s="87"/>
      <c r="F118" s="88"/>
      <c r="G118" s="89">
        <f t="shared" ref="G118:G119" si="14">E118*F118</f>
        <v>0</v>
      </c>
      <c r="H118" s="322">
        <f t="shared" ref="H118:H119" si="15">D118+G118</f>
        <v>0</v>
      </c>
      <c r="I118" s="340"/>
    </row>
    <row r="119" spans="1:9" x14ac:dyDescent="0.35">
      <c r="A119" s="1351"/>
      <c r="B119" s="82">
        <v>53205990000000</v>
      </c>
      <c r="C119" s="83" t="s">
        <v>105</v>
      </c>
      <c r="D119" s="96"/>
      <c r="E119" s="92"/>
      <c r="F119" s="93"/>
      <c r="G119" s="89">
        <f t="shared" si="14"/>
        <v>0</v>
      </c>
      <c r="H119" s="322">
        <f t="shared" si="15"/>
        <v>0</v>
      </c>
      <c r="I119" s="340"/>
    </row>
    <row r="120" spans="1:9" x14ac:dyDescent="0.35">
      <c r="A120" s="1351"/>
      <c r="B120" s="78"/>
      <c r="C120" s="79" t="s">
        <v>106</v>
      </c>
      <c r="D120" s="361">
        <f>SUM(D121:D130)</f>
        <v>588000</v>
      </c>
      <c r="E120" s="90"/>
      <c r="F120" s="90"/>
      <c r="G120" s="80">
        <f>SUM(G121:G130)</f>
        <v>0</v>
      </c>
      <c r="H120" s="323">
        <f>SUM(H121:H130)</f>
        <v>588000</v>
      </c>
      <c r="I120" s="340"/>
    </row>
    <row r="121" spans="1:9" x14ac:dyDescent="0.35">
      <c r="A121" s="1351"/>
      <c r="B121" s="82">
        <v>53203010200000</v>
      </c>
      <c r="C121" s="357" t="s">
        <v>107</v>
      </c>
      <c r="D121" s="362">
        <v>0</v>
      </c>
      <c r="E121" s="86"/>
      <c r="F121" s="88"/>
      <c r="G121" s="89">
        <f t="shared" ref="G121:G130" si="16">E121*F121</f>
        <v>0</v>
      </c>
      <c r="H121" s="322">
        <f t="shared" ref="H121:H130" si="17">D121+G121</f>
        <v>0</v>
      </c>
      <c r="I121" s="340"/>
    </row>
    <row r="122" spans="1:9" x14ac:dyDescent="0.35">
      <c r="A122" s="1351"/>
      <c r="B122" s="82">
        <v>53204010000000</v>
      </c>
      <c r="C122" s="357" t="s">
        <v>108</v>
      </c>
      <c r="D122" s="359">
        <v>0</v>
      </c>
      <c r="E122" s="96"/>
      <c r="F122" s="93"/>
      <c r="G122" s="89">
        <f t="shared" si="16"/>
        <v>0</v>
      </c>
      <c r="H122" s="322">
        <f t="shared" si="17"/>
        <v>0</v>
      </c>
      <c r="I122" s="340"/>
    </row>
    <row r="123" spans="1:9" x14ac:dyDescent="0.35">
      <c r="A123" s="1351"/>
      <c r="B123" s="82">
        <v>53204040200000</v>
      </c>
      <c r="C123" s="360" t="s">
        <v>109</v>
      </c>
      <c r="D123" s="359">
        <v>0</v>
      </c>
      <c r="E123" s="96"/>
      <c r="F123" s="93"/>
      <c r="G123" s="89">
        <f t="shared" si="16"/>
        <v>0</v>
      </c>
      <c r="H123" s="322">
        <f t="shared" si="17"/>
        <v>0</v>
      </c>
      <c r="I123" s="340"/>
    </row>
    <row r="124" spans="1:9" x14ac:dyDescent="0.35">
      <c r="A124" s="1351"/>
      <c r="B124" s="82">
        <v>53204060000000</v>
      </c>
      <c r="C124" s="360" t="s">
        <v>110</v>
      </c>
      <c r="D124" s="359">
        <v>0</v>
      </c>
      <c r="E124" s="96"/>
      <c r="F124" s="93"/>
      <c r="G124" s="89">
        <f t="shared" si="16"/>
        <v>0</v>
      </c>
      <c r="H124" s="322">
        <f t="shared" si="17"/>
        <v>0</v>
      </c>
      <c r="I124" s="340"/>
    </row>
    <row r="125" spans="1:9" x14ac:dyDescent="0.35">
      <c r="A125" s="1351"/>
      <c r="B125" s="82">
        <v>53204070000000</v>
      </c>
      <c r="C125" s="360" t="s">
        <v>111</v>
      </c>
      <c r="D125" s="543">
        <v>268000</v>
      </c>
      <c r="E125" s="96"/>
      <c r="F125" s="93"/>
      <c r="G125" s="89">
        <f t="shared" si="16"/>
        <v>0</v>
      </c>
      <c r="H125" s="322">
        <f t="shared" si="17"/>
        <v>268000</v>
      </c>
      <c r="I125" s="545" t="s">
        <v>398</v>
      </c>
    </row>
    <row r="126" spans="1:9" x14ac:dyDescent="0.35">
      <c r="A126" s="1351"/>
      <c r="B126" s="82">
        <v>53204080000000</v>
      </c>
      <c r="C126" s="360" t="s">
        <v>112</v>
      </c>
      <c r="D126" s="543">
        <v>320000</v>
      </c>
      <c r="E126" s="96"/>
      <c r="F126" s="93"/>
      <c r="G126" s="89">
        <f t="shared" si="16"/>
        <v>0</v>
      </c>
      <c r="H126" s="322">
        <f t="shared" si="17"/>
        <v>320000</v>
      </c>
      <c r="I126" s="545" t="s">
        <v>399</v>
      </c>
    </row>
    <row r="127" spans="1:9" x14ac:dyDescent="0.35">
      <c r="A127" s="1351"/>
      <c r="B127" s="82">
        <v>53214010000000</v>
      </c>
      <c r="C127" s="360" t="s">
        <v>113</v>
      </c>
      <c r="D127" s="362">
        <v>0</v>
      </c>
      <c r="E127" s="86"/>
      <c r="F127" s="88"/>
      <c r="G127" s="89">
        <f t="shared" si="16"/>
        <v>0</v>
      </c>
      <c r="H127" s="322">
        <f t="shared" si="17"/>
        <v>0</v>
      </c>
      <c r="I127" s="340"/>
    </row>
    <row r="128" spans="1:9" x14ac:dyDescent="0.35">
      <c r="A128" s="1351"/>
      <c r="B128" s="82">
        <v>53214040000000</v>
      </c>
      <c r="C128" s="357" t="s">
        <v>114</v>
      </c>
      <c r="D128" s="362">
        <v>0</v>
      </c>
      <c r="E128" s="86"/>
      <c r="F128" s="88"/>
      <c r="G128" s="89">
        <f t="shared" si="16"/>
        <v>0</v>
      </c>
      <c r="H128" s="322">
        <f t="shared" si="17"/>
        <v>0</v>
      </c>
      <c r="I128" s="340"/>
    </row>
    <row r="129" spans="1:9" x14ac:dyDescent="0.35">
      <c r="A129" s="1351"/>
      <c r="B129" s="82">
        <v>55201010100004</v>
      </c>
      <c r="C129" s="357" t="s">
        <v>115</v>
      </c>
      <c r="D129" s="362">
        <v>0</v>
      </c>
      <c r="E129" s="86"/>
      <c r="F129" s="88"/>
      <c r="G129" s="89">
        <f t="shared" si="16"/>
        <v>0</v>
      </c>
      <c r="H129" s="322">
        <f t="shared" si="17"/>
        <v>0</v>
      </c>
      <c r="I129" s="340"/>
    </row>
    <row r="130" spans="1:9" x14ac:dyDescent="0.35">
      <c r="A130" s="1351"/>
      <c r="B130" s="82">
        <v>55201010100005</v>
      </c>
      <c r="C130" s="357" t="s">
        <v>116</v>
      </c>
      <c r="D130" s="362">
        <v>0</v>
      </c>
      <c r="E130" s="86"/>
      <c r="F130" s="88"/>
      <c r="G130" s="89">
        <f t="shared" si="16"/>
        <v>0</v>
      </c>
      <c r="H130" s="322">
        <f t="shared" si="17"/>
        <v>0</v>
      </c>
      <c r="I130" s="340"/>
    </row>
    <row r="131" spans="1:9" x14ac:dyDescent="0.35">
      <c r="A131" s="1351"/>
      <c r="B131" s="78"/>
      <c r="C131" s="79" t="s">
        <v>117</v>
      </c>
      <c r="D131" s="358">
        <f>SUM(D132:D140)</f>
        <v>1270000</v>
      </c>
      <c r="E131" s="90"/>
      <c r="F131" s="90"/>
      <c r="G131" s="80">
        <f>SUM(G132:G140)</f>
        <v>0</v>
      </c>
      <c r="H131" s="323">
        <f>SUM(H132:H140)</f>
        <v>1270000</v>
      </c>
      <c r="I131" s="340"/>
    </row>
    <row r="132" spans="1:9" x14ac:dyDescent="0.35">
      <c r="A132" s="1351"/>
      <c r="B132" s="82">
        <v>53207010000000</v>
      </c>
      <c r="C132" s="357" t="s">
        <v>118</v>
      </c>
      <c r="D132" s="359">
        <v>0</v>
      </c>
      <c r="E132" s="96"/>
      <c r="F132" s="93"/>
      <c r="G132" s="89">
        <f t="shared" ref="G132:G140" si="18">E132*F132</f>
        <v>0</v>
      </c>
      <c r="H132" s="322">
        <f t="shared" ref="H132:H140" si="19">D132+G132</f>
        <v>0</v>
      </c>
      <c r="I132" s="340"/>
    </row>
    <row r="133" spans="1:9" x14ac:dyDescent="0.35">
      <c r="A133" s="1351"/>
      <c r="B133" s="82">
        <v>53207020000000</v>
      </c>
      <c r="C133" s="357" t="s">
        <v>119</v>
      </c>
      <c r="D133" s="359">
        <v>120000</v>
      </c>
      <c r="E133" s="96"/>
      <c r="F133" s="93"/>
      <c r="G133" s="89">
        <f t="shared" si="18"/>
        <v>0</v>
      </c>
      <c r="H133" s="322">
        <f t="shared" si="19"/>
        <v>120000</v>
      </c>
      <c r="I133" s="990" t="s">
        <v>499</v>
      </c>
    </row>
    <row r="134" spans="1:9" x14ac:dyDescent="0.35">
      <c r="A134" s="1351"/>
      <c r="B134" s="82">
        <v>53208020000000</v>
      </c>
      <c r="C134" s="357" t="s">
        <v>120</v>
      </c>
      <c r="D134" s="359">
        <v>0</v>
      </c>
      <c r="E134" s="96"/>
      <c r="F134" s="93"/>
      <c r="G134" s="89">
        <f t="shared" si="18"/>
        <v>0</v>
      </c>
      <c r="H134" s="322">
        <f t="shared" si="19"/>
        <v>0</v>
      </c>
      <c r="I134" s="340"/>
    </row>
    <row r="135" spans="1:9" x14ac:dyDescent="0.35">
      <c r="A135" s="1351"/>
      <c r="B135" s="82">
        <v>53208990000000</v>
      </c>
      <c r="C135" s="357" t="s">
        <v>121</v>
      </c>
      <c r="D135" s="543">
        <v>1150000</v>
      </c>
      <c r="E135" s="96"/>
      <c r="F135" s="93"/>
      <c r="G135" s="89">
        <f t="shared" si="18"/>
        <v>0</v>
      </c>
      <c r="H135" s="322">
        <f t="shared" si="19"/>
        <v>1150000</v>
      </c>
      <c r="I135" s="545" t="s">
        <v>521</v>
      </c>
    </row>
    <row r="136" spans="1:9" x14ac:dyDescent="0.35">
      <c r="A136" s="1351"/>
      <c r="B136" s="82">
        <v>53209010000000</v>
      </c>
      <c r="C136" s="357" t="s">
        <v>122</v>
      </c>
      <c r="D136" s="543">
        <v>0</v>
      </c>
      <c r="E136" s="96"/>
      <c r="F136" s="93"/>
      <c r="G136" s="89">
        <f t="shared" si="18"/>
        <v>0</v>
      </c>
      <c r="H136" s="322">
        <f t="shared" si="19"/>
        <v>0</v>
      </c>
      <c r="I136" s="340"/>
    </row>
    <row r="137" spans="1:9" x14ac:dyDescent="0.35">
      <c r="A137" s="1351"/>
      <c r="B137" s="82">
        <v>53209040000000</v>
      </c>
      <c r="C137" s="357" t="s">
        <v>123</v>
      </c>
      <c r="D137" s="543">
        <v>0</v>
      </c>
      <c r="E137" s="96"/>
      <c r="F137" s="93"/>
      <c r="G137" s="89">
        <f t="shared" si="18"/>
        <v>0</v>
      </c>
      <c r="H137" s="322">
        <f t="shared" si="19"/>
        <v>0</v>
      </c>
      <c r="I137" s="990"/>
    </row>
    <row r="138" spans="1:9" x14ac:dyDescent="0.35">
      <c r="A138" s="1351"/>
      <c r="B138" s="82">
        <v>53209050000000</v>
      </c>
      <c r="C138" s="357" t="s">
        <v>124</v>
      </c>
      <c r="D138" s="543">
        <v>0</v>
      </c>
      <c r="E138" s="96"/>
      <c r="F138" s="93"/>
      <c r="G138" s="89">
        <f t="shared" si="18"/>
        <v>0</v>
      </c>
      <c r="H138" s="322">
        <f t="shared" si="19"/>
        <v>0</v>
      </c>
      <c r="I138" s="340"/>
    </row>
    <row r="139" spans="1:9" x14ac:dyDescent="0.35">
      <c r="A139" s="1351"/>
      <c r="B139" s="82">
        <v>53209990000000</v>
      </c>
      <c r="C139" s="357" t="s">
        <v>125</v>
      </c>
      <c r="D139" s="546">
        <v>0</v>
      </c>
      <c r="E139" s="96"/>
      <c r="F139" s="93"/>
      <c r="G139" s="89">
        <f t="shared" si="18"/>
        <v>0</v>
      </c>
      <c r="H139" s="322">
        <f t="shared" si="19"/>
        <v>0</v>
      </c>
      <c r="I139" s="547"/>
    </row>
    <row r="140" spans="1:9" x14ac:dyDescent="0.35">
      <c r="A140" s="1351"/>
      <c r="B140" s="82">
        <v>53210020100000</v>
      </c>
      <c r="C140" s="357" t="s">
        <v>500</v>
      </c>
      <c r="D140" s="543">
        <v>0</v>
      </c>
      <c r="E140" s="96"/>
      <c r="F140" s="93"/>
      <c r="G140" s="89">
        <f t="shared" si="18"/>
        <v>0</v>
      </c>
      <c r="H140" s="322">
        <f t="shared" si="19"/>
        <v>0</v>
      </c>
      <c r="I140" s="544"/>
    </row>
    <row r="141" spans="1:9" x14ac:dyDescent="0.35">
      <c r="A141" s="1351"/>
      <c r="B141" s="78"/>
      <c r="C141" s="79" t="s">
        <v>127</v>
      </c>
      <c r="D141" s="358">
        <f>SUM(D142:D148)</f>
        <v>4280000</v>
      </c>
      <c r="E141" s="90"/>
      <c r="F141" s="90"/>
      <c r="G141" s="80">
        <f>SUM(G142:G148)</f>
        <v>0</v>
      </c>
      <c r="H141" s="323">
        <f>SUM(H142:H148)</f>
        <v>4280000</v>
      </c>
      <c r="I141" s="340"/>
    </row>
    <row r="142" spans="1:9" x14ac:dyDescent="0.35">
      <c r="A142" s="1351"/>
      <c r="B142" s="82">
        <v>53206030000000</v>
      </c>
      <c r="C142" s="83" t="s">
        <v>128</v>
      </c>
      <c r="D142" s="96"/>
      <c r="E142" s="96"/>
      <c r="F142" s="93"/>
      <c r="G142" s="89">
        <f t="shared" ref="G142:G148" si="20">E142*F142</f>
        <v>0</v>
      </c>
      <c r="H142" s="322">
        <f t="shared" ref="H142:H148" si="21">D142+G142</f>
        <v>0</v>
      </c>
      <c r="I142" s="601"/>
    </row>
    <row r="143" spans="1:9" x14ac:dyDescent="0.35">
      <c r="A143" s="1351"/>
      <c r="B143" s="82">
        <v>53206040000000</v>
      </c>
      <c r="C143" s="83" t="s">
        <v>129</v>
      </c>
      <c r="D143" s="96"/>
      <c r="E143" s="96"/>
      <c r="F143" s="93"/>
      <c r="G143" s="89">
        <f t="shared" si="20"/>
        <v>0</v>
      </c>
      <c r="H143" s="322">
        <f t="shared" si="21"/>
        <v>0</v>
      </c>
      <c r="I143" s="416"/>
    </row>
    <row r="144" spans="1:9" x14ac:dyDescent="0.35">
      <c r="A144" s="1351"/>
      <c r="B144" s="82">
        <v>53206060000000</v>
      </c>
      <c r="C144" s="83" t="s">
        <v>130</v>
      </c>
      <c r="D144" s="96"/>
      <c r="E144" s="96"/>
      <c r="F144" s="93"/>
      <c r="G144" s="89">
        <f t="shared" si="20"/>
        <v>0</v>
      </c>
      <c r="H144" s="322">
        <f t="shared" si="21"/>
        <v>0</v>
      </c>
      <c r="I144" s="340"/>
    </row>
    <row r="145" spans="1:9" x14ac:dyDescent="0.35">
      <c r="A145" s="1351"/>
      <c r="B145" s="82">
        <v>53206070000000</v>
      </c>
      <c r="C145" s="83" t="s">
        <v>131</v>
      </c>
      <c r="D145" s="96"/>
      <c r="E145" s="96"/>
      <c r="F145" s="93"/>
      <c r="G145" s="89">
        <f t="shared" si="20"/>
        <v>0</v>
      </c>
      <c r="H145" s="322">
        <f t="shared" si="21"/>
        <v>0</v>
      </c>
      <c r="I145" s="416"/>
    </row>
    <row r="146" spans="1:9" x14ac:dyDescent="0.35">
      <c r="A146" s="1351"/>
      <c r="B146" s="82">
        <v>53206990000000</v>
      </c>
      <c r="C146" s="83" t="s">
        <v>132</v>
      </c>
      <c r="D146" s="96">
        <v>1780000</v>
      </c>
      <c r="E146" s="96"/>
      <c r="F146" s="93"/>
      <c r="G146" s="89">
        <f t="shared" si="20"/>
        <v>0</v>
      </c>
      <c r="H146" s="322">
        <f t="shared" si="21"/>
        <v>1780000</v>
      </c>
      <c r="I146" s="990" t="s">
        <v>397</v>
      </c>
    </row>
    <row r="147" spans="1:9" x14ac:dyDescent="0.35">
      <c r="A147" s="1351"/>
      <c r="B147" s="82">
        <v>53208030000000</v>
      </c>
      <c r="C147" s="83" t="s">
        <v>133</v>
      </c>
      <c r="D147" s="96"/>
      <c r="E147" s="96"/>
      <c r="F147" s="93"/>
      <c r="G147" s="89">
        <f t="shared" si="20"/>
        <v>0</v>
      </c>
      <c r="H147" s="322">
        <f t="shared" si="21"/>
        <v>0</v>
      </c>
      <c r="I147" s="416"/>
    </row>
    <row r="148" spans="1:9" x14ac:dyDescent="0.35">
      <c r="A148" s="1351"/>
      <c r="B148" s="82">
        <v>53212060000000</v>
      </c>
      <c r="C148" s="83" t="s">
        <v>134</v>
      </c>
      <c r="D148" s="86">
        <v>2500000</v>
      </c>
      <c r="E148" s="86"/>
      <c r="F148" s="88"/>
      <c r="G148" s="89">
        <f t="shared" si="20"/>
        <v>0</v>
      </c>
      <c r="H148" s="322">
        <f t="shared" si="21"/>
        <v>2500000</v>
      </c>
      <c r="I148" s="545" t="s">
        <v>542</v>
      </c>
    </row>
    <row r="149" spans="1:9" x14ac:dyDescent="0.35">
      <c r="A149" s="1351"/>
      <c r="B149" s="78"/>
      <c r="C149" s="79" t="s">
        <v>135</v>
      </c>
      <c r="D149" s="80">
        <f>SUM(D150:D151)</f>
        <v>504000</v>
      </c>
      <c r="E149" s="90"/>
      <c r="F149" s="90"/>
      <c r="G149" s="80">
        <f>SUM(G150:G151)</f>
        <v>0</v>
      </c>
      <c r="H149" s="323">
        <f>SUM(H150:H151)</f>
        <v>504000</v>
      </c>
      <c r="I149" s="340"/>
    </row>
    <row r="150" spans="1:9" x14ac:dyDescent="0.35">
      <c r="A150" s="1351"/>
      <c r="B150" s="82">
        <v>53210020500000</v>
      </c>
      <c r="C150" s="83" t="s">
        <v>136</v>
      </c>
      <c r="D150" s="86">
        <v>504000</v>
      </c>
      <c r="E150" s="86"/>
      <c r="F150" s="88"/>
      <c r="G150" s="89">
        <f t="shared" ref="G150:G151" si="22">E150*F150</f>
        <v>0</v>
      </c>
      <c r="H150" s="326">
        <f t="shared" ref="H150:H151" si="23">D150+G150</f>
        <v>504000</v>
      </c>
      <c r="I150" s="990" t="s">
        <v>540</v>
      </c>
    </row>
    <row r="151" spans="1:9" x14ac:dyDescent="0.35">
      <c r="A151" s="1351"/>
      <c r="B151" s="97">
        <v>53204999000000</v>
      </c>
      <c r="C151" s="83" t="s">
        <v>137</v>
      </c>
      <c r="D151" s="96"/>
      <c r="E151" s="96"/>
      <c r="F151" s="93"/>
      <c r="G151" s="89">
        <f t="shared" si="22"/>
        <v>0</v>
      </c>
      <c r="H151" s="326">
        <f t="shared" si="23"/>
        <v>0</v>
      </c>
      <c r="I151" s="340"/>
    </row>
    <row r="152" spans="1:9" x14ac:dyDescent="0.35">
      <c r="A152" s="1349"/>
      <c r="B152" s="106"/>
      <c r="C152" s="107" t="s">
        <v>13</v>
      </c>
      <c r="D152" s="108">
        <f>SUM(D83,D111)</f>
        <v>25207000</v>
      </c>
      <c r="E152" s="109"/>
      <c r="F152" s="109"/>
      <c r="G152" s="108">
        <f>SUM(G83,G111)</f>
        <v>0</v>
      </c>
      <c r="H152" s="328">
        <f>SUM(H83,H111)</f>
        <v>25207000</v>
      </c>
      <c r="I152" s="340"/>
    </row>
    <row r="153" spans="1:9" x14ac:dyDescent="0.35">
      <c r="A153" s="1352" t="s">
        <v>22</v>
      </c>
      <c r="B153" s="1362" t="s">
        <v>61</v>
      </c>
      <c r="C153" s="1368" t="s">
        <v>62</v>
      </c>
      <c r="D153" s="1369" t="s">
        <v>63</v>
      </c>
      <c r="E153" s="1367" t="s">
        <v>64</v>
      </c>
      <c r="F153" s="1367"/>
      <c r="G153" s="1367"/>
      <c r="H153" s="1365" t="str">
        <f>+H81</f>
        <v>COSTO DIRECTO ESTIMADO 2026</v>
      </c>
      <c r="I153" s="1346"/>
    </row>
    <row r="154" spans="1:9" ht="39" x14ac:dyDescent="0.35">
      <c r="A154" s="1353"/>
      <c r="B154" s="1363"/>
      <c r="C154" s="1368"/>
      <c r="D154" s="1369"/>
      <c r="E154" s="102" t="s">
        <v>66</v>
      </c>
      <c r="F154" s="103" t="s">
        <v>67</v>
      </c>
      <c r="G154" s="104" t="s">
        <v>68</v>
      </c>
      <c r="H154" s="1366"/>
      <c r="I154" s="1346"/>
    </row>
    <row r="155" spans="1:9" x14ac:dyDescent="0.35">
      <c r="A155" s="1350" t="str">
        <f>+'B) Reajuste Tarifa y Ocupación'!A23</f>
        <v>C.H. GENTE DE MAR "FARO DUNGENESS"</v>
      </c>
      <c r="B155" s="105"/>
      <c r="C155" s="372" t="s">
        <v>69</v>
      </c>
      <c r="D155" s="397">
        <f>SUM(D156,D161,D163)</f>
        <v>107077610.40000001</v>
      </c>
      <c r="E155" s="383"/>
      <c r="F155" s="77"/>
      <c r="G155" s="76">
        <f>SUM(G156,G161,G163)</f>
        <v>0</v>
      </c>
      <c r="H155" s="329">
        <f>SUM(H156,H161,H163)</f>
        <v>107077610.40000001</v>
      </c>
      <c r="I155" s="317"/>
    </row>
    <row r="156" spans="1:9" x14ac:dyDescent="0.35">
      <c r="A156" s="1351"/>
      <c r="B156" s="78"/>
      <c r="C156" s="364" t="s">
        <v>70</v>
      </c>
      <c r="D156" s="365">
        <f>SUM(D157:D160)</f>
        <v>83669610.400000006</v>
      </c>
      <c r="E156" s="384"/>
      <c r="F156" s="81"/>
      <c r="G156" s="80">
        <f>SUM(G157:G160)</f>
        <v>0</v>
      </c>
      <c r="H156" s="330">
        <f>SUM(H157:H160)</f>
        <v>83669610.400000006</v>
      </c>
      <c r="I156" s="317"/>
    </row>
    <row r="157" spans="1:9" x14ac:dyDescent="0.35">
      <c r="A157" s="1351"/>
      <c r="B157" s="82">
        <v>53103040100000</v>
      </c>
      <c r="C157" s="357" t="s">
        <v>71</v>
      </c>
      <c r="D157" s="398">
        <f>+'F) Remuneraciones'!M53</f>
        <v>83669610.400000006</v>
      </c>
      <c r="E157" s="385"/>
      <c r="F157" s="85"/>
      <c r="G157" s="85"/>
      <c r="H157" s="331">
        <f>D157+G157</f>
        <v>83669610.400000006</v>
      </c>
      <c r="I157" s="356"/>
    </row>
    <row r="158" spans="1:9" x14ac:dyDescent="0.35">
      <c r="A158" s="1351"/>
      <c r="B158" s="82">
        <v>53103050000000</v>
      </c>
      <c r="C158" s="357" t="s">
        <v>72</v>
      </c>
      <c r="D158" s="362"/>
      <c r="E158" s="386"/>
      <c r="F158" s="88"/>
      <c r="G158" s="89">
        <f>E158*F158</f>
        <v>0</v>
      </c>
      <c r="H158" s="321">
        <f t="shared" ref="H158:H160" si="24">D158+G158</f>
        <v>0</v>
      </c>
      <c r="I158" s="317"/>
    </row>
    <row r="159" spans="1:9" x14ac:dyDescent="0.35">
      <c r="A159" s="1351"/>
      <c r="B159" s="82">
        <v>53103060000000</v>
      </c>
      <c r="C159" s="357" t="s">
        <v>73</v>
      </c>
      <c r="D159" s="362"/>
      <c r="E159" s="386"/>
      <c r="F159" s="88"/>
      <c r="G159" s="89">
        <f t="shared" ref="G159:G160" si="25">E159*F159</f>
        <v>0</v>
      </c>
      <c r="H159" s="322">
        <f t="shared" si="24"/>
        <v>0</v>
      </c>
      <c r="I159" s="317"/>
    </row>
    <row r="160" spans="1:9" x14ac:dyDescent="0.35">
      <c r="A160" s="1351"/>
      <c r="B160" s="82">
        <v>53103080010000</v>
      </c>
      <c r="C160" s="357" t="s">
        <v>74</v>
      </c>
      <c r="D160" s="362"/>
      <c r="E160" s="386"/>
      <c r="F160" s="88"/>
      <c r="G160" s="89">
        <f t="shared" si="25"/>
        <v>0</v>
      </c>
      <c r="H160" s="322">
        <f t="shared" si="24"/>
        <v>0</v>
      </c>
      <c r="I160" s="317"/>
    </row>
    <row r="161" spans="1:9" x14ac:dyDescent="0.35">
      <c r="A161" s="1351"/>
      <c r="B161" s="78"/>
      <c r="C161" s="364" t="s">
        <v>75</v>
      </c>
      <c r="D161" s="365">
        <f>SUM(D162)</f>
        <v>0</v>
      </c>
      <c r="E161" s="387"/>
      <c r="F161" s="90"/>
      <c r="G161" s="91">
        <f>SUM(G162:G162)</f>
        <v>0</v>
      </c>
      <c r="H161" s="323">
        <f>SUM(H162:H162)</f>
        <v>0</v>
      </c>
      <c r="I161" s="317"/>
    </row>
    <row r="162" spans="1:9" x14ac:dyDescent="0.35">
      <c r="A162" s="1351"/>
      <c r="B162" s="82">
        <v>55201010100001</v>
      </c>
      <c r="C162" s="357" t="s">
        <v>76</v>
      </c>
      <c r="D162" s="362"/>
      <c r="E162" s="386"/>
      <c r="F162" s="88"/>
      <c r="G162" s="89">
        <f t="shared" ref="G162" si="26">E162*F162</f>
        <v>0</v>
      </c>
      <c r="H162" s="322">
        <f>D162+G162</f>
        <v>0</v>
      </c>
      <c r="I162" s="317"/>
    </row>
    <row r="163" spans="1:9" x14ac:dyDescent="0.35">
      <c r="A163" s="1351"/>
      <c r="B163" s="78"/>
      <c r="C163" s="364" t="s">
        <v>77</v>
      </c>
      <c r="D163" s="365">
        <f>SUM(D164:D182)</f>
        <v>23408000</v>
      </c>
      <c r="E163" s="387"/>
      <c r="F163" s="90"/>
      <c r="G163" s="80">
        <f>SUM(G164:G182)</f>
        <v>0</v>
      </c>
      <c r="H163" s="323">
        <f>SUM(H164:H182)</f>
        <v>23408000</v>
      </c>
      <c r="I163" s="317"/>
    </row>
    <row r="164" spans="1:9" x14ac:dyDescent="0.35">
      <c r="A164" s="1351"/>
      <c r="B164" s="82">
        <v>53201010100000</v>
      </c>
      <c r="C164" s="357" t="s">
        <v>78</v>
      </c>
      <c r="D164" s="362">
        <v>0</v>
      </c>
      <c r="E164" s="386"/>
      <c r="F164" s="88"/>
      <c r="G164" s="89">
        <f t="shared" ref="G164:G182" si="27">E164*F164</f>
        <v>0</v>
      </c>
      <c r="H164" s="322">
        <f t="shared" ref="H164:H182" si="28">D164+G164</f>
        <v>0</v>
      </c>
      <c r="I164" s="544"/>
    </row>
    <row r="165" spans="1:9" x14ac:dyDescent="0.35">
      <c r="A165" s="1351"/>
      <c r="B165" s="82">
        <v>53202010100000</v>
      </c>
      <c r="C165" s="357" t="s">
        <v>79</v>
      </c>
      <c r="D165" s="542">
        <v>2986000</v>
      </c>
      <c r="E165" s="386"/>
      <c r="F165" s="88"/>
      <c r="G165" s="89">
        <f t="shared" si="27"/>
        <v>0</v>
      </c>
      <c r="H165" s="322">
        <f t="shared" si="28"/>
        <v>2986000</v>
      </c>
      <c r="I165" s="544" t="s">
        <v>501</v>
      </c>
    </row>
    <row r="166" spans="1:9" x14ac:dyDescent="0.35">
      <c r="A166" s="1351"/>
      <c r="B166" s="82">
        <v>53203010100000</v>
      </c>
      <c r="C166" s="357" t="s">
        <v>80</v>
      </c>
      <c r="D166" s="543">
        <v>0</v>
      </c>
      <c r="E166" s="388"/>
      <c r="F166" s="93"/>
      <c r="G166" s="89">
        <f t="shared" si="27"/>
        <v>0</v>
      </c>
      <c r="H166" s="322">
        <f t="shared" si="28"/>
        <v>0</v>
      </c>
      <c r="I166" s="544"/>
    </row>
    <row r="167" spans="1:9" x14ac:dyDescent="0.35">
      <c r="A167" s="1351"/>
      <c r="B167" s="82">
        <v>53203030000000</v>
      </c>
      <c r="C167" s="357" t="s">
        <v>81</v>
      </c>
      <c r="D167" s="543">
        <v>0</v>
      </c>
      <c r="E167" s="388"/>
      <c r="F167" s="93"/>
      <c r="G167" s="89">
        <f t="shared" si="27"/>
        <v>0</v>
      </c>
      <c r="H167" s="322">
        <f t="shared" si="28"/>
        <v>0</v>
      </c>
      <c r="I167" s="544"/>
    </row>
    <row r="168" spans="1:9" x14ac:dyDescent="0.35">
      <c r="A168" s="1351"/>
      <c r="B168" s="82">
        <v>53204030000000</v>
      </c>
      <c r="C168" s="357" t="s">
        <v>82</v>
      </c>
      <c r="D168" s="543">
        <v>78000</v>
      </c>
      <c r="E168" s="388"/>
      <c r="F168" s="93"/>
      <c r="G168" s="89">
        <f t="shared" si="27"/>
        <v>0</v>
      </c>
      <c r="H168" s="322">
        <f t="shared" si="28"/>
        <v>78000</v>
      </c>
      <c r="I168" s="544" t="s">
        <v>502</v>
      </c>
    </row>
    <row r="169" spans="1:9" x14ac:dyDescent="0.35">
      <c r="A169" s="1351"/>
      <c r="B169" s="82">
        <v>53204100100001</v>
      </c>
      <c r="C169" s="357" t="s">
        <v>83</v>
      </c>
      <c r="D169" s="543">
        <v>650000</v>
      </c>
      <c r="E169" s="388"/>
      <c r="F169" s="93"/>
      <c r="G169" s="89">
        <f t="shared" si="27"/>
        <v>0</v>
      </c>
      <c r="H169" s="322">
        <f t="shared" si="28"/>
        <v>650000</v>
      </c>
      <c r="I169" s="544" t="s">
        <v>400</v>
      </c>
    </row>
    <row r="170" spans="1:9" x14ac:dyDescent="0.35">
      <c r="A170" s="1351"/>
      <c r="B170" s="82">
        <v>53204130100000</v>
      </c>
      <c r="C170" s="360" t="s">
        <v>84</v>
      </c>
      <c r="D170" s="543">
        <v>0</v>
      </c>
      <c r="E170" s="388"/>
      <c r="F170" s="93"/>
      <c r="G170" s="89">
        <f t="shared" si="27"/>
        <v>0</v>
      </c>
      <c r="H170" s="322">
        <f t="shared" si="28"/>
        <v>0</v>
      </c>
      <c r="I170" s="544"/>
    </row>
    <row r="171" spans="1:9" x14ac:dyDescent="0.35">
      <c r="A171" s="1351"/>
      <c r="B171" s="82">
        <v>53205010100000</v>
      </c>
      <c r="C171" s="360" t="s">
        <v>85</v>
      </c>
      <c r="D171" s="543">
        <v>3330500</v>
      </c>
      <c r="E171" s="388"/>
      <c r="F171" s="93"/>
      <c r="G171" s="89">
        <f t="shared" si="27"/>
        <v>0</v>
      </c>
      <c r="H171" s="322">
        <f t="shared" si="28"/>
        <v>3330500</v>
      </c>
      <c r="I171" s="544" t="s">
        <v>486</v>
      </c>
    </row>
    <row r="172" spans="1:9" x14ac:dyDescent="0.35">
      <c r="A172" s="1351"/>
      <c r="B172" s="82">
        <v>53205020100000</v>
      </c>
      <c r="C172" s="360" t="s">
        <v>86</v>
      </c>
      <c r="D172" s="543">
        <v>1985000</v>
      </c>
      <c r="E172" s="388"/>
      <c r="F172" s="93"/>
      <c r="G172" s="89">
        <f t="shared" si="27"/>
        <v>0</v>
      </c>
      <c r="H172" s="322">
        <f t="shared" si="28"/>
        <v>1985000</v>
      </c>
      <c r="I172" s="544" t="s">
        <v>486</v>
      </c>
    </row>
    <row r="173" spans="1:9" x14ac:dyDescent="0.35">
      <c r="A173" s="1351"/>
      <c r="B173" s="82">
        <v>53205030100000</v>
      </c>
      <c r="C173" s="360" t="s">
        <v>87</v>
      </c>
      <c r="D173" s="543">
        <v>4690500</v>
      </c>
      <c r="E173" s="388"/>
      <c r="F173" s="93"/>
      <c r="G173" s="89">
        <f t="shared" si="27"/>
        <v>0</v>
      </c>
      <c r="H173" s="322">
        <f t="shared" si="28"/>
        <v>4690500</v>
      </c>
      <c r="I173" s="544" t="s">
        <v>486</v>
      </c>
    </row>
    <row r="174" spans="1:9" x14ac:dyDescent="0.35">
      <c r="A174" s="1351"/>
      <c r="B174" s="82">
        <v>53205050100000</v>
      </c>
      <c r="C174" s="360" t="s">
        <v>88</v>
      </c>
      <c r="D174" s="543">
        <v>0</v>
      </c>
      <c r="E174" s="388"/>
      <c r="F174" s="93"/>
      <c r="G174" s="89">
        <f t="shared" si="27"/>
        <v>0</v>
      </c>
      <c r="H174" s="322">
        <f t="shared" si="28"/>
        <v>0</v>
      </c>
      <c r="I174" s="544"/>
    </row>
    <row r="175" spans="1:9" x14ac:dyDescent="0.35">
      <c r="A175" s="1351"/>
      <c r="B175" s="82">
        <v>53205060100000</v>
      </c>
      <c r="C175" s="360" t="s">
        <v>89</v>
      </c>
      <c r="D175" s="543">
        <v>0</v>
      </c>
      <c r="E175" s="388"/>
      <c r="F175" s="93"/>
      <c r="G175" s="89">
        <f t="shared" si="27"/>
        <v>0</v>
      </c>
      <c r="H175" s="322">
        <f t="shared" si="28"/>
        <v>0</v>
      </c>
      <c r="I175" s="544"/>
    </row>
    <row r="176" spans="1:9" x14ac:dyDescent="0.35">
      <c r="A176" s="1351"/>
      <c r="B176" s="82">
        <v>53205070100000</v>
      </c>
      <c r="C176" s="360" t="s">
        <v>90</v>
      </c>
      <c r="D176" s="543">
        <v>378000</v>
      </c>
      <c r="E176" s="388"/>
      <c r="F176" s="93"/>
      <c r="G176" s="89">
        <f t="shared" si="27"/>
        <v>0</v>
      </c>
      <c r="H176" s="322">
        <f t="shared" si="28"/>
        <v>378000</v>
      </c>
      <c r="I176" s="544" t="s">
        <v>401</v>
      </c>
    </row>
    <row r="177" spans="1:9" x14ac:dyDescent="0.35">
      <c r="A177" s="1351"/>
      <c r="B177" s="82">
        <v>53208010100000</v>
      </c>
      <c r="C177" s="360" t="s">
        <v>91</v>
      </c>
      <c r="D177" s="543">
        <v>8630000</v>
      </c>
      <c r="E177" s="388"/>
      <c r="F177" s="93"/>
      <c r="G177" s="89">
        <f t="shared" si="27"/>
        <v>0</v>
      </c>
      <c r="H177" s="322">
        <f t="shared" si="28"/>
        <v>8630000</v>
      </c>
      <c r="I177" s="544" t="s">
        <v>402</v>
      </c>
    </row>
    <row r="178" spans="1:9" x14ac:dyDescent="0.35">
      <c r="A178" s="1351"/>
      <c r="B178" s="82">
        <v>53208070100001</v>
      </c>
      <c r="C178" s="360" t="s">
        <v>92</v>
      </c>
      <c r="D178" s="543">
        <v>0</v>
      </c>
      <c r="E178" s="388"/>
      <c r="F178" s="93"/>
      <c r="G178" s="89">
        <f t="shared" si="27"/>
        <v>0</v>
      </c>
      <c r="H178" s="322">
        <f t="shared" si="28"/>
        <v>0</v>
      </c>
      <c r="I178" s="544"/>
    </row>
    <row r="179" spans="1:9" x14ac:dyDescent="0.35">
      <c r="A179" s="1351"/>
      <c r="B179" s="82">
        <v>53208100100001</v>
      </c>
      <c r="C179" s="357" t="s">
        <v>93</v>
      </c>
      <c r="D179" s="543">
        <v>0</v>
      </c>
      <c r="E179" s="388"/>
      <c r="F179" s="93"/>
      <c r="G179" s="89">
        <f t="shared" si="27"/>
        <v>0</v>
      </c>
      <c r="H179" s="322">
        <f t="shared" si="28"/>
        <v>0</v>
      </c>
      <c r="I179" s="544"/>
    </row>
    <row r="180" spans="1:9" x14ac:dyDescent="0.35">
      <c r="A180" s="1351"/>
      <c r="B180" s="82">
        <v>53211030000000</v>
      </c>
      <c r="C180" s="357" t="s">
        <v>94</v>
      </c>
      <c r="D180" s="543">
        <v>0</v>
      </c>
      <c r="E180" s="388"/>
      <c r="F180" s="93"/>
      <c r="G180" s="89">
        <f t="shared" si="27"/>
        <v>0</v>
      </c>
      <c r="H180" s="322">
        <f t="shared" si="28"/>
        <v>0</v>
      </c>
      <c r="I180" s="544"/>
    </row>
    <row r="181" spans="1:9" x14ac:dyDescent="0.35">
      <c r="A181" s="1351"/>
      <c r="B181" s="82">
        <v>53212020100000</v>
      </c>
      <c r="C181" s="357" t="s">
        <v>95</v>
      </c>
      <c r="D181" s="543">
        <v>680000</v>
      </c>
      <c r="E181" s="388"/>
      <c r="F181" s="93"/>
      <c r="G181" s="89">
        <f t="shared" si="27"/>
        <v>0</v>
      </c>
      <c r="H181" s="322">
        <f t="shared" si="28"/>
        <v>680000</v>
      </c>
      <c r="I181" s="544" t="s">
        <v>403</v>
      </c>
    </row>
    <row r="182" spans="1:9" x14ac:dyDescent="0.35">
      <c r="A182" s="1351"/>
      <c r="B182" s="82">
        <v>53214020000000</v>
      </c>
      <c r="C182" s="357" t="s">
        <v>96</v>
      </c>
      <c r="D182" s="542">
        <v>0</v>
      </c>
      <c r="E182" s="386"/>
      <c r="F182" s="88"/>
      <c r="G182" s="89">
        <f t="shared" si="27"/>
        <v>0</v>
      </c>
      <c r="H182" s="322">
        <f t="shared" si="28"/>
        <v>0</v>
      </c>
      <c r="I182" s="544"/>
    </row>
    <row r="183" spans="1:9" x14ac:dyDescent="0.35">
      <c r="A183" s="1351"/>
      <c r="B183" s="105"/>
      <c r="C183" s="372" t="s">
        <v>97</v>
      </c>
      <c r="D183" s="399">
        <f>SUM(D184,D189,D192,D203,D213,D221)</f>
        <v>17244500</v>
      </c>
      <c r="E183" s="383"/>
      <c r="F183" s="77"/>
      <c r="G183" s="95">
        <f>SUM(G184,G189,G192,G203,G213,G221)</f>
        <v>0</v>
      </c>
      <c r="H183" s="324">
        <f>SUM(H184,H189,H192,H203,H213,H221)</f>
        <v>17244500</v>
      </c>
      <c r="I183" s="317"/>
    </row>
    <row r="184" spans="1:9" x14ac:dyDescent="0.35">
      <c r="A184" s="1351"/>
      <c r="B184" s="78"/>
      <c r="C184" s="364" t="s">
        <v>98</v>
      </c>
      <c r="D184" s="365">
        <f>SUM(D185:D188)</f>
        <v>617500</v>
      </c>
      <c r="E184" s="387"/>
      <c r="F184" s="90"/>
      <c r="G184" s="91">
        <f>SUM(G185:G188)</f>
        <v>0</v>
      </c>
      <c r="H184" s="325">
        <f>SUM(H185:H188)</f>
        <v>617500</v>
      </c>
      <c r="I184" s="317"/>
    </row>
    <row r="185" spans="1:9" x14ac:dyDescent="0.35">
      <c r="A185" s="1351"/>
      <c r="B185" s="82">
        <v>53202020100000</v>
      </c>
      <c r="C185" s="357" t="s">
        <v>99</v>
      </c>
      <c r="D185" s="543">
        <v>512500</v>
      </c>
      <c r="E185" s="388"/>
      <c r="F185" s="93"/>
      <c r="G185" s="89">
        <f>E185*F185</f>
        <v>0</v>
      </c>
      <c r="H185" s="322">
        <f t="shared" ref="H185:H188" si="29">D185+G185</f>
        <v>512500</v>
      </c>
      <c r="I185" s="544" t="s">
        <v>504</v>
      </c>
    </row>
    <row r="186" spans="1:9" x14ac:dyDescent="0.35">
      <c r="A186" s="1351"/>
      <c r="B186" s="82">
        <v>53202030000000</v>
      </c>
      <c r="C186" s="357" t="s">
        <v>100</v>
      </c>
      <c r="D186" s="542">
        <v>105000</v>
      </c>
      <c r="E186" s="386"/>
      <c r="F186" s="88"/>
      <c r="G186" s="89">
        <f t="shared" ref="G186:G188" si="30">E186*F186</f>
        <v>0</v>
      </c>
      <c r="H186" s="322">
        <f t="shared" si="29"/>
        <v>105000</v>
      </c>
      <c r="I186" s="544" t="s">
        <v>503</v>
      </c>
    </row>
    <row r="187" spans="1:9" x14ac:dyDescent="0.35">
      <c r="A187" s="1351"/>
      <c r="B187" s="82">
        <v>53211020000000</v>
      </c>
      <c r="C187" s="357" t="s">
        <v>101</v>
      </c>
      <c r="D187" s="543">
        <v>0</v>
      </c>
      <c r="E187" s="388"/>
      <c r="F187" s="93"/>
      <c r="G187" s="89">
        <f t="shared" si="30"/>
        <v>0</v>
      </c>
      <c r="H187" s="322">
        <f t="shared" si="29"/>
        <v>0</v>
      </c>
      <c r="I187" s="317"/>
    </row>
    <row r="188" spans="1:9" x14ac:dyDescent="0.35">
      <c r="A188" s="1351"/>
      <c r="B188" s="82">
        <v>53101004030000</v>
      </c>
      <c r="C188" s="357" t="s">
        <v>102</v>
      </c>
      <c r="D188" s="542">
        <v>0</v>
      </c>
      <c r="E188" s="386"/>
      <c r="F188" s="88"/>
      <c r="G188" s="89">
        <f t="shared" si="30"/>
        <v>0</v>
      </c>
      <c r="H188" s="322">
        <f t="shared" si="29"/>
        <v>0</v>
      </c>
      <c r="I188" s="317"/>
    </row>
    <row r="189" spans="1:9" x14ac:dyDescent="0.35">
      <c r="A189" s="1351"/>
      <c r="B189" s="78"/>
      <c r="C189" s="364" t="s">
        <v>103</v>
      </c>
      <c r="D189" s="365">
        <f>SUM(D190:D191)</f>
        <v>1584000</v>
      </c>
      <c r="E189" s="387"/>
      <c r="F189" s="90"/>
      <c r="G189" s="91">
        <f>SUM(G190:G191)</f>
        <v>0</v>
      </c>
      <c r="H189" s="325">
        <f>SUM(H190:H191)</f>
        <v>1584000</v>
      </c>
      <c r="I189" s="317"/>
    </row>
    <row r="190" spans="1:9" x14ac:dyDescent="0.35">
      <c r="A190" s="1351"/>
      <c r="B190" s="82">
        <v>53205080000000</v>
      </c>
      <c r="C190" s="360" t="s">
        <v>104</v>
      </c>
      <c r="D190" s="362">
        <v>0</v>
      </c>
      <c r="E190" s="386"/>
      <c r="F190" s="88"/>
      <c r="G190" s="89">
        <f t="shared" ref="G190:G191" si="31">E190*F190</f>
        <v>0</v>
      </c>
      <c r="H190" s="322">
        <f t="shared" ref="H190:H191" si="32">D190+G190</f>
        <v>0</v>
      </c>
      <c r="I190" s="317"/>
    </row>
    <row r="191" spans="1:9" x14ac:dyDescent="0.35">
      <c r="A191" s="1351"/>
      <c r="B191" s="82">
        <v>53205990000000</v>
      </c>
      <c r="C191" s="360" t="s">
        <v>105</v>
      </c>
      <c r="D191" s="543">
        <v>1584000</v>
      </c>
      <c r="E191" s="388"/>
      <c r="F191" s="93"/>
      <c r="G191" s="89">
        <f t="shared" si="31"/>
        <v>0</v>
      </c>
      <c r="H191" s="322">
        <f t="shared" si="32"/>
        <v>1584000</v>
      </c>
      <c r="I191" s="544" t="s">
        <v>505</v>
      </c>
    </row>
    <row r="192" spans="1:9" x14ac:dyDescent="0.35">
      <c r="A192" s="1351"/>
      <c r="B192" s="78"/>
      <c r="C192" s="364" t="s">
        <v>106</v>
      </c>
      <c r="D192" s="365">
        <f>SUM(D193:D202)</f>
        <v>4494500</v>
      </c>
      <c r="E192" s="387"/>
      <c r="F192" s="90"/>
      <c r="G192" s="80">
        <f>SUM(G193:G202)</f>
        <v>0</v>
      </c>
      <c r="H192" s="323">
        <f>SUM(H193:H202)</f>
        <v>4494500</v>
      </c>
      <c r="I192" s="544"/>
    </row>
    <row r="193" spans="1:9" x14ac:dyDescent="0.35">
      <c r="A193" s="1351"/>
      <c r="B193" s="82">
        <v>53203010200000</v>
      </c>
      <c r="C193" s="357" t="s">
        <v>107</v>
      </c>
      <c r="D193" s="362">
        <v>0</v>
      </c>
      <c r="E193" s="389"/>
      <c r="F193" s="88"/>
      <c r="G193" s="89">
        <f t="shared" ref="G193:G202" si="33">E193*F193</f>
        <v>0</v>
      </c>
      <c r="H193" s="322">
        <f t="shared" ref="H193:H202" si="34">D193+G193</f>
        <v>0</v>
      </c>
      <c r="I193" s="544"/>
    </row>
    <row r="194" spans="1:9" x14ac:dyDescent="0.35">
      <c r="A194" s="1351"/>
      <c r="B194" s="82">
        <v>53204010000000</v>
      </c>
      <c r="C194" s="357" t="s">
        <v>108</v>
      </c>
      <c r="D194" s="543">
        <v>252000</v>
      </c>
      <c r="E194" s="390"/>
      <c r="F194" s="93"/>
      <c r="G194" s="89">
        <f t="shared" si="33"/>
        <v>0</v>
      </c>
      <c r="H194" s="322">
        <f t="shared" si="34"/>
        <v>252000</v>
      </c>
      <c r="I194" s="544" t="s">
        <v>404</v>
      </c>
    </row>
    <row r="195" spans="1:9" x14ac:dyDescent="0.35">
      <c r="A195" s="1351"/>
      <c r="B195" s="82">
        <v>53204040200000</v>
      </c>
      <c r="C195" s="360" t="s">
        <v>109</v>
      </c>
      <c r="D195" s="543">
        <v>20000</v>
      </c>
      <c r="E195" s="390"/>
      <c r="F195" s="93"/>
      <c r="G195" s="89">
        <f t="shared" si="33"/>
        <v>0</v>
      </c>
      <c r="H195" s="322">
        <f t="shared" si="34"/>
        <v>20000</v>
      </c>
      <c r="I195" s="544" t="s">
        <v>405</v>
      </c>
    </row>
    <row r="196" spans="1:9" x14ac:dyDescent="0.35">
      <c r="A196" s="1351"/>
      <c r="B196" s="82">
        <v>53204060000000</v>
      </c>
      <c r="C196" s="360" t="s">
        <v>110</v>
      </c>
      <c r="D196" s="543">
        <v>0</v>
      </c>
      <c r="E196" s="390"/>
      <c r="F196" s="93"/>
      <c r="G196" s="89">
        <f t="shared" si="33"/>
        <v>0</v>
      </c>
      <c r="H196" s="322">
        <f t="shared" si="34"/>
        <v>0</v>
      </c>
      <c r="I196" s="544"/>
    </row>
    <row r="197" spans="1:9" x14ac:dyDescent="0.35">
      <c r="A197" s="1351"/>
      <c r="B197" s="82">
        <v>53204070000000</v>
      </c>
      <c r="C197" s="360" t="s">
        <v>111</v>
      </c>
      <c r="D197" s="543">
        <v>2987500</v>
      </c>
      <c r="E197" s="390"/>
      <c r="F197" s="93"/>
      <c r="G197" s="89">
        <f t="shared" si="33"/>
        <v>0</v>
      </c>
      <c r="H197" s="322">
        <f t="shared" si="34"/>
        <v>2987500</v>
      </c>
      <c r="I197" s="545" t="s">
        <v>406</v>
      </c>
    </row>
    <row r="198" spans="1:9" x14ac:dyDescent="0.35">
      <c r="A198" s="1351"/>
      <c r="B198" s="82">
        <v>53204080000000</v>
      </c>
      <c r="C198" s="360" t="s">
        <v>112</v>
      </c>
      <c r="D198" s="543">
        <v>120000</v>
      </c>
      <c r="E198" s="390"/>
      <c r="F198" s="93"/>
      <c r="G198" s="89">
        <f t="shared" si="33"/>
        <v>0</v>
      </c>
      <c r="H198" s="322">
        <f t="shared" si="34"/>
        <v>120000</v>
      </c>
      <c r="I198" s="544" t="s">
        <v>407</v>
      </c>
    </row>
    <row r="199" spans="1:9" x14ac:dyDescent="0.35">
      <c r="A199" s="1351"/>
      <c r="B199" s="110">
        <v>53214010000000</v>
      </c>
      <c r="C199" s="373" t="s">
        <v>113</v>
      </c>
      <c r="D199" s="362">
        <v>0</v>
      </c>
      <c r="E199" s="391"/>
      <c r="F199" s="111"/>
      <c r="G199" s="112">
        <f t="shared" si="33"/>
        <v>0</v>
      </c>
      <c r="H199" s="332">
        <f t="shared" si="34"/>
        <v>0</v>
      </c>
      <c r="I199" s="544"/>
    </row>
    <row r="200" spans="1:9" x14ac:dyDescent="0.35">
      <c r="A200" s="1351"/>
      <c r="B200" s="110">
        <v>53214040000000</v>
      </c>
      <c r="C200" s="374" t="s">
        <v>114</v>
      </c>
      <c r="D200" s="362">
        <v>1115000</v>
      </c>
      <c r="E200" s="389"/>
      <c r="F200" s="88"/>
      <c r="G200" s="113">
        <f t="shared" si="33"/>
        <v>0</v>
      </c>
      <c r="H200" s="332">
        <f t="shared" si="34"/>
        <v>1115000</v>
      </c>
      <c r="I200" s="544" t="s">
        <v>512</v>
      </c>
    </row>
    <row r="201" spans="1:9" x14ac:dyDescent="0.35">
      <c r="A201" s="1351"/>
      <c r="B201" s="110">
        <v>55201010100004</v>
      </c>
      <c r="C201" s="374" t="s">
        <v>115</v>
      </c>
      <c r="D201" s="362">
        <v>0</v>
      </c>
      <c r="E201" s="392"/>
      <c r="F201" s="88"/>
      <c r="G201" s="113">
        <f>E201*F201</f>
        <v>0</v>
      </c>
      <c r="H201" s="332">
        <f t="shared" si="34"/>
        <v>0</v>
      </c>
      <c r="I201" s="544"/>
    </row>
    <row r="202" spans="1:9" x14ac:dyDescent="0.35">
      <c r="A202" s="1351"/>
      <c r="B202" s="110">
        <v>55201010100005</v>
      </c>
      <c r="C202" s="374" t="s">
        <v>116</v>
      </c>
      <c r="D202" s="362">
        <v>0</v>
      </c>
      <c r="E202" s="389"/>
      <c r="F202" s="88"/>
      <c r="G202" s="113">
        <f t="shared" si="33"/>
        <v>0</v>
      </c>
      <c r="H202" s="332">
        <f t="shared" si="34"/>
        <v>0</v>
      </c>
      <c r="I202" s="544"/>
    </row>
    <row r="203" spans="1:9" x14ac:dyDescent="0.35">
      <c r="A203" s="1351"/>
      <c r="B203" s="114"/>
      <c r="C203" s="375" t="s">
        <v>117</v>
      </c>
      <c r="D203" s="365">
        <f>SUM(D204:D212)</f>
        <v>3621500</v>
      </c>
      <c r="E203" s="387"/>
      <c r="F203" s="90"/>
      <c r="G203" s="115">
        <f>SUM(G204:G212)</f>
        <v>0</v>
      </c>
      <c r="H203" s="323">
        <f>SUM(H204:H212)</f>
        <v>3621500</v>
      </c>
      <c r="I203" s="544"/>
    </row>
    <row r="204" spans="1:9" x14ac:dyDescent="0.35">
      <c r="A204" s="1351"/>
      <c r="B204" s="110">
        <v>53207010000000</v>
      </c>
      <c r="C204" s="374" t="s">
        <v>118</v>
      </c>
      <c r="D204" s="543">
        <v>0</v>
      </c>
      <c r="E204" s="390"/>
      <c r="F204" s="93"/>
      <c r="G204" s="113">
        <f t="shared" ref="G204:G212" si="35">E204*F204</f>
        <v>0</v>
      </c>
      <c r="H204" s="332">
        <f t="shared" ref="H204:H212" si="36">D204+G204</f>
        <v>0</v>
      </c>
      <c r="I204" s="544"/>
    </row>
    <row r="205" spans="1:9" x14ac:dyDescent="0.35">
      <c r="A205" s="1351"/>
      <c r="B205" s="110">
        <v>53207020000000</v>
      </c>
      <c r="C205" s="374" t="s">
        <v>119</v>
      </c>
      <c r="D205" s="543">
        <v>200000</v>
      </c>
      <c r="E205" s="390"/>
      <c r="F205" s="93"/>
      <c r="G205" s="113">
        <f t="shared" si="35"/>
        <v>0</v>
      </c>
      <c r="H205" s="332">
        <f t="shared" si="36"/>
        <v>200000</v>
      </c>
      <c r="I205" s="544" t="s">
        <v>506</v>
      </c>
    </row>
    <row r="206" spans="1:9" x14ac:dyDescent="0.35">
      <c r="A206" s="1351"/>
      <c r="B206" s="110">
        <v>53208020000000</v>
      </c>
      <c r="C206" s="374" t="s">
        <v>120</v>
      </c>
      <c r="D206" s="543">
        <v>0</v>
      </c>
      <c r="E206" s="390"/>
      <c r="F206" s="93"/>
      <c r="G206" s="113">
        <f t="shared" si="35"/>
        <v>0</v>
      </c>
      <c r="H206" s="332">
        <f t="shared" si="36"/>
        <v>0</v>
      </c>
      <c r="I206" s="544"/>
    </row>
    <row r="207" spans="1:9" x14ac:dyDescent="0.35">
      <c r="A207" s="1351"/>
      <c r="B207" s="110">
        <v>53208990000000</v>
      </c>
      <c r="C207" s="374" t="s">
        <v>121</v>
      </c>
      <c r="D207" s="543">
        <v>1352000</v>
      </c>
      <c r="E207" s="390"/>
      <c r="F207" s="93"/>
      <c r="G207" s="113">
        <f t="shared" si="35"/>
        <v>0</v>
      </c>
      <c r="H207" s="332">
        <f t="shared" si="36"/>
        <v>1352000</v>
      </c>
      <c r="I207" s="544" t="s">
        <v>507</v>
      </c>
    </row>
    <row r="208" spans="1:9" x14ac:dyDescent="0.35">
      <c r="A208" s="1351"/>
      <c r="B208" s="110">
        <v>53209010000000</v>
      </c>
      <c r="C208" s="357" t="s">
        <v>510</v>
      </c>
      <c r="D208" s="543">
        <v>1504500</v>
      </c>
      <c r="E208" s="390"/>
      <c r="F208" s="93"/>
      <c r="G208" s="113">
        <f t="shared" si="35"/>
        <v>0</v>
      </c>
      <c r="H208" s="332">
        <f t="shared" si="36"/>
        <v>1504500</v>
      </c>
      <c r="I208" s="544" t="s">
        <v>511</v>
      </c>
    </row>
    <row r="209" spans="1:9" x14ac:dyDescent="0.35">
      <c r="A209" s="1351"/>
      <c r="B209" s="110">
        <v>53209040000000</v>
      </c>
      <c r="C209" s="374" t="s">
        <v>123</v>
      </c>
      <c r="D209" s="543">
        <v>0</v>
      </c>
      <c r="E209" s="390"/>
      <c r="F209" s="93"/>
      <c r="G209" s="113">
        <f t="shared" si="35"/>
        <v>0</v>
      </c>
      <c r="H209" s="332">
        <f t="shared" si="36"/>
        <v>0</v>
      </c>
      <c r="I209" s="544"/>
    </row>
    <row r="210" spans="1:9" x14ac:dyDescent="0.35">
      <c r="A210" s="1351"/>
      <c r="B210" s="110">
        <v>53209050000000</v>
      </c>
      <c r="C210" s="374" t="s">
        <v>124</v>
      </c>
      <c r="D210" s="543">
        <v>565000</v>
      </c>
      <c r="E210" s="390"/>
      <c r="F210" s="93"/>
      <c r="G210" s="113">
        <f t="shared" si="35"/>
        <v>0</v>
      </c>
      <c r="H210" s="332">
        <f t="shared" si="36"/>
        <v>565000</v>
      </c>
      <c r="I210" s="544" t="s">
        <v>408</v>
      </c>
    </row>
    <row r="211" spans="1:9" x14ac:dyDescent="0.35">
      <c r="A211" s="1351"/>
      <c r="B211" s="110">
        <v>53209990000000</v>
      </c>
      <c r="C211" s="374" t="s">
        <v>125</v>
      </c>
      <c r="D211" s="543">
        <v>0</v>
      </c>
      <c r="E211" s="390"/>
      <c r="F211" s="93"/>
      <c r="G211" s="113">
        <f t="shared" si="35"/>
        <v>0</v>
      </c>
      <c r="H211" s="332">
        <f t="shared" si="36"/>
        <v>0</v>
      </c>
      <c r="I211" s="544"/>
    </row>
    <row r="212" spans="1:9" x14ac:dyDescent="0.35">
      <c r="A212" s="1351"/>
      <c r="B212" s="110">
        <v>53210020100000</v>
      </c>
      <c r="C212" s="374" t="s">
        <v>126</v>
      </c>
      <c r="D212" s="543">
        <v>0</v>
      </c>
      <c r="E212" s="390"/>
      <c r="F212" s="93"/>
      <c r="G212" s="113">
        <f t="shared" si="35"/>
        <v>0</v>
      </c>
      <c r="H212" s="332">
        <f t="shared" si="36"/>
        <v>0</v>
      </c>
      <c r="I212" s="544"/>
    </row>
    <row r="213" spans="1:9" x14ac:dyDescent="0.35">
      <c r="A213" s="1351"/>
      <c r="B213" s="114"/>
      <c r="C213" s="375" t="s">
        <v>127</v>
      </c>
      <c r="D213" s="365">
        <f>SUM(D214:D220)</f>
        <v>4295000</v>
      </c>
      <c r="E213" s="387"/>
      <c r="F213" s="90"/>
      <c r="G213" s="115">
        <f>SUM(G214:G220)</f>
        <v>0</v>
      </c>
      <c r="H213" s="323">
        <f>SUM(H214:H220)</f>
        <v>4295000</v>
      </c>
      <c r="I213" s="544"/>
    </row>
    <row r="214" spans="1:9" x14ac:dyDescent="0.35">
      <c r="A214" s="1351"/>
      <c r="B214" s="110">
        <v>53206030000000</v>
      </c>
      <c r="C214" s="374" t="s">
        <v>128</v>
      </c>
      <c r="D214" s="543">
        <v>0</v>
      </c>
      <c r="E214" s="390"/>
      <c r="F214" s="93"/>
      <c r="G214" s="113">
        <f t="shared" ref="G214:G220" si="37">E214*F214</f>
        <v>0</v>
      </c>
      <c r="H214" s="332">
        <f t="shared" ref="H214:H220" si="38">D214+G214</f>
        <v>0</v>
      </c>
      <c r="I214" s="544"/>
    </row>
    <row r="215" spans="1:9" x14ac:dyDescent="0.35">
      <c r="A215" s="1351"/>
      <c r="B215" s="110">
        <v>53206040000000</v>
      </c>
      <c r="C215" s="374" t="s">
        <v>129</v>
      </c>
      <c r="D215" s="543">
        <v>0</v>
      </c>
      <c r="E215" s="390"/>
      <c r="F215" s="93"/>
      <c r="G215" s="113">
        <f t="shared" si="37"/>
        <v>0</v>
      </c>
      <c r="H215" s="332">
        <f t="shared" si="38"/>
        <v>0</v>
      </c>
      <c r="I215" s="544"/>
    </row>
    <row r="216" spans="1:9" x14ac:dyDescent="0.35">
      <c r="A216" s="1351"/>
      <c r="B216" s="110">
        <v>53206060000000</v>
      </c>
      <c r="C216" s="374" t="s">
        <v>130</v>
      </c>
      <c r="D216" s="543">
        <v>0</v>
      </c>
      <c r="E216" s="390"/>
      <c r="F216" s="93"/>
      <c r="G216" s="113">
        <f t="shared" si="37"/>
        <v>0</v>
      </c>
      <c r="H216" s="332">
        <f t="shared" si="38"/>
        <v>0</v>
      </c>
      <c r="I216" s="544"/>
    </row>
    <row r="217" spans="1:9" x14ac:dyDescent="0.35">
      <c r="A217" s="1351"/>
      <c r="B217" s="110">
        <v>53206070000000</v>
      </c>
      <c r="C217" s="374" t="s">
        <v>131</v>
      </c>
      <c r="D217" s="543">
        <v>0</v>
      </c>
      <c r="E217" s="390"/>
      <c r="F217" s="93"/>
      <c r="G217" s="113">
        <f t="shared" si="37"/>
        <v>0</v>
      </c>
      <c r="H217" s="332">
        <f t="shared" si="38"/>
        <v>0</v>
      </c>
      <c r="I217" s="544"/>
    </row>
    <row r="218" spans="1:9" x14ac:dyDescent="0.35">
      <c r="A218" s="1351"/>
      <c r="B218" s="110">
        <v>53206990000000</v>
      </c>
      <c r="C218" s="374" t="s">
        <v>132</v>
      </c>
      <c r="D218" s="543">
        <v>1955000</v>
      </c>
      <c r="E218" s="390"/>
      <c r="F218" s="93"/>
      <c r="G218" s="113">
        <f t="shared" si="37"/>
        <v>0</v>
      </c>
      <c r="H218" s="332">
        <f t="shared" si="38"/>
        <v>1955000</v>
      </c>
      <c r="I218" s="544" t="s">
        <v>508</v>
      </c>
    </row>
    <row r="219" spans="1:9" x14ac:dyDescent="0.35">
      <c r="A219" s="1351"/>
      <c r="B219" s="110">
        <v>53208030000000</v>
      </c>
      <c r="C219" s="374" t="s">
        <v>133</v>
      </c>
      <c r="D219" s="543">
        <v>840000</v>
      </c>
      <c r="E219" s="390"/>
      <c r="F219" s="93"/>
      <c r="G219" s="113">
        <f t="shared" si="37"/>
        <v>0</v>
      </c>
      <c r="H219" s="332">
        <f t="shared" si="38"/>
        <v>840000</v>
      </c>
      <c r="I219" s="544" t="s">
        <v>409</v>
      </c>
    </row>
    <row r="220" spans="1:9" x14ac:dyDescent="0.35">
      <c r="A220" s="1351"/>
      <c r="B220" s="110">
        <v>53212060000000</v>
      </c>
      <c r="C220" s="374" t="s">
        <v>134</v>
      </c>
      <c r="D220" s="542">
        <v>1500000</v>
      </c>
      <c r="E220" s="389"/>
      <c r="F220" s="88"/>
      <c r="G220" s="113">
        <f t="shared" si="37"/>
        <v>0</v>
      </c>
      <c r="H220" s="332">
        <f t="shared" si="38"/>
        <v>1500000</v>
      </c>
      <c r="I220" s="544" t="s">
        <v>509</v>
      </c>
    </row>
    <row r="221" spans="1:9" x14ac:dyDescent="0.35">
      <c r="A221" s="1351"/>
      <c r="B221" s="114"/>
      <c r="C221" s="375" t="s">
        <v>135</v>
      </c>
      <c r="D221" s="365">
        <f>SUM(D222:D223)</f>
        <v>2632000</v>
      </c>
      <c r="E221" s="387"/>
      <c r="F221" s="90"/>
      <c r="G221" s="115">
        <f>SUM(G222:G223)</f>
        <v>0</v>
      </c>
      <c r="H221" s="323">
        <f>SUM(H222:H223)</f>
        <v>2632000</v>
      </c>
      <c r="I221" s="544"/>
    </row>
    <row r="222" spans="1:9" x14ac:dyDescent="0.35">
      <c r="A222" s="1351"/>
      <c r="B222" s="110">
        <v>53210020500000</v>
      </c>
      <c r="C222" s="374" t="s">
        <v>136</v>
      </c>
      <c r="D222" s="542">
        <v>2632000</v>
      </c>
      <c r="E222" s="389"/>
      <c r="F222" s="88"/>
      <c r="G222" s="113">
        <f t="shared" ref="G222:G223" si="39">E222*F222</f>
        <v>0</v>
      </c>
      <c r="H222" s="333">
        <f t="shared" ref="H222:H223" si="40">D222+G222</f>
        <v>2632000</v>
      </c>
      <c r="I222" s="544" t="s">
        <v>513</v>
      </c>
    </row>
    <row r="223" spans="1:9" x14ac:dyDescent="0.35">
      <c r="A223" s="1351"/>
      <c r="B223" s="116">
        <v>53204999000000</v>
      </c>
      <c r="C223" s="376" t="s">
        <v>137</v>
      </c>
      <c r="D223" s="359"/>
      <c r="E223" s="390"/>
      <c r="F223" s="93"/>
      <c r="G223" s="117">
        <f t="shared" si="39"/>
        <v>0</v>
      </c>
      <c r="H223" s="333">
        <f t="shared" si="40"/>
        <v>0</v>
      </c>
      <c r="I223" s="544"/>
    </row>
    <row r="224" spans="1:9" x14ac:dyDescent="0.35">
      <c r="A224" s="1349"/>
      <c r="B224" s="118"/>
      <c r="C224" s="377" t="s">
        <v>13</v>
      </c>
      <c r="D224" s="400">
        <f>SUM(D155,D183)</f>
        <v>124322110.40000001</v>
      </c>
      <c r="E224" s="393"/>
      <c r="F224" s="120"/>
      <c r="G224" s="119">
        <f>SUM(G155,G183)</f>
        <v>0</v>
      </c>
      <c r="H224" s="328">
        <f>SUM(H155,H183)</f>
        <v>124322110.40000001</v>
      </c>
      <c r="I224" s="544"/>
    </row>
    <row r="225" spans="1:9" x14ac:dyDescent="0.35">
      <c r="A225" s="1352" t="s">
        <v>22</v>
      </c>
      <c r="B225" s="1354" t="s">
        <v>61</v>
      </c>
      <c r="C225" s="1356" t="s">
        <v>62</v>
      </c>
      <c r="D225" s="1358" t="s">
        <v>63</v>
      </c>
      <c r="E225" s="1359" t="s">
        <v>64</v>
      </c>
      <c r="F225" s="1360"/>
      <c r="G225" s="1361"/>
      <c r="H225" s="1344" t="str">
        <f>+H153</f>
        <v>COSTO DIRECTO ESTIMADO 2026</v>
      </c>
      <c r="I225" s="1346" t="s">
        <v>65</v>
      </c>
    </row>
    <row r="226" spans="1:9" ht="39" x14ac:dyDescent="0.35">
      <c r="A226" s="1353"/>
      <c r="B226" s="1355"/>
      <c r="C226" s="1357"/>
      <c r="D226" s="1358"/>
      <c r="E226" s="394" t="s">
        <v>66</v>
      </c>
      <c r="F226" s="121" t="s">
        <v>67</v>
      </c>
      <c r="G226" s="122" t="s">
        <v>68</v>
      </c>
      <c r="H226" s="1345"/>
      <c r="I226" s="1346"/>
    </row>
    <row r="227" spans="1:9" x14ac:dyDescent="0.35">
      <c r="A227" s="1350" t="str">
        <f>+'B) Reajuste Tarifa y Ocupación'!A33</f>
        <v>CABAÑAS RIO SAN JUAN</v>
      </c>
      <c r="B227" s="123"/>
      <c r="C227" s="378" t="s">
        <v>69</v>
      </c>
      <c r="D227" s="397">
        <f>SUM(D228,D233,D235)</f>
        <v>5080500</v>
      </c>
      <c r="E227" s="383"/>
      <c r="F227" s="77"/>
      <c r="G227" s="76">
        <f>SUM(G228,G233,G235)</f>
        <v>0</v>
      </c>
      <c r="H227" s="334">
        <f>SUM(H228,H233,H235)</f>
        <v>5080500</v>
      </c>
      <c r="I227" s="317"/>
    </row>
    <row r="228" spans="1:9" x14ac:dyDescent="0.35">
      <c r="A228" s="1351"/>
      <c r="B228" s="114"/>
      <c r="C228" s="379" t="s">
        <v>70</v>
      </c>
      <c r="D228" s="365">
        <f>SUM(D229:D232)</f>
        <v>0</v>
      </c>
      <c r="E228" s="395"/>
      <c r="F228" s="125"/>
      <c r="G228" s="124">
        <f>SUM(G229:G232)</f>
        <v>0</v>
      </c>
      <c r="H228" s="335">
        <f>SUM(H229:H232)</f>
        <v>0</v>
      </c>
      <c r="I228" s="317"/>
    </row>
    <row r="229" spans="1:9" x14ac:dyDescent="0.35">
      <c r="A229" s="1351"/>
      <c r="B229" s="82">
        <v>53103040100000</v>
      </c>
      <c r="C229" s="357" t="s">
        <v>71</v>
      </c>
      <c r="D229" s="398">
        <f>+'F) Remuneraciones'!M81</f>
        <v>0</v>
      </c>
      <c r="E229" s="385"/>
      <c r="F229" s="85"/>
      <c r="G229" s="85"/>
      <c r="H229" s="320">
        <f>D229+G229</f>
        <v>0</v>
      </c>
      <c r="I229" s="317"/>
    </row>
    <row r="230" spans="1:9" x14ac:dyDescent="0.35">
      <c r="A230" s="1351"/>
      <c r="B230" s="82">
        <v>53103050000000</v>
      </c>
      <c r="C230" s="357" t="s">
        <v>72</v>
      </c>
      <c r="D230" s="362"/>
      <c r="E230" s="386"/>
      <c r="F230" s="88"/>
      <c r="G230" s="89">
        <f>E230*F230</f>
        <v>0</v>
      </c>
      <c r="H230" s="321">
        <f t="shared" ref="H230:H232" si="41">D230+G230</f>
        <v>0</v>
      </c>
      <c r="I230" s="317"/>
    </row>
    <row r="231" spans="1:9" x14ac:dyDescent="0.35">
      <c r="A231" s="1351"/>
      <c r="B231" s="82">
        <v>53103060000000</v>
      </c>
      <c r="C231" s="357" t="s">
        <v>73</v>
      </c>
      <c r="D231" s="362"/>
      <c r="E231" s="386"/>
      <c r="F231" s="88"/>
      <c r="G231" s="89">
        <f t="shared" ref="G231:G232" si="42">E231*F231</f>
        <v>0</v>
      </c>
      <c r="H231" s="322">
        <f t="shared" si="41"/>
        <v>0</v>
      </c>
      <c r="I231" s="317"/>
    </row>
    <row r="232" spans="1:9" x14ac:dyDescent="0.35">
      <c r="A232" s="1351"/>
      <c r="B232" s="82">
        <v>53103080010000</v>
      </c>
      <c r="C232" s="357" t="s">
        <v>74</v>
      </c>
      <c r="D232" s="362"/>
      <c r="E232" s="386"/>
      <c r="F232" s="88"/>
      <c r="G232" s="89">
        <f t="shared" si="42"/>
        <v>0</v>
      </c>
      <c r="H232" s="322">
        <f t="shared" si="41"/>
        <v>0</v>
      </c>
      <c r="I232" s="317"/>
    </row>
    <row r="233" spans="1:9" x14ac:dyDescent="0.35">
      <c r="A233" s="1351"/>
      <c r="B233" s="78"/>
      <c r="C233" s="364" t="s">
        <v>75</v>
      </c>
      <c r="D233" s="365">
        <f>SUM(D234)</f>
        <v>0</v>
      </c>
      <c r="E233" s="387"/>
      <c r="F233" s="90"/>
      <c r="G233" s="91">
        <f>SUM(G234:G234)</f>
        <v>0</v>
      </c>
      <c r="H233" s="323">
        <f>SUM(H234:H234)</f>
        <v>0</v>
      </c>
      <c r="I233" s="317"/>
    </row>
    <row r="234" spans="1:9" x14ac:dyDescent="0.35">
      <c r="A234" s="1351"/>
      <c r="B234" s="82">
        <v>55201010100001</v>
      </c>
      <c r="C234" s="357" t="s">
        <v>76</v>
      </c>
      <c r="D234" s="362"/>
      <c r="E234" s="386"/>
      <c r="F234" s="88"/>
      <c r="G234" s="89">
        <f t="shared" ref="G234" si="43">E234*F234</f>
        <v>0</v>
      </c>
      <c r="H234" s="322">
        <f>D234+G234</f>
        <v>0</v>
      </c>
      <c r="I234" s="317"/>
    </row>
    <row r="235" spans="1:9" x14ac:dyDescent="0.35">
      <c r="A235" s="1351"/>
      <c r="B235" s="78"/>
      <c r="C235" s="364" t="s">
        <v>77</v>
      </c>
      <c r="D235" s="365">
        <f>SUM(D236:D254)</f>
        <v>5080500</v>
      </c>
      <c r="E235" s="387"/>
      <c r="F235" s="90"/>
      <c r="G235" s="80">
        <f>SUM(G236:G254)</f>
        <v>0</v>
      </c>
      <c r="H235" s="323">
        <f>SUM(H236:H254)</f>
        <v>5080500</v>
      </c>
      <c r="I235" s="317"/>
    </row>
    <row r="236" spans="1:9" x14ac:dyDescent="0.35">
      <c r="A236" s="1351"/>
      <c r="B236" s="82">
        <v>53201010100000</v>
      </c>
      <c r="C236" s="357" t="s">
        <v>78</v>
      </c>
      <c r="D236" s="362">
        <v>0</v>
      </c>
      <c r="E236" s="386"/>
      <c r="F236" s="88"/>
      <c r="G236" s="89">
        <f t="shared" ref="G236:G254" si="44">E236*F236</f>
        <v>0</v>
      </c>
      <c r="H236" s="322">
        <f t="shared" ref="H236:H254" si="45">D236+G236</f>
        <v>0</v>
      </c>
      <c r="I236" s="317"/>
    </row>
    <row r="237" spans="1:9" x14ac:dyDescent="0.35">
      <c r="A237" s="1351"/>
      <c r="B237" s="82">
        <v>53202010100000</v>
      </c>
      <c r="C237" s="357" t="s">
        <v>79</v>
      </c>
      <c r="D237" s="542">
        <v>786000</v>
      </c>
      <c r="E237" s="386"/>
      <c r="F237" s="88"/>
      <c r="G237" s="89">
        <f t="shared" si="44"/>
        <v>0</v>
      </c>
      <c r="H237" s="322">
        <f t="shared" si="45"/>
        <v>786000</v>
      </c>
      <c r="I237" s="544" t="s">
        <v>410</v>
      </c>
    </row>
    <row r="238" spans="1:9" x14ac:dyDescent="0.35">
      <c r="A238" s="1351"/>
      <c r="B238" s="82">
        <v>53203010100000</v>
      </c>
      <c r="C238" s="357" t="s">
        <v>80</v>
      </c>
      <c r="D238" s="543">
        <v>24000</v>
      </c>
      <c r="E238" s="388"/>
      <c r="F238" s="93"/>
      <c r="G238" s="89">
        <f t="shared" si="44"/>
        <v>0</v>
      </c>
      <c r="H238" s="322">
        <f t="shared" si="45"/>
        <v>24000</v>
      </c>
      <c r="I238" s="544" t="s">
        <v>411</v>
      </c>
    </row>
    <row r="239" spans="1:9" x14ac:dyDescent="0.35">
      <c r="A239" s="1351"/>
      <c r="B239" s="82">
        <v>53203030000000</v>
      </c>
      <c r="C239" s="357" t="s">
        <v>81</v>
      </c>
      <c r="D239" s="543">
        <v>0</v>
      </c>
      <c r="E239" s="388"/>
      <c r="F239" s="93"/>
      <c r="G239" s="89">
        <f t="shared" si="44"/>
        <v>0</v>
      </c>
      <c r="H239" s="322">
        <f t="shared" si="45"/>
        <v>0</v>
      </c>
      <c r="I239" s="544"/>
    </row>
    <row r="240" spans="1:9" x14ac:dyDescent="0.35">
      <c r="A240" s="1351"/>
      <c r="B240" s="82">
        <v>53204030000000</v>
      </c>
      <c r="C240" s="357" t="s">
        <v>82</v>
      </c>
      <c r="D240" s="543">
        <v>213000</v>
      </c>
      <c r="E240" s="388"/>
      <c r="F240" s="93"/>
      <c r="G240" s="89">
        <f t="shared" si="44"/>
        <v>0</v>
      </c>
      <c r="H240" s="322">
        <f t="shared" si="45"/>
        <v>213000</v>
      </c>
      <c r="I240" s="545" t="s">
        <v>515</v>
      </c>
    </row>
    <row r="241" spans="1:9" x14ac:dyDescent="0.35">
      <c r="A241" s="1351"/>
      <c r="B241" s="82">
        <v>53204100100001</v>
      </c>
      <c r="C241" s="357" t="s">
        <v>83</v>
      </c>
      <c r="D241" s="543">
        <v>1500000</v>
      </c>
      <c r="E241" s="388"/>
      <c r="F241" s="93"/>
      <c r="G241" s="89">
        <f t="shared" si="44"/>
        <v>0</v>
      </c>
      <c r="H241" s="322">
        <f t="shared" si="45"/>
        <v>1500000</v>
      </c>
      <c r="I241" s="544" t="s">
        <v>389</v>
      </c>
    </row>
    <row r="242" spans="1:9" x14ac:dyDescent="0.35">
      <c r="A242" s="1351"/>
      <c r="B242" s="82">
        <v>53204130100000</v>
      </c>
      <c r="C242" s="357" t="s">
        <v>84</v>
      </c>
      <c r="D242" s="543">
        <v>0</v>
      </c>
      <c r="E242" s="388"/>
      <c r="F242" s="93"/>
      <c r="G242" s="89">
        <f t="shared" si="44"/>
        <v>0</v>
      </c>
      <c r="H242" s="322">
        <f t="shared" si="45"/>
        <v>0</v>
      </c>
      <c r="I242" s="544"/>
    </row>
    <row r="243" spans="1:9" x14ac:dyDescent="0.35">
      <c r="A243" s="1351"/>
      <c r="B243" s="82">
        <v>53205010100000</v>
      </c>
      <c r="C243" s="357" t="s">
        <v>85</v>
      </c>
      <c r="D243" s="543">
        <v>0</v>
      </c>
      <c r="E243" s="388"/>
      <c r="F243" s="93"/>
      <c r="G243" s="89">
        <f t="shared" si="44"/>
        <v>0</v>
      </c>
      <c r="H243" s="322">
        <f t="shared" si="45"/>
        <v>0</v>
      </c>
      <c r="I243" s="544"/>
    </row>
    <row r="244" spans="1:9" x14ac:dyDescent="0.35">
      <c r="A244" s="1351"/>
      <c r="B244" s="82">
        <v>53205020100000</v>
      </c>
      <c r="C244" s="357" t="s">
        <v>86</v>
      </c>
      <c r="D244" s="543">
        <v>0</v>
      </c>
      <c r="E244" s="388"/>
      <c r="F244" s="93"/>
      <c r="G244" s="89">
        <f t="shared" si="44"/>
        <v>0</v>
      </c>
      <c r="H244" s="322">
        <f t="shared" si="45"/>
        <v>0</v>
      </c>
      <c r="I244" s="544"/>
    </row>
    <row r="245" spans="1:9" x14ac:dyDescent="0.35">
      <c r="A245" s="1351"/>
      <c r="B245" s="82">
        <v>53205030100000</v>
      </c>
      <c r="C245" s="360" t="s">
        <v>87</v>
      </c>
      <c r="D245" s="543">
        <v>1032500</v>
      </c>
      <c r="E245" s="388"/>
      <c r="F245" s="93"/>
      <c r="G245" s="89">
        <f t="shared" si="44"/>
        <v>0</v>
      </c>
      <c r="H245" s="322">
        <f t="shared" si="45"/>
        <v>1032500</v>
      </c>
      <c r="I245" s="544" t="s">
        <v>516</v>
      </c>
    </row>
    <row r="246" spans="1:9" x14ac:dyDescent="0.35">
      <c r="A246" s="1351"/>
      <c r="B246" s="82">
        <v>53205050100000</v>
      </c>
      <c r="C246" s="357" t="s">
        <v>88</v>
      </c>
      <c r="D246" s="543">
        <v>0</v>
      </c>
      <c r="E246" s="388"/>
      <c r="F246" s="93"/>
      <c r="G246" s="89">
        <f t="shared" si="44"/>
        <v>0</v>
      </c>
      <c r="H246" s="322">
        <f t="shared" si="45"/>
        <v>0</v>
      </c>
      <c r="I246" s="544"/>
    </row>
    <row r="247" spans="1:9" x14ac:dyDescent="0.35">
      <c r="A247" s="1351"/>
      <c r="B247" s="82">
        <v>53205060100000</v>
      </c>
      <c r="C247" s="357" t="s">
        <v>89</v>
      </c>
      <c r="D247" s="543">
        <v>0</v>
      </c>
      <c r="E247" s="388"/>
      <c r="F247" s="93"/>
      <c r="G247" s="89">
        <f t="shared" si="44"/>
        <v>0</v>
      </c>
      <c r="H247" s="322">
        <f t="shared" si="45"/>
        <v>0</v>
      </c>
      <c r="I247" s="544"/>
    </row>
    <row r="248" spans="1:9" x14ac:dyDescent="0.35">
      <c r="A248" s="1351"/>
      <c r="B248" s="82">
        <v>53205070100000</v>
      </c>
      <c r="C248" s="357" t="s">
        <v>90</v>
      </c>
      <c r="D248" s="543">
        <v>0</v>
      </c>
      <c r="E248" s="388"/>
      <c r="F248" s="93"/>
      <c r="G248" s="89">
        <f t="shared" si="44"/>
        <v>0</v>
      </c>
      <c r="H248" s="322">
        <f t="shared" si="45"/>
        <v>0</v>
      </c>
      <c r="I248" s="544"/>
    </row>
    <row r="249" spans="1:9" x14ac:dyDescent="0.35">
      <c r="A249" s="1351"/>
      <c r="B249" s="82">
        <v>53208010100000</v>
      </c>
      <c r="C249" s="357" t="s">
        <v>91</v>
      </c>
      <c r="D249" s="543">
        <v>1175000</v>
      </c>
      <c r="E249" s="388"/>
      <c r="F249" s="93"/>
      <c r="G249" s="89">
        <f t="shared" si="44"/>
        <v>0</v>
      </c>
      <c r="H249" s="322">
        <f t="shared" si="45"/>
        <v>1175000</v>
      </c>
      <c r="I249" s="544" t="s">
        <v>514</v>
      </c>
    </row>
    <row r="250" spans="1:9" x14ac:dyDescent="0.35">
      <c r="A250" s="1351"/>
      <c r="B250" s="82">
        <v>53208070100001</v>
      </c>
      <c r="C250" s="357" t="s">
        <v>92</v>
      </c>
      <c r="D250" s="543">
        <v>0</v>
      </c>
      <c r="E250" s="388"/>
      <c r="F250" s="93"/>
      <c r="G250" s="89">
        <f t="shared" si="44"/>
        <v>0</v>
      </c>
      <c r="H250" s="322">
        <f t="shared" si="45"/>
        <v>0</v>
      </c>
      <c r="I250" s="544"/>
    </row>
    <row r="251" spans="1:9" x14ac:dyDescent="0.35">
      <c r="A251" s="1351"/>
      <c r="B251" s="82">
        <v>53208100100001</v>
      </c>
      <c r="C251" s="357" t="s">
        <v>93</v>
      </c>
      <c r="D251" s="543">
        <v>0</v>
      </c>
      <c r="E251" s="388"/>
      <c r="F251" s="93"/>
      <c r="G251" s="89">
        <f t="shared" si="44"/>
        <v>0</v>
      </c>
      <c r="H251" s="322">
        <f t="shared" si="45"/>
        <v>0</v>
      </c>
      <c r="I251" s="544"/>
    </row>
    <row r="252" spans="1:9" x14ac:dyDescent="0.35">
      <c r="A252" s="1351"/>
      <c r="B252" s="82">
        <v>53211030000000</v>
      </c>
      <c r="C252" s="357" t="s">
        <v>94</v>
      </c>
      <c r="D252" s="543">
        <v>0</v>
      </c>
      <c r="E252" s="388"/>
      <c r="F252" s="93"/>
      <c r="G252" s="89">
        <f t="shared" si="44"/>
        <v>0</v>
      </c>
      <c r="H252" s="322">
        <f t="shared" si="45"/>
        <v>0</v>
      </c>
      <c r="I252" s="544"/>
    </row>
    <row r="253" spans="1:9" x14ac:dyDescent="0.35">
      <c r="A253" s="1351"/>
      <c r="B253" s="82">
        <v>53212020100000</v>
      </c>
      <c r="C253" s="357" t="s">
        <v>95</v>
      </c>
      <c r="D253" s="543">
        <v>350000</v>
      </c>
      <c r="E253" s="388"/>
      <c r="F253" s="93"/>
      <c r="G253" s="89">
        <f t="shared" si="44"/>
        <v>0</v>
      </c>
      <c r="H253" s="322">
        <f t="shared" si="45"/>
        <v>350000</v>
      </c>
      <c r="I253" s="544" t="s">
        <v>412</v>
      </c>
    </row>
    <row r="254" spans="1:9" x14ac:dyDescent="0.35">
      <c r="A254" s="1351"/>
      <c r="B254" s="82">
        <v>53214020000000</v>
      </c>
      <c r="C254" s="357" t="s">
        <v>96</v>
      </c>
      <c r="D254" s="542">
        <v>0</v>
      </c>
      <c r="E254" s="386"/>
      <c r="F254" s="88"/>
      <c r="G254" s="89">
        <f t="shared" si="44"/>
        <v>0</v>
      </c>
      <c r="H254" s="322">
        <f t="shared" si="45"/>
        <v>0</v>
      </c>
      <c r="I254" s="544"/>
    </row>
    <row r="255" spans="1:9" x14ac:dyDescent="0.35">
      <c r="A255" s="1351"/>
      <c r="B255" s="105"/>
      <c r="C255" s="372" t="s">
        <v>97</v>
      </c>
      <c r="D255" s="399">
        <f>SUM(D256,D261,D264,D275,D285,D293)</f>
        <v>1011000</v>
      </c>
      <c r="E255" s="383"/>
      <c r="F255" s="77"/>
      <c r="G255" s="95">
        <f>SUM(G256,G261,G264,G275,G285,G293)</f>
        <v>0</v>
      </c>
      <c r="H255" s="324">
        <f>SUM(H256,H261,H264,H275,H285,H293)</f>
        <v>1011000</v>
      </c>
      <c r="I255" s="317"/>
    </row>
    <row r="256" spans="1:9" x14ac:dyDescent="0.35">
      <c r="A256" s="1351"/>
      <c r="B256" s="78"/>
      <c r="C256" s="364" t="s">
        <v>98</v>
      </c>
      <c r="D256" s="365">
        <f>SUM(D257:D260)</f>
        <v>0</v>
      </c>
      <c r="E256" s="387"/>
      <c r="F256" s="90"/>
      <c r="G256" s="91">
        <f>SUM(G257:G260)</f>
        <v>0</v>
      </c>
      <c r="H256" s="325">
        <f>SUM(H257:H260)</f>
        <v>0</v>
      </c>
      <c r="I256" s="317"/>
    </row>
    <row r="257" spans="1:9" x14ac:dyDescent="0.35">
      <c r="A257" s="1351"/>
      <c r="B257" s="82">
        <v>53202020100000</v>
      </c>
      <c r="C257" s="357" t="s">
        <v>99</v>
      </c>
      <c r="D257" s="359"/>
      <c r="E257" s="388"/>
      <c r="F257" s="93"/>
      <c r="G257" s="89">
        <f>E257*F257</f>
        <v>0</v>
      </c>
      <c r="H257" s="322">
        <f t="shared" ref="H257:H260" si="46">D257+G257</f>
        <v>0</v>
      </c>
      <c r="I257" s="317"/>
    </row>
    <row r="258" spans="1:9" x14ac:dyDescent="0.35">
      <c r="A258" s="1351"/>
      <c r="B258" s="82">
        <v>53202030000000</v>
      </c>
      <c r="C258" s="357" t="s">
        <v>100</v>
      </c>
      <c r="D258" s="362"/>
      <c r="E258" s="386"/>
      <c r="F258" s="88"/>
      <c r="G258" s="89">
        <f t="shared" ref="G258:G260" si="47">E258*F258</f>
        <v>0</v>
      </c>
      <c r="H258" s="322">
        <f t="shared" si="46"/>
        <v>0</v>
      </c>
      <c r="I258" s="317"/>
    </row>
    <row r="259" spans="1:9" x14ac:dyDescent="0.35">
      <c r="A259" s="1351"/>
      <c r="B259" s="82">
        <v>53211020000000</v>
      </c>
      <c r="C259" s="357" t="s">
        <v>101</v>
      </c>
      <c r="D259" s="359"/>
      <c r="E259" s="388"/>
      <c r="F259" s="93"/>
      <c r="G259" s="89">
        <f t="shared" si="47"/>
        <v>0</v>
      </c>
      <c r="H259" s="322">
        <f t="shared" si="46"/>
        <v>0</v>
      </c>
      <c r="I259" s="317"/>
    </row>
    <row r="260" spans="1:9" x14ac:dyDescent="0.35">
      <c r="A260" s="1351"/>
      <c r="B260" s="82">
        <v>53101004030000</v>
      </c>
      <c r="C260" s="357" t="s">
        <v>102</v>
      </c>
      <c r="D260" s="362"/>
      <c r="E260" s="386"/>
      <c r="F260" s="88"/>
      <c r="G260" s="89">
        <f t="shared" si="47"/>
        <v>0</v>
      </c>
      <c r="H260" s="322">
        <f t="shared" si="46"/>
        <v>0</v>
      </c>
      <c r="I260" s="317"/>
    </row>
    <row r="261" spans="1:9" x14ac:dyDescent="0.35">
      <c r="A261" s="1351"/>
      <c r="B261" s="78"/>
      <c r="C261" s="364" t="s">
        <v>103</v>
      </c>
      <c r="D261" s="365">
        <f>SUM(D262:D263)</f>
        <v>0</v>
      </c>
      <c r="E261" s="387"/>
      <c r="F261" s="90"/>
      <c r="G261" s="91">
        <f>SUM(G262:G263)</f>
        <v>0</v>
      </c>
      <c r="H261" s="325">
        <f>SUM(H262:H263)</f>
        <v>0</v>
      </c>
      <c r="I261" s="317"/>
    </row>
    <row r="262" spans="1:9" x14ac:dyDescent="0.35">
      <c r="A262" s="1351"/>
      <c r="B262" s="82">
        <v>53205080000000</v>
      </c>
      <c r="C262" s="360" t="s">
        <v>104</v>
      </c>
      <c r="D262" s="362"/>
      <c r="E262" s="386"/>
      <c r="F262" s="88"/>
      <c r="G262" s="89">
        <f t="shared" ref="G262:G263" si="48">E262*F262</f>
        <v>0</v>
      </c>
      <c r="H262" s="322">
        <f t="shared" ref="H262:H263" si="49">D262+G262</f>
        <v>0</v>
      </c>
      <c r="I262" s="317"/>
    </row>
    <row r="263" spans="1:9" x14ac:dyDescent="0.35">
      <c r="A263" s="1351"/>
      <c r="B263" s="82">
        <v>53205990000000</v>
      </c>
      <c r="C263" s="357" t="s">
        <v>105</v>
      </c>
      <c r="D263" s="359"/>
      <c r="E263" s="388"/>
      <c r="F263" s="93"/>
      <c r="G263" s="89">
        <f t="shared" si="48"/>
        <v>0</v>
      </c>
      <c r="H263" s="322">
        <f t="shared" si="49"/>
        <v>0</v>
      </c>
      <c r="I263" s="317"/>
    </row>
    <row r="264" spans="1:9" x14ac:dyDescent="0.35">
      <c r="A264" s="1351"/>
      <c r="B264" s="78"/>
      <c r="C264" s="364" t="s">
        <v>106</v>
      </c>
      <c r="D264" s="365">
        <f>SUM(D265:D274)</f>
        <v>665000</v>
      </c>
      <c r="E264" s="387"/>
      <c r="F264" s="90"/>
      <c r="G264" s="80">
        <f>SUM(G265:G274)</f>
        <v>0</v>
      </c>
      <c r="H264" s="323">
        <f>SUM(H265:H274)</f>
        <v>665000</v>
      </c>
      <c r="I264" s="317"/>
    </row>
    <row r="265" spans="1:9" x14ac:dyDescent="0.35">
      <c r="A265" s="1351"/>
      <c r="B265" s="82">
        <v>53203010200000</v>
      </c>
      <c r="C265" s="357" t="s">
        <v>107</v>
      </c>
      <c r="D265" s="542">
        <v>0</v>
      </c>
      <c r="E265" s="389"/>
      <c r="F265" s="88"/>
      <c r="G265" s="89">
        <f t="shared" ref="G265:G274" si="50">E265*F265</f>
        <v>0</v>
      </c>
      <c r="H265" s="322">
        <f t="shared" ref="H265:H274" si="51">D265+G265</f>
        <v>0</v>
      </c>
      <c r="I265" s="317"/>
    </row>
    <row r="266" spans="1:9" x14ac:dyDescent="0.35">
      <c r="A266" s="1351"/>
      <c r="B266" s="82">
        <v>53204010000000</v>
      </c>
      <c r="C266" s="357" t="s">
        <v>108</v>
      </c>
      <c r="D266" s="543">
        <v>0</v>
      </c>
      <c r="E266" s="390"/>
      <c r="F266" s="93"/>
      <c r="G266" s="89">
        <f t="shared" si="50"/>
        <v>0</v>
      </c>
      <c r="H266" s="322">
        <f t="shared" si="51"/>
        <v>0</v>
      </c>
      <c r="I266" s="317"/>
    </row>
    <row r="267" spans="1:9" x14ac:dyDescent="0.35">
      <c r="A267" s="1351"/>
      <c r="B267" s="82">
        <v>53204040200000</v>
      </c>
      <c r="C267" s="360" t="s">
        <v>109</v>
      </c>
      <c r="D267" s="543">
        <v>0</v>
      </c>
      <c r="E267" s="390"/>
      <c r="F267" s="93"/>
      <c r="G267" s="89">
        <f t="shared" si="50"/>
        <v>0</v>
      </c>
      <c r="H267" s="322">
        <f t="shared" si="51"/>
        <v>0</v>
      </c>
      <c r="I267" s="317"/>
    </row>
    <row r="268" spans="1:9" x14ac:dyDescent="0.35">
      <c r="A268" s="1351"/>
      <c r="B268" s="82">
        <v>53204060000000</v>
      </c>
      <c r="C268" s="360" t="s">
        <v>110</v>
      </c>
      <c r="D268" s="543">
        <v>0</v>
      </c>
      <c r="E268" s="390"/>
      <c r="F268" s="93"/>
      <c r="G268" s="89">
        <f t="shared" si="50"/>
        <v>0</v>
      </c>
      <c r="H268" s="322">
        <f t="shared" si="51"/>
        <v>0</v>
      </c>
      <c r="I268" s="317"/>
    </row>
    <row r="269" spans="1:9" x14ac:dyDescent="0.35">
      <c r="A269" s="1351"/>
      <c r="B269" s="82">
        <v>53204070000000</v>
      </c>
      <c r="C269" s="360" t="s">
        <v>111</v>
      </c>
      <c r="D269" s="543">
        <v>185000</v>
      </c>
      <c r="E269" s="390"/>
      <c r="F269" s="93"/>
      <c r="G269" s="89">
        <f t="shared" si="50"/>
        <v>0</v>
      </c>
      <c r="H269" s="322">
        <f t="shared" si="51"/>
        <v>185000</v>
      </c>
      <c r="I269" s="317" t="s">
        <v>413</v>
      </c>
    </row>
    <row r="270" spans="1:9" x14ac:dyDescent="0.35">
      <c r="A270" s="1351"/>
      <c r="B270" s="82">
        <v>53204080000000</v>
      </c>
      <c r="C270" s="360" t="s">
        <v>112</v>
      </c>
      <c r="D270" s="543">
        <v>480000</v>
      </c>
      <c r="E270" s="390"/>
      <c r="F270" s="93"/>
      <c r="G270" s="89">
        <f t="shared" si="50"/>
        <v>0</v>
      </c>
      <c r="H270" s="322">
        <f t="shared" si="51"/>
        <v>480000</v>
      </c>
      <c r="I270" s="544" t="s">
        <v>517</v>
      </c>
    </row>
    <row r="271" spans="1:9" x14ac:dyDescent="0.35">
      <c r="A271" s="1351"/>
      <c r="B271" s="82">
        <v>53214010000000</v>
      </c>
      <c r="C271" s="360" t="s">
        <v>113</v>
      </c>
      <c r="D271" s="542">
        <v>0</v>
      </c>
      <c r="E271" s="389"/>
      <c r="F271" s="88"/>
      <c r="G271" s="89">
        <f t="shared" si="50"/>
        <v>0</v>
      </c>
      <c r="H271" s="322">
        <f t="shared" si="51"/>
        <v>0</v>
      </c>
      <c r="I271" s="544"/>
    </row>
    <row r="272" spans="1:9" x14ac:dyDescent="0.35">
      <c r="A272" s="1351"/>
      <c r="B272" s="82">
        <v>53214040000000</v>
      </c>
      <c r="C272" s="357" t="s">
        <v>114</v>
      </c>
      <c r="D272" s="542">
        <v>0</v>
      </c>
      <c r="E272" s="389"/>
      <c r="F272" s="88"/>
      <c r="G272" s="89">
        <f t="shared" si="50"/>
        <v>0</v>
      </c>
      <c r="H272" s="322">
        <f t="shared" si="51"/>
        <v>0</v>
      </c>
      <c r="I272" s="544"/>
    </row>
    <row r="273" spans="1:9" x14ac:dyDescent="0.35">
      <c r="A273" s="1351"/>
      <c r="B273" s="82">
        <v>55201010100004</v>
      </c>
      <c r="C273" s="357" t="s">
        <v>115</v>
      </c>
      <c r="D273" s="542">
        <v>0</v>
      </c>
      <c r="E273" s="391"/>
      <c r="F273" s="111"/>
      <c r="G273" s="112">
        <f t="shared" si="50"/>
        <v>0</v>
      </c>
      <c r="H273" s="332">
        <f t="shared" si="51"/>
        <v>0</v>
      </c>
      <c r="I273" s="544"/>
    </row>
    <row r="274" spans="1:9" x14ac:dyDescent="0.35">
      <c r="A274" s="1351"/>
      <c r="B274" s="82">
        <v>55201010100005</v>
      </c>
      <c r="C274" s="357" t="s">
        <v>116</v>
      </c>
      <c r="D274" s="542">
        <v>0</v>
      </c>
      <c r="E274" s="389"/>
      <c r="F274" s="88"/>
      <c r="G274" s="113">
        <f t="shared" si="50"/>
        <v>0</v>
      </c>
      <c r="H274" s="332">
        <f t="shared" si="51"/>
        <v>0</v>
      </c>
      <c r="I274" s="544"/>
    </row>
    <row r="275" spans="1:9" x14ac:dyDescent="0.35">
      <c r="A275" s="1351"/>
      <c r="B275" s="78"/>
      <c r="C275" s="364" t="s">
        <v>117</v>
      </c>
      <c r="D275" s="365">
        <f>SUM(D276:D284)</f>
        <v>100000</v>
      </c>
      <c r="E275" s="387"/>
      <c r="F275" s="90"/>
      <c r="G275" s="115">
        <f>SUM(G276:G284)</f>
        <v>0</v>
      </c>
      <c r="H275" s="323">
        <f>SUM(H276:H284)</f>
        <v>100000</v>
      </c>
      <c r="I275" s="544"/>
    </row>
    <row r="276" spans="1:9" x14ac:dyDescent="0.35">
      <c r="A276" s="1351"/>
      <c r="B276" s="82">
        <v>53207010000000</v>
      </c>
      <c r="C276" s="357" t="s">
        <v>118</v>
      </c>
      <c r="D276" s="543">
        <v>100000</v>
      </c>
      <c r="E276" s="390"/>
      <c r="F276" s="93"/>
      <c r="G276" s="113">
        <f t="shared" ref="G276:G284" si="52">E276*F276</f>
        <v>0</v>
      </c>
      <c r="H276" s="332">
        <f t="shared" ref="H276:H284" si="53">D276+G276</f>
        <v>100000</v>
      </c>
      <c r="I276" s="544" t="s">
        <v>414</v>
      </c>
    </row>
    <row r="277" spans="1:9" x14ac:dyDescent="0.35">
      <c r="A277" s="1351"/>
      <c r="B277" s="82">
        <v>53207020000000</v>
      </c>
      <c r="C277" s="357" t="s">
        <v>119</v>
      </c>
      <c r="D277" s="543">
        <v>0</v>
      </c>
      <c r="E277" s="390"/>
      <c r="F277" s="93"/>
      <c r="G277" s="113">
        <f t="shared" si="52"/>
        <v>0</v>
      </c>
      <c r="H277" s="332">
        <f t="shared" si="53"/>
        <v>0</v>
      </c>
      <c r="I277" s="544"/>
    </row>
    <row r="278" spans="1:9" x14ac:dyDescent="0.35">
      <c r="A278" s="1351"/>
      <c r="B278" s="82">
        <v>53208020000000</v>
      </c>
      <c r="C278" s="357" t="s">
        <v>120</v>
      </c>
      <c r="D278" s="543">
        <v>0</v>
      </c>
      <c r="E278" s="390"/>
      <c r="F278" s="93"/>
      <c r="G278" s="113">
        <f t="shared" si="52"/>
        <v>0</v>
      </c>
      <c r="H278" s="332">
        <f t="shared" si="53"/>
        <v>0</v>
      </c>
      <c r="I278" s="544"/>
    </row>
    <row r="279" spans="1:9" x14ac:dyDescent="0.35">
      <c r="A279" s="1351"/>
      <c r="B279" s="82">
        <v>53208990000000</v>
      </c>
      <c r="C279" s="357" t="s">
        <v>121</v>
      </c>
      <c r="D279" s="543">
        <v>0</v>
      </c>
      <c r="E279" s="390"/>
      <c r="F279" s="93"/>
      <c r="G279" s="113">
        <f t="shared" si="52"/>
        <v>0</v>
      </c>
      <c r="H279" s="332">
        <f t="shared" si="53"/>
        <v>0</v>
      </c>
      <c r="I279" s="544"/>
    </row>
    <row r="280" spans="1:9" x14ac:dyDescent="0.35">
      <c r="A280" s="1351"/>
      <c r="B280" s="82">
        <v>53209010000000</v>
      </c>
      <c r="C280" s="357" t="s">
        <v>122</v>
      </c>
      <c r="D280" s="543">
        <v>0</v>
      </c>
      <c r="E280" s="390"/>
      <c r="F280" s="93"/>
      <c r="G280" s="113">
        <f t="shared" si="52"/>
        <v>0</v>
      </c>
      <c r="H280" s="332">
        <f t="shared" si="53"/>
        <v>0</v>
      </c>
      <c r="I280" s="544"/>
    </row>
    <row r="281" spans="1:9" x14ac:dyDescent="0.35">
      <c r="A281" s="1351"/>
      <c r="B281" s="82">
        <v>53209040000000</v>
      </c>
      <c r="C281" s="357" t="s">
        <v>123</v>
      </c>
      <c r="D281" s="543">
        <v>0</v>
      </c>
      <c r="E281" s="390"/>
      <c r="F281" s="93"/>
      <c r="G281" s="113">
        <f t="shared" si="52"/>
        <v>0</v>
      </c>
      <c r="H281" s="332">
        <f t="shared" si="53"/>
        <v>0</v>
      </c>
      <c r="I281" s="544"/>
    </row>
    <row r="282" spans="1:9" x14ac:dyDescent="0.35">
      <c r="A282" s="1351"/>
      <c r="B282" s="82">
        <v>53209050000000</v>
      </c>
      <c r="C282" s="357" t="s">
        <v>124</v>
      </c>
      <c r="D282" s="543">
        <v>0</v>
      </c>
      <c r="E282" s="390"/>
      <c r="F282" s="93"/>
      <c r="G282" s="113">
        <f t="shared" si="52"/>
        <v>0</v>
      </c>
      <c r="H282" s="332">
        <f t="shared" si="53"/>
        <v>0</v>
      </c>
      <c r="I282" s="544"/>
    </row>
    <row r="283" spans="1:9" x14ac:dyDescent="0.35">
      <c r="A283" s="1351"/>
      <c r="B283" s="82">
        <v>53209990000000</v>
      </c>
      <c r="C283" s="357" t="s">
        <v>125</v>
      </c>
      <c r="D283" s="543">
        <v>0</v>
      </c>
      <c r="E283" s="390"/>
      <c r="F283" s="93"/>
      <c r="G283" s="113">
        <f t="shared" si="52"/>
        <v>0</v>
      </c>
      <c r="H283" s="332">
        <f t="shared" si="53"/>
        <v>0</v>
      </c>
      <c r="I283" s="544"/>
    </row>
    <row r="284" spans="1:9" x14ac:dyDescent="0.35">
      <c r="A284" s="1351"/>
      <c r="B284" s="82">
        <v>53210020100000</v>
      </c>
      <c r="C284" s="357" t="s">
        <v>126</v>
      </c>
      <c r="D284" s="543">
        <v>0</v>
      </c>
      <c r="E284" s="390"/>
      <c r="F284" s="93"/>
      <c r="G284" s="113">
        <f t="shared" si="52"/>
        <v>0</v>
      </c>
      <c r="H284" s="332">
        <f t="shared" si="53"/>
        <v>0</v>
      </c>
      <c r="I284" s="544"/>
    </row>
    <row r="285" spans="1:9" x14ac:dyDescent="0.35">
      <c r="A285" s="1351"/>
      <c r="B285" s="78"/>
      <c r="C285" s="364" t="s">
        <v>127</v>
      </c>
      <c r="D285" s="365">
        <f>SUM(D286:D292)</f>
        <v>246000</v>
      </c>
      <c r="E285" s="387"/>
      <c r="F285" s="90"/>
      <c r="G285" s="115">
        <f>SUM(G286:G292)</f>
        <v>0</v>
      </c>
      <c r="H285" s="323">
        <f>SUM(H286:H292)</f>
        <v>246000</v>
      </c>
      <c r="I285" s="544"/>
    </row>
    <row r="286" spans="1:9" x14ac:dyDescent="0.35">
      <c r="A286" s="1351"/>
      <c r="B286" s="82">
        <v>53206030000000</v>
      </c>
      <c r="C286" s="357" t="s">
        <v>128</v>
      </c>
      <c r="D286" s="543">
        <v>0</v>
      </c>
      <c r="E286" s="390"/>
      <c r="F286" s="93"/>
      <c r="G286" s="113">
        <f t="shared" ref="G286:G292" si="54">E286*F286</f>
        <v>0</v>
      </c>
      <c r="H286" s="332">
        <f t="shared" ref="H286:H292" si="55">D286+G286</f>
        <v>0</v>
      </c>
      <c r="I286" s="544"/>
    </row>
    <row r="287" spans="1:9" x14ac:dyDescent="0.35">
      <c r="A287" s="1351"/>
      <c r="B287" s="82">
        <v>53206040000000</v>
      </c>
      <c r="C287" s="357" t="s">
        <v>129</v>
      </c>
      <c r="D287" s="543">
        <v>0</v>
      </c>
      <c r="E287" s="390"/>
      <c r="F287" s="93"/>
      <c r="G287" s="113">
        <f t="shared" si="54"/>
        <v>0</v>
      </c>
      <c r="H287" s="332">
        <f t="shared" si="55"/>
        <v>0</v>
      </c>
      <c r="I287" s="544"/>
    </row>
    <row r="288" spans="1:9" x14ac:dyDescent="0.35">
      <c r="A288" s="1351"/>
      <c r="B288" s="82">
        <v>53206060000000</v>
      </c>
      <c r="C288" s="357" t="s">
        <v>130</v>
      </c>
      <c r="D288" s="543">
        <v>246000</v>
      </c>
      <c r="E288" s="390"/>
      <c r="F288" s="93"/>
      <c r="G288" s="113">
        <f t="shared" si="54"/>
        <v>0</v>
      </c>
      <c r="H288" s="332">
        <f t="shared" si="55"/>
        <v>246000</v>
      </c>
      <c r="I288" s="544" t="s">
        <v>415</v>
      </c>
    </row>
    <row r="289" spans="1:9" x14ac:dyDescent="0.35">
      <c r="A289" s="1351"/>
      <c r="B289" s="82">
        <v>53206070000000</v>
      </c>
      <c r="C289" s="357" t="s">
        <v>131</v>
      </c>
      <c r="D289" s="543">
        <v>0</v>
      </c>
      <c r="E289" s="390"/>
      <c r="F289" s="93"/>
      <c r="G289" s="113">
        <f t="shared" si="54"/>
        <v>0</v>
      </c>
      <c r="H289" s="332">
        <f t="shared" si="55"/>
        <v>0</v>
      </c>
      <c r="I289" s="544"/>
    </row>
    <row r="290" spans="1:9" x14ac:dyDescent="0.35">
      <c r="A290" s="1351"/>
      <c r="B290" s="82">
        <v>53206990000000</v>
      </c>
      <c r="C290" s="357" t="s">
        <v>132</v>
      </c>
      <c r="D290" s="543">
        <v>0</v>
      </c>
      <c r="E290" s="390"/>
      <c r="F290" s="93"/>
      <c r="G290" s="113">
        <f t="shared" si="54"/>
        <v>0</v>
      </c>
      <c r="H290" s="332">
        <f t="shared" si="55"/>
        <v>0</v>
      </c>
      <c r="I290" s="544"/>
    </row>
    <row r="291" spans="1:9" x14ac:dyDescent="0.35">
      <c r="A291" s="1351"/>
      <c r="B291" s="82">
        <v>53208030000000</v>
      </c>
      <c r="C291" s="357" t="s">
        <v>133</v>
      </c>
      <c r="D291" s="543">
        <v>0</v>
      </c>
      <c r="E291" s="390"/>
      <c r="F291" s="93"/>
      <c r="G291" s="113">
        <f t="shared" si="54"/>
        <v>0</v>
      </c>
      <c r="H291" s="332">
        <f t="shared" si="55"/>
        <v>0</v>
      </c>
      <c r="I291" s="544"/>
    </row>
    <row r="292" spans="1:9" x14ac:dyDescent="0.35">
      <c r="A292" s="1351"/>
      <c r="B292" s="82">
        <v>53212060000000</v>
      </c>
      <c r="C292" s="357" t="s">
        <v>134</v>
      </c>
      <c r="D292" s="542">
        <v>0</v>
      </c>
      <c r="E292" s="389"/>
      <c r="F292" s="88"/>
      <c r="G292" s="113">
        <f t="shared" si="54"/>
        <v>0</v>
      </c>
      <c r="H292" s="332">
        <f t="shared" si="55"/>
        <v>0</v>
      </c>
      <c r="I292" s="544"/>
    </row>
    <row r="293" spans="1:9" x14ac:dyDescent="0.35">
      <c r="A293" s="1351"/>
      <c r="B293" s="78"/>
      <c r="C293" s="364" t="s">
        <v>135</v>
      </c>
      <c r="D293" s="365">
        <f>SUM(D294:D295)</f>
        <v>0</v>
      </c>
      <c r="E293" s="387"/>
      <c r="F293" s="90"/>
      <c r="G293" s="115">
        <f>SUM(G294:G295)</f>
        <v>0</v>
      </c>
      <c r="H293" s="323">
        <f>SUM(H294:H295)</f>
        <v>0</v>
      </c>
      <c r="I293" s="544"/>
    </row>
    <row r="294" spans="1:9" x14ac:dyDescent="0.35">
      <c r="A294" s="1351"/>
      <c r="B294" s="82">
        <v>53210020500000</v>
      </c>
      <c r="C294" s="357" t="s">
        <v>136</v>
      </c>
      <c r="D294" s="362"/>
      <c r="E294" s="389"/>
      <c r="F294" s="88"/>
      <c r="G294" s="113">
        <f t="shared" ref="G294:G295" si="56">E294*F294</f>
        <v>0</v>
      </c>
      <c r="H294" s="333">
        <f t="shared" ref="H294:H295" si="57">D294+G294</f>
        <v>0</v>
      </c>
      <c r="I294" s="544"/>
    </row>
    <row r="295" spans="1:9" x14ac:dyDescent="0.35">
      <c r="A295" s="1351"/>
      <c r="B295" s="97">
        <v>53204999000000</v>
      </c>
      <c r="C295" s="357" t="s">
        <v>137</v>
      </c>
      <c r="D295" s="359"/>
      <c r="E295" s="390"/>
      <c r="F295" s="93"/>
      <c r="G295" s="117">
        <f t="shared" si="56"/>
        <v>0</v>
      </c>
      <c r="H295" s="333">
        <f t="shared" si="57"/>
        <v>0</v>
      </c>
      <c r="I295" s="544"/>
    </row>
    <row r="296" spans="1:9" x14ac:dyDescent="0.35">
      <c r="A296" s="1349"/>
      <c r="B296" s="106"/>
      <c r="C296" s="380" t="s">
        <v>13</v>
      </c>
      <c r="D296" s="400">
        <f>SUM(D227,D255)</f>
        <v>6091500</v>
      </c>
      <c r="E296" s="393"/>
      <c r="F296" s="120"/>
      <c r="G296" s="119">
        <f>SUM(G227,G255)</f>
        <v>0</v>
      </c>
      <c r="H296" s="328">
        <f>SUM(H227,H255)</f>
        <v>6091500</v>
      </c>
      <c r="I296" s="544"/>
    </row>
    <row r="297" spans="1:9" x14ac:dyDescent="0.35">
      <c r="A297" s="1352" t="s">
        <v>22</v>
      </c>
      <c r="B297" s="1362" t="s">
        <v>61</v>
      </c>
      <c r="C297" s="1364" t="s">
        <v>62</v>
      </c>
      <c r="D297" s="1358" t="s">
        <v>63</v>
      </c>
      <c r="E297" s="1359" t="s">
        <v>64</v>
      </c>
      <c r="F297" s="1360"/>
      <c r="G297" s="1361"/>
      <c r="H297" s="1344" t="str">
        <f>+H225</f>
        <v>COSTO DIRECTO ESTIMADO 2026</v>
      </c>
      <c r="I297" s="1346" t="s">
        <v>65</v>
      </c>
    </row>
    <row r="298" spans="1:9" ht="39" x14ac:dyDescent="0.35">
      <c r="A298" s="1353"/>
      <c r="B298" s="1363"/>
      <c r="C298" s="1364"/>
      <c r="D298" s="1358"/>
      <c r="E298" s="394" t="s">
        <v>66</v>
      </c>
      <c r="F298" s="121" t="s">
        <v>67</v>
      </c>
      <c r="G298" s="122" t="s">
        <v>68</v>
      </c>
      <c r="H298" s="1345"/>
      <c r="I298" s="1346"/>
    </row>
    <row r="299" spans="1:9" x14ac:dyDescent="0.35">
      <c r="A299" s="1350" t="str">
        <f>+'B) Reajuste Tarifa y Ocupación'!A34</f>
        <v>CENTRO RECREATIVO</v>
      </c>
      <c r="B299" s="105"/>
      <c r="C299" s="372" t="s">
        <v>69</v>
      </c>
      <c r="D299" s="397">
        <f>SUM(D300,D305,D307)</f>
        <v>10546948</v>
      </c>
      <c r="E299" s="383"/>
      <c r="F299" s="77"/>
      <c r="G299" s="76">
        <f>SUM(G300,G305,G307)</f>
        <v>0</v>
      </c>
      <c r="H299" s="334">
        <f>SUM(H300,H305,H307)</f>
        <v>10546948</v>
      </c>
      <c r="I299" s="317"/>
    </row>
    <row r="300" spans="1:9" x14ac:dyDescent="0.35">
      <c r="A300" s="1351"/>
      <c r="B300" s="78"/>
      <c r="C300" s="364" t="s">
        <v>70</v>
      </c>
      <c r="D300" s="365">
        <f>SUM(D301:D304)</f>
        <v>5868948</v>
      </c>
      <c r="E300" s="384"/>
      <c r="F300" s="81"/>
      <c r="G300" s="80">
        <f>SUM(G301:G304)</f>
        <v>0</v>
      </c>
      <c r="H300" s="335">
        <f>SUM(H301:H304)</f>
        <v>5868948</v>
      </c>
      <c r="I300" s="317"/>
    </row>
    <row r="301" spans="1:9" x14ac:dyDescent="0.35">
      <c r="A301" s="1351"/>
      <c r="B301" s="82">
        <v>53103040100000</v>
      </c>
      <c r="C301" s="357" t="s">
        <v>71</v>
      </c>
      <c r="D301" s="398">
        <f>+'F) Remuneraciones'!M95</f>
        <v>5868948</v>
      </c>
      <c r="E301" s="385"/>
      <c r="F301" s="85"/>
      <c r="G301" s="85"/>
      <c r="H301" s="336">
        <f>D301+G301</f>
        <v>5868948</v>
      </c>
      <c r="I301" s="317"/>
    </row>
    <row r="302" spans="1:9" x14ac:dyDescent="0.35">
      <c r="A302" s="1351"/>
      <c r="B302" s="110">
        <v>53103050000000</v>
      </c>
      <c r="C302" s="381" t="s">
        <v>72</v>
      </c>
      <c r="D302" s="362"/>
      <c r="E302" s="396"/>
      <c r="F302" s="111"/>
      <c r="G302" s="112">
        <f>E302*F302</f>
        <v>0</v>
      </c>
      <c r="H302" s="337">
        <f t="shared" ref="H302:H304" si="58">D302+G302</f>
        <v>0</v>
      </c>
      <c r="I302" s="317"/>
    </row>
    <row r="303" spans="1:9" x14ac:dyDescent="0.35">
      <c r="A303" s="1351"/>
      <c r="B303" s="110">
        <v>53103060000000</v>
      </c>
      <c r="C303" s="374" t="s">
        <v>73</v>
      </c>
      <c r="D303" s="362"/>
      <c r="E303" s="386"/>
      <c r="F303" s="88"/>
      <c r="G303" s="113">
        <f t="shared" ref="G303:G304" si="59">E303*F303</f>
        <v>0</v>
      </c>
      <c r="H303" s="332">
        <f t="shared" si="58"/>
        <v>0</v>
      </c>
      <c r="I303" s="317"/>
    </row>
    <row r="304" spans="1:9" x14ac:dyDescent="0.35">
      <c r="A304" s="1351"/>
      <c r="B304" s="110">
        <v>53103080010000</v>
      </c>
      <c r="C304" s="374" t="s">
        <v>74</v>
      </c>
      <c r="D304" s="362"/>
      <c r="E304" s="386"/>
      <c r="F304" s="88"/>
      <c r="G304" s="113">
        <f t="shared" si="59"/>
        <v>0</v>
      </c>
      <c r="H304" s="332">
        <f t="shared" si="58"/>
        <v>0</v>
      </c>
      <c r="I304" s="317"/>
    </row>
    <row r="305" spans="1:9" x14ac:dyDescent="0.35">
      <c r="A305" s="1351"/>
      <c r="B305" s="114"/>
      <c r="C305" s="375" t="s">
        <v>75</v>
      </c>
      <c r="D305" s="365">
        <f>SUM(D306)</f>
        <v>0</v>
      </c>
      <c r="E305" s="387"/>
      <c r="F305" s="90"/>
      <c r="G305" s="126">
        <f>SUM(G306:G306)</f>
        <v>0</v>
      </c>
      <c r="H305" s="323">
        <f>SUM(H306:H306)</f>
        <v>0</v>
      </c>
      <c r="I305" s="317"/>
    </row>
    <row r="306" spans="1:9" x14ac:dyDescent="0.35">
      <c r="A306" s="1351"/>
      <c r="B306" s="110">
        <v>55201010100001</v>
      </c>
      <c r="C306" s="374" t="s">
        <v>76</v>
      </c>
      <c r="D306" s="362"/>
      <c r="E306" s="386"/>
      <c r="F306" s="88"/>
      <c r="G306" s="113">
        <f t="shared" ref="G306" si="60">E306*F306</f>
        <v>0</v>
      </c>
      <c r="H306" s="332">
        <f>D306+G306</f>
        <v>0</v>
      </c>
      <c r="I306" s="317"/>
    </row>
    <row r="307" spans="1:9" x14ac:dyDescent="0.35">
      <c r="A307" s="1351"/>
      <c r="B307" s="114"/>
      <c r="C307" s="375" t="s">
        <v>77</v>
      </c>
      <c r="D307" s="365">
        <f>SUM(D308:D326)</f>
        <v>4678000</v>
      </c>
      <c r="E307" s="387"/>
      <c r="F307" s="90"/>
      <c r="G307" s="115">
        <f>SUM(G308:G326)</f>
        <v>0</v>
      </c>
      <c r="H307" s="323">
        <f>SUM(H308:H326)</f>
        <v>4678000</v>
      </c>
      <c r="I307" s="317"/>
    </row>
    <row r="308" spans="1:9" x14ac:dyDescent="0.35">
      <c r="A308" s="1351"/>
      <c r="B308" s="110">
        <v>53201010100000</v>
      </c>
      <c r="C308" s="374" t="s">
        <v>78</v>
      </c>
      <c r="D308" s="542">
        <v>0</v>
      </c>
      <c r="E308" s="386"/>
      <c r="F308" s="88"/>
      <c r="G308" s="113">
        <f t="shared" ref="G308:G326" si="61">E308*F308</f>
        <v>0</v>
      </c>
      <c r="H308" s="332">
        <f t="shared" ref="H308:H326" si="62">D308+G308</f>
        <v>0</v>
      </c>
      <c r="I308" s="544"/>
    </row>
    <row r="309" spans="1:9" x14ac:dyDescent="0.35">
      <c r="A309" s="1351"/>
      <c r="B309" s="110">
        <v>53202010100000</v>
      </c>
      <c r="C309" s="374" t="s">
        <v>79</v>
      </c>
      <c r="D309" s="542">
        <v>0</v>
      </c>
      <c r="E309" s="386"/>
      <c r="F309" s="88"/>
      <c r="G309" s="113">
        <f t="shared" si="61"/>
        <v>0</v>
      </c>
      <c r="H309" s="332">
        <f t="shared" si="62"/>
        <v>0</v>
      </c>
      <c r="I309" s="544"/>
    </row>
    <row r="310" spans="1:9" x14ac:dyDescent="0.35">
      <c r="A310" s="1351"/>
      <c r="B310" s="110">
        <v>53203010100000</v>
      </c>
      <c r="C310" s="374" t="s">
        <v>80</v>
      </c>
      <c r="D310" s="543">
        <v>0</v>
      </c>
      <c r="E310" s="388"/>
      <c r="F310" s="93"/>
      <c r="G310" s="113">
        <f t="shared" si="61"/>
        <v>0</v>
      </c>
      <c r="H310" s="332">
        <f t="shared" si="62"/>
        <v>0</v>
      </c>
      <c r="I310" s="544"/>
    </row>
    <row r="311" spans="1:9" x14ac:dyDescent="0.35">
      <c r="A311" s="1351"/>
      <c r="B311" s="110">
        <v>53203030000000</v>
      </c>
      <c r="C311" s="374" t="s">
        <v>81</v>
      </c>
      <c r="D311" s="543">
        <v>0</v>
      </c>
      <c r="E311" s="388"/>
      <c r="F311" s="93"/>
      <c r="G311" s="113">
        <f t="shared" si="61"/>
        <v>0</v>
      </c>
      <c r="H311" s="332">
        <f t="shared" si="62"/>
        <v>0</v>
      </c>
      <c r="I311" s="544"/>
    </row>
    <row r="312" spans="1:9" x14ac:dyDescent="0.35">
      <c r="A312" s="1351"/>
      <c r="B312" s="110">
        <v>53204030000000</v>
      </c>
      <c r="C312" s="374" t="s">
        <v>82</v>
      </c>
      <c r="D312" s="543">
        <v>65000</v>
      </c>
      <c r="E312" s="388"/>
      <c r="F312" s="93"/>
      <c r="G312" s="113">
        <f t="shared" si="61"/>
        <v>0</v>
      </c>
      <c r="H312" s="332">
        <f t="shared" si="62"/>
        <v>65000</v>
      </c>
      <c r="I312" s="544" t="s">
        <v>518</v>
      </c>
    </row>
    <row r="313" spans="1:9" x14ac:dyDescent="0.35">
      <c r="A313" s="1351"/>
      <c r="B313" s="110">
        <v>53204100100001</v>
      </c>
      <c r="C313" s="374" t="s">
        <v>83</v>
      </c>
      <c r="D313" s="1174">
        <v>350000</v>
      </c>
      <c r="E313" s="388"/>
      <c r="F313" s="93"/>
      <c r="G313" s="113">
        <f t="shared" si="61"/>
        <v>0</v>
      </c>
      <c r="H313" s="332">
        <f t="shared" si="62"/>
        <v>350000</v>
      </c>
      <c r="I313" s="544" t="s">
        <v>400</v>
      </c>
    </row>
    <row r="314" spans="1:9" x14ac:dyDescent="0.35">
      <c r="A314" s="1351"/>
      <c r="B314" s="110">
        <v>53204130100000</v>
      </c>
      <c r="C314" s="374" t="s">
        <v>84</v>
      </c>
      <c r="D314" s="543">
        <v>0</v>
      </c>
      <c r="E314" s="388"/>
      <c r="F314" s="93"/>
      <c r="G314" s="113">
        <f t="shared" si="61"/>
        <v>0</v>
      </c>
      <c r="H314" s="332">
        <f t="shared" si="62"/>
        <v>0</v>
      </c>
      <c r="I314" s="544"/>
    </row>
    <row r="315" spans="1:9" x14ac:dyDescent="0.35">
      <c r="A315" s="1351"/>
      <c r="B315" s="110">
        <v>53205010100000</v>
      </c>
      <c r="C315" s="374" t="s">
        <v>85</v>
      </c>
      <c r="D315" s="543">
        <v>998500</v>
      </c>
      <c r="E315" s="388"/>
      <c r="F315" s="93"/>
      <c r="G315" s="113">
        <f t="shared" si="61"/>
        <v>0</v>
      </c>
      <c r="H315" s="332">
        <f t="shared" si="62"/>
        <v>998500</v>
      </c>
      <c r="I315" s="544" t="s">
        <v>486</v>
      </c>
    </row>
    <row r="316" spans="1:9" x14ac:dyDescent="0.35">
      <c r="A316" s="1351"/>
      <c r="B316" s="110">
        <v>53205020100000</v>
      </c>
      <c r="C316" s="374" t="s">
        <v>86</v>
      </c>
      <c r="D316" s="543">
        <v>766000</v>
      </c>
      <c r="E316" s="388"/>
      <c r="F316" s="93"/>
      <c r="G316" s="113">
        <f t="shared" si="61"/>
        <v>0</v>
      </c>
      <c r="H316" s="332">
        <f t="shared" si="62"/>
        <v>766000</v>
      </c>
      <c r="I316" s="544" t="s">
        <v>486</v>
      </c>
    </row>
    <row r="317" spans="1:9" x14ac:dyDescent="0.35">
      <c r="A317" s="1351"/>
      <c r="B317" s="110">
        <v>53205030100000</v>
      </c>
      <c r="C317" s="374" t="s">
        <v>87</v>
      </c>
      <c r="D317" s="543">
        <v>1068500</v>
      </c>
      <c r="E317" s="388"/>
      <c r="F317" s="93"/>
      <c r="G317" s="113">
        <f t="shared" si="61"/>
        <v>0</v>
      </c>
      <c r="H317" s="332">
        <f t="shared" si="62"/>
        <v>1068500</v>
      </c>
      <c r="I317" s="544" t="s">
        <v>486</v>
      </c>
    </row>
    <row r="318" spans="1:9" x14ac:dyDescent="0.35">
      <c r="A318" s="1351"/>
      <c r="B318" s="110">
        <v>53205050100000</v>
      </c>
      <c r="C318" s="374" t="s">
        <v>88</v>
      </c>
      <c r="D318" s="543">
        <v>0</v>
      </c>
      <c r="E318" s="388"/>
      <c r="F318" s="93"/>
      <c r="G318" s="113">
        <f t="shared" si="61"/>
        <v>0</v>
      </c>
      <c r="H318" s="332">
        <f t="shared" si="62"/>
        <v>0</v>
      </c>
      <c r="I318" s="549"/>
    </row>
    <row r="319" spans="1:9" x14ac:dyDescent="0.35">
      <c r="A319" s="1351"/>
      <c r="B319" s="110">
        <v>53205060100000</v>
      </c>
      <c r="C319" s="374" t="s">
        <v>89</v>
      </c>
      <c r="D319" s="543">
        <v>0</v>
      </c>
      <c r="E319" s="388"/>
      <c r="F319" s="93"/>
      <c r="G319" s="113">
        <f t="shared" si="61"/>
        <v>0</v>
      </c>
      <c r="H319" s="332">
        <f t="shared" si="62"/>
        <v>0</v>
      </c>
      <c r="I319" s="549"/>
    </row>
    <row r="320" spans="1:9" x14ac:dyDescent="0.35">
      <c r="A320" s="1351"/>
      <c r="B320" s="110">
        <v>53205070100000</v>
      </c>
      <c r="C320" s="374" t="s">
        <v>90</v>
      </c>
      <c r="D320" s="543">
        <v>0</v>
      </c>
      <c r="E320" s="388"/>
      <c r="F320" s="93"/>
      <c r="G320" s="113">
        <f t="shared" si="61"/>
        <v>0</v>
      </c>
      <c r="H320" s="332">
        <f t="shared" si="62"/>
        <v>0</v>
      </c>
      <c r="I320" s="549"/>
    </row>
    <row r="321" spans="1:9" x14ac:dyDescent="0.35">
      <c r="A321" s="1351"/>
      <c r="B321" s="110">
        <v>53208010100000</v>
      </c>
      <c r="C321" s="374" t="s">
        <v>91</v>
      </c>
      <c r="D321" s="543">
        <v>1200000</v>
      </c>
      <c r="E321" s="388"/>
      <c r="F321" s="93"/>
      <c r="G321" s="113">
        <f t="shared" si="61"/>
        <v>0</v>
      </c>
      <c r="H321" s="332">
        <f t="shared" si="62"/>
        <v>1200000</v>
      </c>
      <c r="I321" s="544" t="s">
        <v>416</v>
      </c>
    </row>
    <row r="322" spans="1:9" x14ac:dyDescent="0.35">
      <c r="A322" s="1351"/>
      <c r="B322" s="110">
        <v>53208070100001</v>
      </c>
      <c r="C322" s="374" t="s">
        <v>92</v>
      </c>
      <c r="D322" s="543">
        <v>0</v>
      </c>
      <c r="E322" s="388"/>
      <c r="F322" s="93"/>
      <c r="G322" s="113">
        <f t="shared" si="61"/>
        <v>0</v>
      </c>
      <c r="H322" s="332">
        <f t="shared" si="62"/>
        <v>0</v>
      </c>
      <c r="I322" s="544"/>
    </row>
    <row r="323" spans="1:9" x14ac:dyDescent="0.35">
      <c r="A323" s="1351"/>
      <c r="B323" s="110">
        <v>53208100100001</v>
      </c>
      <c r="C323" s="374" t="s">
        <v>93</v>
      </c>
      <c r="D323" s="543">
        <v>0</v>
      </c>
      <c r="E323" s="388"/>
      <c r="F323" s="93"/>
      <c r="G323" s="113">
        <f t="shared" si="61"/>
        <v>0</v>
      </c>
      <c r="H323" s="332">
        <f t="shared" si="62"/>
        <v>0</v>
      </c>
      <c r="I323" s="544"/>
    </row>
    <row r="324" spans="1:9" x14ac:dyDescent="0.35">
      <c r="A324" s="1351"/>
      <c r="B324" s="110">
        <v>53211030000000</v>
      </c>
      <c r="C324" s="374" t="s">
        <v>94</v>
      </c>
      <c r="D324" s="543">
        <v>0</v>
      </c>
      <c r="E324" s="388"/>
      <c r="F324" s="93"/>
      <c r="G324" s="113">
        <f t="shared" si="61"/>
        <v>0</v>
      </c>
      <c r="H324" s="332">
        <f t="shared" si="62"/>
        <v>0</v>
      </c>
      <c r="I324" s="544"/>
    </row>
    <row r="325" spans="1:9" x14ac:dyDescent="0.35">
      <c r="A325" s="1351"/>
      <c r="B325" s="110">
        <v>53212020100000</v>
      </c>
      <c r="C325" s="374" t="s">
        <v>95</v>
      </c>
      <c r="D325" s="543">
        <v>230000</v>
      </c>
      <c r="E325" s="388"/>
      <c r="F325" s="93"/>
      <c r="G325" s="113">
        <f t="shared" si="61"/>
        <v>0</v>
      </c>
      <c r="H325" s="332">
        <f t="shared" si="62"/>
        <v>230000</v>
      </c>
      <c r="I325" s="544" t="s">
        <v>417</v>
      </c>
    </row>
    <row r="326" spans="1:9" x14ac:dyDescent="0.35">
      <c r="A326" s="1351"/>
      <c r="B326" s="110">
        <v>53214020000000</v>
      </c>
      <c r="C326" s="374" t="s">
        <v>96</v>
      </c>
      <c r="D326" s="542">
        <v>0</v>
      </c>
      <c r="E326" s="386"/>
      <c r="F326" s="88"/>
      <c r="G326" s="113">
        <f t="shared" si="61"/>
        <v>0</v>
      </c>
      <c r="H326" s="332">
        <f t="shared" si="62"/>
        <v>0</v>
      </c>
      <c r="I326" s="544"/>
    </row>
    <row r="327" spans="1:9" x14ac:dyDescent="0.35">
      <c r="A327" s="1351"/>
      <c r="B327" s="123"/>
      <c r="C327" s="378" t="s">
        <v>97</v>
      </c>
      <c r="D327" s="399">
        <f>SUM(D328,D333,D336,D347,D357,D365)</f>
        <v>523000</v>
      </c>
      <c r="E327" s="383"/>
      <c r="F327" s="77"/>
      <c r="G327" s="127">
        <f>SUM(G328,G333,G336,G347,G357,G365)</f>
        <v>0</v>
      </c>
      <c r="H327" s="324">
        <f>SUM(H328,H333,H336,H347,H357,H365)</f>
        <v>523000</v>
      </c>
      <c r="I327" s="544"/>
    </row>
    <row r="328" spans="1:9" x14ac:dyDescent="0.35">
      <c r="A328" s="1351"/>
      <c r="B328" s="114"/>
      <c r="C328" s="375" t="s">
        <v>98</v>
      </c>
      <c r="D328" s="365">
        <f>SUM(D329:D332)</f>
        <v>0</v>
      </c>
      <c r="E328" s="387"/>
      <c r="F328" s="90"/>
      <c r="G328" s="126">
        <f>SUM(G329:G332)</f>
        <v>0</v>
      </c>
      <c r="H328" s="338">
        <f>SUM(H329:H332)</f>
        <v>0</v>
      </c>
      <c r="I328" s="544"/>
    </row>
    <row r="329" spans="1:9" x14ac:dyDescent="0.35">
      <c r="A329" s="1351"/>
      <c r="B329" s="110">
        <v>53202020100000</v>
      </c>
      <c r="C329" s="374" t="s">
        <v>99</v>
      </c>
      <c r="D329" s="359"/>
      <c r="E329" s="388"/>
      <c r="F329" s="93"/>
      <c r="G329" s="113">
        <f>E329*F329</f>
        <v>0</v>
      </c>
      <c r="H329" s="332">
        <f t="shared" ref="H329:H332" si="63">D329+G329</f>
        <v>0</v>
      </c>
      <c r="I329" s="544"/>
    </row>
    <row r="330" spans="1:9" x14ac:dyDescent="0.35">
      <c r="A330" s="1351"/>
      <c r="B330" s="110">
        <v>53202030000000</v>
      </c>
      <c r="C330" s="374" t="s">
        <v>100</v>
      </c>
      <c r="D330" s="362"/>
      <c r="E330" s="386"/>
      <c r="F330" s="88"/>
      <c r="G330" s="113">
        <f t="shared" ref="G330:G332" si="64">E330*F330</f>
        <v>0</v>
      </c>
      <c r="H330" s="332">
        <f t="shared" si="63"/>
        <v>0</v>
      </c>
      <c r="I330" s="544"/>
    </row>
    <row r="331" spans="1:9" x14ac:dyDescent="0.35">
      <c r="A331" s="1351"/>
      <c r="B331" s="110">
        <v>53211020000000</v>
      </c>
      <c r="C331" s="374" t="s">
        <v>101</v>
      </c>
      <c r="D331" s="359"/>
      <c r="E331" s="388"/>
      <c r="F331" s="93"/>
      <c r="G331" s="113">
        <f t="shared" si="64"/>
        <v>0</v>
      </c>
      <c r="H331" s="332">
        <f t="shared" si="63"/>
        <v>0</v>
      </c>
      <c r="I331" s="544"/>
    </row>
    <row r="332" spans="1:9" x14ac:dyDescent="0.35">
      <c r="A332" s="1351"/>
      <c r="B332" s="110">
        <v>53101004030000</v>
      </c>
      <c r="C332" s="374" t="s">
        <v>102</v>
      </c>
      <c r="D332" s="362"/>
      <c r="E332" s="386"/>
      <c r="F332" s="88"/>
      <c r="G332" s="113">
        <f t="shared" si="64"/>
        <v>0</v>
      </c>
      <c r="H332" s="332">
        <f t="shared" si="63"/>
        <v>0</v>
      </c>
      <c r="I332" s="544"/>
    </row>
    <row r="333" spans="1:9" x14ac:dyDescent="0.35">
      <c r="A333" s="1351"/>
      <c r="B333" s="114"/>
      <c r="C333" s="375" t="s">
        <v>103</v>
      </c>
      <c r="D333" s="365"/>
      <c r="E333" s="387"/>
      <c r="F333" s="90"/>
      <c r="G333" s="126">
        <f>SUM(G334:G335)</f>
        <v>0</v>
      </c>
      <c r="H333" s="338">
        <f>SUM(H334:H335)</f>
        <v>0</v>
      </c>
      <c r="I333" s="544"/>
    </row>
    <row r="334" spans="1:9" x14ac:dyDescent="0.35">
      <c r="A334" s="1351"/>
      <c r="B334" s="110">
        <v>53205080000000</v>
      </c>
      <c r="C334" s="382" t="s">
        <v>104</v>
      </c>
      <c r="D334" s="362"/>
      <c r="E334" s="386"/>
      <c r="F334" s="88"/>
      <c r="G334" s="113">
        <f t="shared" ref="G334:G335" si="65">E334*F334</f>
        <v>0</v>
      </c>
      <c r="H334" s="332">
        <f t="shared" ref="H334:H335" si="66">D334+G334</f>
        <v>0</v>
      </c>
      <c r="I334" s="544"/>
    </row>
    <row r="335" spans="1:9" x14ac:dyDescent="0.35">
      <c r="A335" s="1351"/>
      <c r="B335" s="110">
        <v>53205990000000</v>
      </c>
      <c r="C335" s="374" t="s">
        <v>105</v>
      </c>
      <c r="D335" s="359"/>
      <c r="E335" s="388"/>
      <c r="F335" s="93"/>
      <c r="G335" s="113">
        <f t="shared" si="65"/>
        <v>0</v>
      </c>
      <c r="H335" s="332">
        <f t="shared" si="66"/>
        <v>0</v>
      </c>
      <c r="I335" s="544"/>
    </row>
    <row r="336" spans="1:9" x14ac:dyDescent="0.35">
      <c r="A336" s="1351"/>
      <c r="B336" s="114"/>
      <c r="C336" s="375" t="s">
        <v>106</v>
      </c>
      <c r="D336" s="365">
        <f>SUM(D337:D346)</f>
        <v>323000</v>
      </c>
      <c r="E336" s="387"/>
      <c r="F336" s="90"/>
      <c r="G336" s="115">
        <f>SUM(G337:G346)</f>
        <v>0</v>
      </c>
      <c r="H336" s="323">
        <f>SUM(H337:H346)</f>
        <v>323000</v>
      </c>
      <c r="I336" s="544"/>
    </row>
    <row r="337" spans="1:9" x14ac:dyDescent="0.35">
      <c r="A337" s="1351"/>
      <c r="B337" s="110">
        <v>53203010200000</v>
      </c>
      <c r="C337" s="374" t="s">
        <v>107</v>
      </c>
      <c r="D337" s="542">
        <v>0</v>
      </c>
      <c r="E337" s="389"/>
      <c r="F337" s="88"/>
      <c r="G337" s="113">
        <f t="shared" ref="G337:G346" si="67">E337*F337</f>
        <v>0</v>
      </c>
      <c r="H337" s="332">
        <f t="shared" ref="H337:H346" si="68">D337+G337</f>
        <v>0</v>
      </c>
      <c r="I337" s="544"/>
    </row>
    <row r="338" spans="1:9" x14ac:dyDescent="0.35">
      <c r="A338" s="1351"/>
      <c r="B338" s="110">
        <v>53204010000000</v>
      </c>
      <c r="C338" s="374" t="s">
        <v>108</v>
      </c>
      <c r="D338" s="543">
        <v>0</v>
      </c>
      <c r="E338" s="390"/>
      <c r="F338" s="93"/>
      <c r="G338" s="113">
        <f t="shared" si="67"/>
        <v>0</v>
      </c>
      <c r="H338" s="332">
        <f t="shared" si="68"/>
        <v>0</v>
      </c>
      <c r="I338" s="544"/>
    </row>
    <row r="339" spans="1:9" x14ac:dyDescent="0.35">
      <c r="A339" s="1351"/>
      <c r="B339" s="110">
        <v>53204040200000</v>
      </c>
      <c r="C339" s="382" t="s">
        <v>109</v>
      </c>
      <c r="D339" s="543">
        <v>20000</v>
      </c>
      <c r="E339" s="390"/>
      <c r="F339" s="93"/>
      <c r="G339" s="113">
        <f t="shared" si="67"/>
        <v>0</v>
      </c>
      <c r="H339" s="332">
        <f t="shared" si="68"/>
        <v>20000</v>
      </c>
      <c r="I339" s="544" t="s">
        <v>394</v>
      </c>
    </row>
    <row r="340" spans="1:9" x14ac:dyDescent="0.35">
      <c r="A340" s="1351"/>
      <c r="B340" s="110">
        <v>53204060000000</v>
      </c>
      <c r="C340" s="382" t="s">
        <v>110</v>
      </c>
      <c r="D340" s="543">
        <v>0</v>
      </c>
      <c r="E340" s="390"/>
      <c r="F340" s="93"/>
      <c r="G340" s="113">
        <f t="shared" si="67"/>
        <v>0</v>
      </c>
      <c r="H340" s="332">
        <f t="shared" si="68"/>
        <v>0</v>
      </c>
      <c r="I340" s="544"/>
    </row>
    <row r="341" spans="1:9" x14ac:dyDescent="0.35">
      <c r="A341" s="1351"/>
      <c r="B341" s="110">
        <v>53204070000000</v>
      </c>
      <c r="C341" s="374" t="s">
        <v>111</v>
      </c>
      <c r="D341" s="543">
        <v>238000</v>
      </c>
      <c r="E341" s="390"/>
      <c r="F341" s="93"/>
      <c r="G341" s="113">
        <f t="shared" si="67"/>
        <v>0</v>
      </c>
      <c r="H341" s="332">
        <f t="shared" si="68"/>
        <v>238000</v>
      </c>
      <c r="I341" s="544" t="s">
        <v>418</v>
      </c>
    </row>
    <row r="342" spans="1:9" x14ac:dyDescent="0.35">
      <c r="A342" s="1351"/>
      <c r="B342" s="110">
        <v>53204080000000</v>
      </c>
      <c r="C342" s="382" t="s">
        <v>112</v>
      </c>
      <c r="D342" s="543">
        <v>65000</v>
      </c>
      <c r="E342" s="390"/>
      <c r="F342" s="93"/>
      <c r="G342" s="113">
        <f t="shared" si="67"/>
        <v>0</v>
      </c>
      <c r="H342" s="332">
        <f t="shared" si="68"/>
        <v>65000</v>
      </c>
      <c r="I342" s="544" t="s">
        <v>419</v>
      </c>
    </row>
    <row r="343" spans="1:9" x14ac:dyDescent="0.35">
      <c r="A343" s="1351"/>
      <c r="B343" s="110">
        <v>53214010000000</v>
      </c>
      <c r="C343" s="382" t="s">
        <v>113</v>
      </c>
      <c r="D343" s="542">
        <v>0</v>
      </c>
      <c r="E343" s="389"/>
      <c r="F343" s="88"/>
      <c r="G343" s="113">
        <f t="shared" si="67"/>
        <v>0</v>
      </c>
      <c r="H343" s="332">
        <f t="shared" si="68"/>
        <v>0</v>
      </c>
      <c r="I343" s="544"/>
    </row>
    <row r="344" spans="1:9" x14ac:dyDescent="0.35">
      <c r="A344" s="1351"/>
      <c r="B344" s="110">
        <v>53214040000000</v>
      </c>
      <c r="C344" s="374" t="s">
        <v>114</v>
      </c>
      <c r="D344" s="542">
        <v>0</v>
      </c>
      <c r="E344" s="389"/>
      <c r="F344" s="88"/>
      <c r="G344" s="113">
        <f t="shared" si="67"/>
        <v>0</v>
      </c>
      <c r="H344" s="332">
        <f t="shared" si="68"/>
        <v>0</v>
      </c>
      <c r="I344" s="544"/>
    </row>
    <row r="345" spans="1:9" x14ac:dyDescent="0.35">
      <c r="A345" s="1351"/>
      <c r="B345" s="110">
        <v>55201010100004</v>
      </c>
      <c r="C345" s="374" t="s">
        <v>115</v>
      </c>
      <c r="D345" s="542">
        <v>0</v>
      </c>
      <c r="E345" s="389"/>
      <c r="F345" s="88"/>
      <c r="G345" s="113">
        <f t="shared" si="67"/>
        <v>0</v>
      </c>
      <c r="H345" s="332">
        <f t="shared" si="68"/>
        <v>0</v>
      </c>
      <c r="I345" s="544"/>
    </row>
    <row r="346" spans="1:9" x14ac:dyDescent="0.35">
      <c r="A346" s="1351"/>
      <c r="B346" s="110">
        <v>55201010100005</v>
      </c>
      <c r="C346" s="374" t="s">
        <v>116</v>
      </c>
      <c r="D346" s="542">
        <v>0</v>
      </c>
      <c r="E346" s="389"/>
      <c r="F346" s="88"/>
      <c r="G346" s="113">
        <f t="shared" si="67"/>
        <v>0</v>
      </c>
      <c r="H346" s="332">
        <f t="shared" si="68"/>
        <v>0</v>
      </c>
      <c r="I346" s="544"/>
    </row>
    <row r="347" spans="1:9" x14ac:dyDescent="0.35">
      <c r="A347" s="1351"/>
      <c r="B347" s="114"/>
      <c r="C347" s="375" t="s">
        <v>117</v>
      </c>
      <c r="D347" s="365">
        <f>SUM(D348:D356)</f>
        <v>0</v>
      </c>
      <c r="E347" s="387"/>
      <c r="F347" s="90"/>
      <c r="G347" s="115">
        <f>SUM(G348:G356)</f>
        <v>0</v>
      </c>
      <c r="H347" s="323">
        <f>SUM(H348:H356)</f>
        <v>0</v>
      </c>
      <c r="I347" s="544"/>
    </row>
    <row r="348" spans="1:9" x14ac:dyDescent="0.35">
      <c r="A348" s="1351"/>
      <c r="B348" s="110">
        <v>53207010000000</v>
      </c>
      <c r="C348" s="374" t="s">
        <v>118</v>
      </c>
      <c r="D348" s="359">
        <v>0</v>
      </c>
      <c r="E348" s="390"/>
      <c r="F348" s="93"/>
      <c r="G348" s="113">
        <f t="shared" ref="G348:G356" si="69">E348*F348</f>
        <v>0</v>
      </c>
      <c r="H348" s="332">
        <f t="shared" ref="H348:H356" si="70">D348+G348</f>
        <v>0</v>
      </c>
      <c r="I348" s="544"/>
    </row>
    <row r="349" spans="1:9" x14ac:dyDescent="0.35">
      <c r="A349" s="1351"/>
      <c r="B349" s="110">
        <v>53207020000000</v>
      </c>
      <c r="C349" s="374" t="s">
        <v>119</v>
      </c>
      <c r="D349" s="359">
        <v>0</v>
      </c>
      <c r="E349" s="390"/>
      <c r="F349" s="93"/>
      <c r="G349" s="113">
        <f t="shared" si="69"/>
        <v>0</v>
      </c>
      <c r="H349" s="332">
        <f t="shared" si="70"/>
        <v>0</v>
      </c>
      <c r="I349" s="544"/>
    </row>
    <row r="350" spans="1:9" x14ac:dyDescent="0.35">
      <c r="A350" s="1351"/>
      <c r="B350" s="110">
        <v>53208020000000</v>
      </c>
      <c r="C350" s="374" t="s">
        <v>120</v>
      </c>
      <c r="D350" s="359">
        <v>0</v>
      </c>
      <c r="E350" s="390"/>
      <c r="F350" s="93"/>
      <c r="G350" s="113">
        <f t="shared" si="69"/>
        <v>0</v>
      </c>
      <c r="H350" s="332">
        <f t="shared" si="70"/>
        <v>0</v>
      </c>
      <c r="I350" s="544"/>
    </row>
    <row r="351" spans="1:9" x14ac:dyDescent="0.35">
      <c r="A351" s="1351"/>
      <c r="B351" s="110">
        <v>53208990000000</v>
      </c>
      <c r="C351" s="374" t="s">
        <v>121</v>
      </c>
      <c r="D351" s="359">
        <v>0</v>
      </c>
      <c r="E351" s="390"/>
      <c r="F351" s="93"/>
      <c r="G351" s="113">
        <f t="shared" si="69"/>
        <v>0</v>
      </c>
      <c r="H351" s="332">
        <f t="shared" si="70"/>
        <v>0</v>
      </c>
      <c r="I351" s="544"/>
    </row>
    <row r="352" spans="1:9" x14ac:dyDescent="0.35">
      <c r="A352" s="1351"/>
      <c r="B352" s="110">
        <v>53209010000000</v>
      </c>
      <c r="C352" s="374" t="s">
        <v>122</v>
      </c>
      <c r="D352" s="359">
        <v>0</v>
      </c>
      <c r="E352" s="390"/>
      <c r="F352" s="93"/>
      <c r="G352" s="113">
        <f t="shared" si="69"/>
        <v>0</v>
      </c>
      <c r="H352" s="332">
        <f t="shared" si="70"/>
        <v>0</v>
      </c>
      <c r="I352" s="544"/>
    </row>
    <row r="353" spans="1:9" x14ac:dyDescent="0.35">
      <c r="A353" s="1351"/>
      <c r="B353" s="110">
        <v>53209040000000</v>
      </c>
      <c r="C353" s="374" t="s">
        <v>123</v>
      </c>
      <c r="D353" s="359">
        <v>0</v>
      </c>
      <c r="E353" s="390"/>
      <c r="F353" s="93"/>
      <c r="G353" s="113">
        <f t="shared" si="69"/>
        <v>0</v>
      </c>
      <c r="H353" s="332">
        <f t="shared" si="70"/>
        <v>0</v>
      </c>
      <c r="I353" s="544"/>
    </row>
    <row r="354" spans="1:9" x14ac:dyDescent="0.35">
      <c r="A354" s="1351"/>
      <c r="B354" s="110">
        <v>53209050000000</v>
      </c>
      <c r="C354" s="374" t="s">
        <v>124</v>
      </c>
      <c r="D354" s="359">
        <v>0</v>
      </c>
      <c r="E354" s="390"/>
      <c r="F354" s="93"/>
      <c r="G354" s="113">
        <f t="shared" si="69"/>
        <v>0</v>
      </c>
      <c r="H354" s="332">
        <f t="shared" si="70"/>
        <v>0</v>
      </c>
      <c r="I354" s="544"/>
    </row>
    <row r="355" spans="1:9" x14ac:dyDescent="0.35">
      <c r="A355" s="1351"/>
      <c r="B355" s="110">
        <v>53209990000000</v>
      </c>
      <c r="C355" s="374" t="s">
        <v>125</v>
      </c>
      <c r="D355" s="359">
        <v>0</v>
      </c>
      <c r="E355" s="390"/>
      <c r="F355" s="93"/>
      <c r="G355" s="113">
        <f t="shared" si="69"/>
        <v>0</v>
      </c>
      <c r="H355" s="332">
        <f t="shared" si="70"/>
        <v>0</v>
      </c>
      <c r="I355" s="544"/>
    </row>
    <row r="356" spans="1:9" x14ac:dyDescent="0.35">
      <c r="A356" s="1351"/>
      <c r="B356" s="110">
        <v>53210020100000</v>
      </c>
      <c r="C356" s="374" t="s">
        <v>126</v>
      </c>
      <c r="D356" s="543"/>
      <c r="E356" s="390"/>
      <c r="F356" s="93"/>
      <c r="G356" s="113">
        <f t="shared" si="69"/>
        <v>0</v>
      </c>
      <c r="H356" s="332">
        <f t="shared" si="70"/>
        <v>0</v>
      </c>
      <c r="I356" s="544"/>
    </row>
    <row r="357" spans="1:9" x14ac:dyDescent="0.35">
      <c r="A357" s="1351"/>
      <c r="B357" s="114"/>
      <c r="C357" s="375" t="s">
        <v>127</v>
      </c>
      <c r="D357" s="365">
        <f>SUM(D358:D364)</f>
        <v>200000</v>
      </c>
      <c r="E357" s="387"/>
      <c r="F357" s="90"/>
      <c r="G357" s="115">
        <f>SUM(G358:G364)</f>
        <v>0</v>
      </c>
      <c r="H357" s="323">
        <f>SUM(H358:H364)</f>
        <v>200000</v>
      </c>
      <c r="I357" s="544"/>
    </row>
    <row r="358" spans="1:9" x14ac:dyDescent="0.35">
      <c r="A358" s="1351"/>
      <c r="B358" s="110">
        <v>53206030000000</v>
      </c>
      <c r="C358" s="374" t="s">
        <v>128</v>
      </c>
      <c r="D358" s="359"/>
      <c r="E358" s="390"/>
      <c r="F358" s="93"/>
      <c r="G358" s="113">
        <f t="shared" ref="G358:G364" si="71">E358*F358</f>
        <v>0</v>
      </c>
      <c r="H358" s="332">
        <f t="shared" ref="H358:H364" si="72">D358+G358</f>
        <v>0</v>
      </c>
      <c r="I358" s="544"/>
    </row>
    <row r="359" spans="1:9" x14ac:dyDescent="0.35">
      <c r="A359" s="1351"/>
      <c r="B359" s="110">
        <v>53206040000000</v>
      </c>
      <c r="C359" s="374" t="s">
        <v>129</v>
      </c>
      <c r="D359" s="359"/>
      <c r="E359" s="390"/>
      <c r="F359" s="93"/>
      <c r="G359" s="113">
        <f t="shared" si="71"/>
        <v>0</v>
      </c>
      <c r="H359" s="332">
        <f t="shared" si="72"/>
        <v>0</v>
      </c>
      <c r="I359" s="544"/>
    </row>
    <row r="360" spans="1:9" x14ac:dyDescent="0.35">
      <c r="A360" s="1351"/>
      <c r="B360" s="110">
        <v>53206060000000</v>
      </c>
      <c r="C360" s="374" t="s">
        <v>130</v>
      </c>
      <c r="D360" s="359"/>
      <c r="E360" s="390"/>
      <c r="F360" s="93"/>
      <c r="G360" s="113">
        <f t="shared" si="71"/>
        <v>0</v>
      </c>
      <c r="H360" s="332">
        <f t="shared" si="72"/>
        <v>0</v>
      </c>
      <c r="I360" s="544"/>
    </row>
    <row r="361" spans="1:9" x14ac:dyDescent="0.35">
      <c r="A361" s="1351"/>
      <c r="B361" s="110">
        <v>53206070000000</v>
      </c>
      <c r="C361" s="374" t="s">
        <v>131</v>
      </c>
      <c r="D361" s="359"/>
      <c r="E361" s="390"/>
      <c r="F361" s="93"/>
      <c r="G361" s="113">
        <f t="shared" si="71"/>
        <v>0</v>
      </c>
      <c r="H361" s="332">
        <f t="shared" si="72"/>
        <v>0</v>
      </c>
      <c r="I361" s="544"/>
    </row>
    <row r="362" spans="1:9" x14ac:dyDescent="0.35">
      <c r="A362" s="1351"/>
      <c r="B362" s="110">
        <v>53206990000000</v>
      </c>
      <c r="C362" s="374" t="s">
        <v>132</v>
      </c>
      <c r="D362" s="359"/>
      <c r="E362" s="390"/>
      <c r="F362" s="93"/>
      <c r="G362" s="113">
        <f t="shared" si="71"/>
        <v>0</v>
      </c>
      <c r="H362" s="332">
        <f t="shared" si="72"/>
        <v>0</v>
      </c>
      <c r="I362" s="544"/>
    </row>
    <row r="363" spans="1:9" x14ac:dyDescent="0.35">
      <c r="A363" s="1351"/>
      <c r="B363" s="110">
        <v>53208030000000</v>
      </c>
      <c r="C363" s="374" t="s">
        <v>133</v>
      </c>
      <c r="D363" s="359"/>
      <c r="E363" s="390"/>
      <c r="F363" s="93"/>
      <c r="G363" s="113">
        <f t="shared" si="71"/>
        <v>0</v>
      </c>
      <c r="H363" s="332">
        <f t="shared" si="72"/>
        <v>0</v>
      </c>
      <c r="I363" s="544"/>
    </row>
    <row r="364" spans="1:9" x14ac:dyDescent="0.35">
      <c r="A364" s="1351"/>
      <c r="B364" s="110">
        <v>53212060000000</v>
      </c>
      <c r="C364" s="374" t="s">
        <v>134</v>
      </c>
      <c r="D364" s="542">
        <v>200000</v>
      </c>
      <c r="E364" s="389"/>
      <c r="F364" s="88"/>
      <c r="G364" s="113">
        <f t="shared" si="71"/>
        <v>0</v>
      </c>
      <c r="H364" s="332">
        <f t="shared" si="72"/>
        <v>200000</v>
      </c>
      <c r="I364" s="544" t="s">
        <v>420</v>
      </c>
    </row>
    <row r="365" spans="1:9" x14ac:dyDescent="0.35">
      <c r="A365" s="1351"/>
      <c r="B365" s="114"/>
      <c r="C365" s="375" t="s">
        <v>135</v>
      </c>
      <c r="D365" s="365">
        <f>SUM(D366:D367)</f>
        <v>0</v>
      </c>
      <c r="E365" s="387"/>
      <c r="F365" s="90"/>
      <c r="G365" s="115">
        <f>SUM(G366:G367)</f>
        <v>0</v>
      </c>
      <c r="H365" s="323">
        <f>SUM(H366:H367)</f>
        <v>0</v>
      </c>
      <c r="I365" s="544"/>
    </row>
    <row r="366" spans="1:9" x14ac:dyDescent="0.35">
      <c r="A366" s="1351"/>
      <c r="B366" s="110">
        <v>53210020500000</v>
      </c>
      <c r="C366" s="374" t="s">
        <v>136</v>
      </c>
      <c r="D366" s="362"/>
      <c r="E366" s="389"/>
      <c r="F366" s="88"/>
      <c r="G366" s="113">
        <f t="shared" ref="G366:G367" si="73">E366*F366</f>
        <v>0</v>
      </c>
      <c r="H366" s="333">
        <f t="shared" ref="H366:H367" si="74">D366+G366</f>
        <v>0</v>
      </c>
      <c r="I366" s="544"/>
    </row>
    <row r="367" spans="1:9" x14ac:dyDescent="0.35">
      <c r="A367" s="1351"/>
      <c r="B367" s="116">
        <v>53204999000000</v>
      </c>
      <c r="C367" s="376" t="s">
        <v>137</v>
      </c>
      <c r="D367" s="359"/>
      <c r="E367" s="390"/>
      <c r="F367" s="93"/>
      <c r="G367" s="117">
        <f t="shared" si="73"/>
        <v>0</v>
      </c>
      <c r="H367" s="333">
        <f t="shared" si="74"/>
        <v>0</v>
      </c>
      <c r="I367" s="544"/>
    </row>
    <row r="368" spans="1:9" x14ac:dyDescent="0.35">
      <c r="A368" s="1349"/>
      <c r="B368" s="118"/>
      <c r="C368" s="377" t="s">
        <v>13</v>
      </c>
      <c r="D368" s="400">
        <f>SUM(D299,D327)</f>
        <v>11069948</v>
      </c>
      <c r="E368" s="393"/>
      <c r="F368" s="120"/>
      <c r="G368" s="119">
        <f>SUM(G299,G327)</f>
        <v>0</v>
      </c>
      <c r="H368" s="328">
        <f>SUM(H299,H327)</f>
        <v>11069948</v>
      </c>
      <c r="I368" s="544"/>
    </row>
    <row r="369" spans="1:9" x14ac:dyDescent="0.35">
      <c r="A369" s="1352" t="s">
        <v>22</v>
      </c>
      <c r="B369" s="1354" t="s">
        <v>61</v>
      </c>
      <c r="C369" s="1356" t="s">
        <v>62</v>
      </c>
      <c r="D369" s="1358" t="s">
        <v>63</v>
      </c>
      <c r="E369" s="1359" t="s">
        <v>64</v>
      </c>
      <c r="F369" s="1360"/>
      <c r="G369" s="1361"/>
      <c r="H369" s="1344" t="str">
        <f>+H297</f>
        <v>COSTO DIRECTO ESTIMADO 2026</v>
      </c>
      <c r="I369" s="1346" t="s">
        <v>65</v>
      </c>
    </row>
    <row r="370" spans="1:9" ht="39" x14ac:dyDescent="0.35">
      <c r="A370" s="1353"/>
      <c r="B370" s="1355"/>
      <c r="C370" s="1357"/>
      <c r="D370" s="1358"/>
      <c r="E370" s="394" t="s">
        <v>66</v>
      </c>
      <c r="F370" s="121" t="s">
        <v>67</v>
      </c>
      <c r="G370" s="122" t="s">
        <v>68</v>
      </c>
      <c r="H370" s="1345"/>
      <c r="I370" s="1346"/>
    </row>
    <row r="371" spans="1:9" x14ac:dyDescent="0.35">
      <c r="A371" s="1350" t="str">
        <f>+'B) Reajuste Tarifa y Ocupación'!A37</f>
        <v>SALA EVENTOS - QUINCHO BERMUDEZ</v>
      </c>
      <c r="B371" s="123"/>
      <c r="C371" s="378" t="s">
        <v>69</v>
      </c>
      <c r="D371" s="397">
        <f>SUM(D372,D377,D379)</f>
        <v>918000</v>
      </c>
      <c r="E371" s="383"/>
      <c r="F371" s="77"/>
      <c r="G371" s="76">
        <f>SUM(G372,G377,G379)</f>
        <v>0</v>
      </c>
      <c r="H371" s="334">
        <f>SUM(H372,H377,H379)</f>
        <v>918000</v>
      </c>
      <c r="I371" s="317"/>
    </row>
    <row r="372" spans="1:9" x14ac:dyDescent="0.35">
      <c r="A372" s="1351"/>
      <c r="B372" s="114"/>
      <c r="C372" s="375" t="s">
        <v>70</v>
      </c>
      <c r="D372" s="365">
        <f>SUM(D373:D376)</f>
        <v>0</v>
      </c>
      <c r="E372" s="384"/>
      <c r="F372" s="81"/>
      <c r="G372" s="80">
        <f>SUM(G373:G376)</f>
        <v>0</v>
      </c>
      <c r="H372" s="335">
        <f>SUM(H373:H376)</f>
        <v>0</v>
      </c>
      <c r="I372" s="317"/>
    </row>
    <row r="373" spans="1:9" x14ac:dyDescent="0.35">
      <c r="A373" s="1351"/>
      <c r="B373" s="110">
        <v>53103040100000</v>
      </c>
      <c r="C373" s="374" t="s">
        <v>71</v>
      </c>
      <c r="D373" s="398">
        <f>+'F) Remuneraciones'!M123</f>
        <v>0</v>
      </c>
      <c r="E373" s="385"/>
      <c r="F373" s="85"/>
      <c r="G373" s="85"/>
      <c r="H373" s="336">
        <f>D373+G373</f>
        <v>0</v>
      </c>
      <c r="I373" s="317"/>
    </row>
    <row r="374" spans="1:9" x14ac:dyDescent="0.35">
      <c r="A374" s="1351"/>
      <c r="B374" s="110">
        <v>53103050000000</v>
      </c>
      <c r="C374" s="374" t="s">
        <v>72</v>
      </c>
      <c r="D374" s="362"/>
      <c r="E374" s="396"/>
      <c r="F374" s="111"/>
      <c r="G374" s="112">
        <f>E374*F374</f>
        <v>0</v>
      </c>
      <c r="H374" s="337">
        <f t="shared" ref="H374:H376" si="75">D374+G374</f>
        <v>0</v>
      </c>
      <c r="I374" s="317"/>
    </row>
    <row r="375" spans="1:9" x14ac:dyDescent="0.35">
      <c r="A375" s="1351"/>
      <c r="B375" s="110">
        <v>53103060000000</v>
      </c>
      <c r="C375" s="374" t="s">
        <v>73</v>
      </c>
      <c r="D375" s="362"/>
      <c r="E375" s="386"/>
      <c r="F375" s="88"/>
      <c r="G375" s="113">
        <f t="shared" ref="G375:G376" si="76">E375*F375</f>
        <v>0</v>
      </c>
      <c r="H375" s="332">
        <f t="shared" si="75"/>
        <v>0</v>
      </c>
      <c r="I375" s="317"/>
    </row>
    <row r="376" spans="1:9" x14ac:dyDescent="0.35">
      <c r="A376" s="1351"/>
      <c r="B376" s="110">
        <v>53103080010000</v>
      </c>
      <c r="C376" s="374" t="s">
        <v>74</v>
      </c>
      <c r="D376" s="362"/>
      <c r="E376" s="386"/>
      <c r="F376" s="88"/>
      <c r="G376" s="113">
        <f t="shared" si="76"/>
        <v>0</v>
      </c>
      <c r="H376" s="332">
        <f t="shared" si="75"/>
        <v>0</v>
      </c>
      <c r="I376" s="317"/>
    </row>
    <row r="377" spans="1:9" x14ac:dyDescent="0.35">
      <c r="A377" s="1351"/>
      <c r="B377" s="114"/>
      <c r="C377" s="375" t="s">
        <v>75</v>
      </c>
      <c r="D377" s="365">
        <f>SUM(D378)</f>
        <v>0</v>
      </c>
      <c r="E377" s="387"/>
      <c r="F377" s="90"/>
      <c r="G377" s="126">
        <f>SUM(G378:G378)</f>
        <v>0</v>
      </c>
      <c r="H377" s="323">
        <f>SUM(H378:H378)</f>
        <v>0</v>
      </c>
      <c r="I377" s="317"/>
    </row>
    <row r="378" spans="1:9" x14ac:dyDescent="0.35">
      <c r="A378" s="1351"/>
      <c r="B378" s="110">
        <v>55201010100001</v>
      </c>
      <c r="C378" s="374" t="s">
        <v>76</v>
      </c>
      <c r="D378" s="362"/>
      <c r="E378" s="386"/>
      <c r="F378" s="88"/>
      <c r="G378" s="113">
        <f t="shared" ref="G378" si="77">E378*F378</f>
        <v>0</v>
      </c>
      <c r="H378" s="332">
        <f>D378+G378</f>
        <v>0</v>
      </c>
      <c r="I378" s="317"/>
    </row>
    <row r="379" spans="1:9" x14ac:dyDescent="0.35">
      <c r="A379" s="1351"/>
      <c r="B379" s="114"/>
      <c r="C379" s="375" t="s">
        <v>77</v>
      </c>
      <c r="D379" s="365">
        <f>SUM(D380:D398)</f>
        <v>918000</v>
      </c>
      <c r="E379" s="387"/>
      <c r="F379" s="90"/>
      <c r="G379" s="115">
        <f>SUM(G380:G398)</f>
        <v>0</v>
      </c>
      <c r="H379" s="323">
        <f>SUM(H380:H398)</f>
        <v>918000</v>
      </c>
      <c r="I379" s="317"/>
    </row>
    <row r="380" spans="1:9" x14ac:dyDescent="0.35">
      <c r="A380" s="1351"/>
      <c r="B380" s="110">
        <v>53201010100000</v>
      </c>
      <c r="C380" s="374" t="s">
        <v>78</v>
      </c>
      <c r="D380" s="362">
        <v>0</v>
      </c>
      <c r="E380" s="386"/>
      <c r="F380" s="88"/>
      <c r="G380" s="113">
        <f t="shared" ref="G380:G398" si="78">E380*F380</f>
        <v>0</v>
      </c>
      <c r="H380" s="332">
        <f t="shared" ref="H380:H398" si="79">D380+G380</f>
        <v>0</v>
      </c>
      <c r="I380" s="317"/>
    </row>
    <row r="381" spans="1:9" x14ac:dyDescent="0.35">
      <c r="A381" s="1351"/>
      <c r="B381" s="110">
        <v>53202010100000</v>
      </c>
      <c r="C381" s="374" t="s">
        <v>79</v>
      </c>
      <c r="D381" s="362">
        <v>0</v>
      </c>
      <c r="E381" s="386"/>
      <c r="F381" s="88"/>
      <c r="G381" s="113">
        <f t="shared" si="78"/>
        <v>0</v>
      </c>
      <c r="H381" s="332">
        <f t="shared" si="79"/>
        <v>0</v>
      </c>
      <c r="I381" s="317"/>
    </row>
    <row r="382" spans="1:9" x14ac:dyDescent="0.35">
      <c r="A382" s="1351"/>
      <c r="B382" s="110">
        <v>53203010100000</v>
      </c>
      <c r="C382" s="374" t="s">
        <v>80</v>
      </c>
      <c r="D382" s="543">
        <v>0</v>
      </c>
      <c r="E382" s="388"/>
      <c r="F382" s="93"/>
      <c r="G382" s="113">
        <f t="shared" si="78"/>
        <v>0</v>
      </c>
      <c r="H382" s="332">
        <f t="shared" si="79"/>
        <v>0</v>
      </c>
      <c r="I382" s="317"/>
    </row>
    <row r="383" spans="1:9" x14ac:dyDescent="0.35">
      <c r="A383" s="1351"/>
      <c r="B383" s="110">
        <v>53203030000000</v>
      </c>
      <c r="C383" s="374" t="s">
        <v>81</v>
      </c>
      <c r="D383" s="543">
        <v>0</v>
      </c>
      <c r="E383" s="388"/>
      <c r="F383" s="93"/>
      <c r="G383" s="113">
        <f t="shared" si="78"/>
        <v>0</v>
      </c>
      <c r="H383" s="332">
        <f t="shared" si="79"/>
        <v>0</v>
      </c>
      <c r="I383" s="317"/>
    </row>
    <row r="384" spans="1:9" x14ac:dyDescent="0.35">
      <c r="A384" s="1351"/>
      <c r="B384" s="110">
        <v>53204030000000</v>
      </c>
      <c r="C384" s="374" t="s">
        <v>82</v>
      </c>
      <c r="D384" s="543">
        <v>13000</v>
      </c>
      <c r="E384" s="388"/>
      <c r="F384" s="93"/>
      <c r="G384" s="113">
        <f t="shared" si="78"/>
        <v>0</v>
      </c>
      <c r="H384" s="332">
        <f t="shared" si="79"/>
        <v>13000</v>
      </c>
      <c r="I384" s="544" t="s">
        <v>421</v>
      </c>
    </row>
    <row r="385" spans="1:9" x14ac:dyDescent="0.35">
      <c r="A385" s="1351"/>
      <c r="B385" s="110">
        <v>53204100100001</v>
      </c>
      <c r="C385" s="374" t="s">
        <v>83</v>
      </c>
      <c r="D385" s="543">
        <v>0</v>
      </c>
      <c r="E385" s="388"/>
      <c r="F385" s="93"/>
      <c r="G385" s="113">
        <f t="shared" si="78"/>
        <v>0</v>
      </c>
      <c r="H385" s="332">
        <f t="shared" si="79"/>
        <v>0</v>
      </c>
      <c r="I385" s="544"/>
    </row>
    <row r="386" spans="1:9" x14ac:dyDescent="0.35">
      <c r="A386" s="1351"/>
      <c r="B386" s="110">
        <v>53204130100000</v>
      </c>
      <c r="C386" s="374" t="s">
        <v>84</v>
      </c>
      <c r="D386" s="543">
        <v>0</v>
      </c>
      <c r="E386" s="388"/>
      <c r="F386" s="93"/>
      <c r="G386" s="113">
        <f t="shared" si="78"/>
        <v>0</v>
      </c>
      <c r="H386" s="332">
        <f t="shared" si="79"/>
        <v>0</v>
      </c>
      <c r="I386" s="544"/>
    </row>
    <row r="387" spans="1:9" x14ac:dyDescent="0.35">
      <c r="A387" s="1351"/>
      <c r="B387" s="110">
        <v>53205010100000</v>
      </c>
      <c r="C387" s="382" t="s">
        <v>85</v>
      </c>
      <c r="D387" s="543">
        <v>186500</v>
      </c>
      <c r="E387" s="388"/>
      <c r="F387" s="93"/>
      <c r="G387" s="113">
        <f t="shared" si="78"/>
        <v>0</v>
      </c>
      <c r="H387" s="332">
        <f t="shared" si="79"/>
        <v>186500</v>
      </c>
      <c r="I387" s="544" t="s">
        <v>486</v>
      </c>
    </row>
    <row r="388" spans="1:9" x14ac:dyDescent="0.35">
      <c r="A388" s="1351"/>
      <c r="B388" s="110">
        <v>53205020100000</v>
      </c>
      <c r="C388" s="382" t="s">
        <v>86</v>
      </c>
      <c r="D388" s="543">
        <v>140500</v>
      </c>
      <c r="E388" s="388"/>
      <c r="F388" s="93"/>
      <c r="G388" s="113">
        <f t="shared" si="78"/>
        <v>0</v>
      </c>
      <c r="H388" s="332">
        <f t="shared" si="79"/>
        <v>140500</v>
      </c>
      <c r="I388" s="544" t="s">
        <v>486</v>
      </c>
    </row>
    <row r="389" spans="1:9" x14ac:dyDescent="0.35">
      <c r="A389" s="1351"/>
      <c r="B389" s="110">
        <v>53205030100000</v>
      </c>
      <c r="C389" s="382" t="s">
        <v>87</v>
      </c>
      <c r="D389" s="543">
        <v>378000</v>
      </c>
      <c r="E389" s="388"/>
      <c r="F389" s="93"/>
      <c r="G389" s="113">
        <f t="shared" si="78"/>
        <v>0</v>
      </c>
      <c r="H389" s="332">
        <f t="shared" si="79"/>
        <v>378000</v>
      </c>
      <c r="I389" s="544" t="s">
        <v>486</v>
      </c>
    </row>
    <row r="390" spans="1:9" x14ac:dyDescent="0.35">
      <c r="A390" s="1351"/>
      <c r="B390" s="110">
        <v>53205050100000</v>
      </c>
      <c r="C390" s="374" t="s">
        <v>88</v>
      </c>
      <c r="D390" s="543">
        <v>0</v>
      </c>
      <c r="E390" s="388"/>
      <c r="F390" s="93"/>
      <c r="G390" s="113">
        <f t="shared" si="78"/>
        <v>0</v>
      </c>
      <c r="H390" s="332">
        <f t="shared" si="79"/>
        <v>0</v>
      </c>
      <c r="I390" s="317"/>
    </row>
    <row r="391" spans="1:9" x14ac:dyDescent="0.35">
      <c r="A391" s="1351"/>
      <c r="B391" s="110">
        <v>53205060100000</v>
      </c>
      <c r="C391" s="374" t="s">
        <v>89</v>
      </c>
      <c r="D391" s="543">
        <v>0</v>
      </c>
      <c r="E391" s="388"/>
      <c r="F391" s="93"/>
      <c r="G391" s="113">
        <f t="shared" si="78"/>
        <v>0</v>
      </c>
      <c r="H391" s="332">
        <f t="shared" si="79"/>
        <v>0</v>
      </c>
      <c r="I391" s="317"/>
    </row>
    <row r="392" spans="1:9" x14ac:dyDescent="0.35">
      <c r="A392" s="1351"/>
      <c r="B392" s="110">
        <v>53205070100000</v>
      </c>
      <c r="C392" s="374" t="s">
        <v>90</v>
      </c>
      <c r="D392" s="543">
        <v>0</v>
      </c>
      <c r="E392" s="388"/>
      <c r="F392" s="93"/>
      <c r="G392" s="113">
        <f t="shared" si="78"/>
        <v>0</v>
      </c>
      <c r="H392" s="332">
        <f t="shared" si="79"/>
        <v>0</v>
      </c>
      <c r="I392" s="549"/>
    </row>
    <row r="393" spans="1:9" x14ac:dyDescent="0.35">
      <c r="A393" s="1351"/>
      <c r="B393" s="110">
        <v>53208010100000</v>
      </c>
      <c r="C393" s="374" t="s">
        <v>91</v>
      </c>
      <c r="D393" s="543">
        <v>0</v>
      </c>
      <c r="E393" s="388"/>
      <c r="F393" s="93"/>
      <c r="G393" s="113">
        <f t="shared" si="78"/>
        <v>0</v>
      </c>
      <c r="H393" s="332">
        <f t="shared" si="79"/>
        <v>0</v>
      </c>
      <c r="I393" s="549"/>
    </row>
    <row r="394" spans="1:9" x14ac:dyDescent="0.35">
      <c r="A394" s="1351"/>
      <c r="B394" s="110">
        <v>53208070100001</v>
      </c>
      <c r="C394" s="374" t="s">
        <v>92</v>
      </c>
      <c r="D394" s="543">
        <v>0</v>
      </c>
      <c r="E394" s="388"/>
      <c r="F394" s="93"/>
      <c r="G394" s="113">
        <f t="shared" si="78"/>
        <v>0</v>
      </c>
      <c r="H394" s="332">
        <f t="shared" si="79"/>
        <v>0</v>
      </c>
      <c r="I394" s="549"/>
    </row>
    <row r="395" spans="1:9" x14ac:dyDescent="0.35">
      <c r="A395" s="1351"/>
      <c r="B395" s="110">
        <v>53208100100001</v>
      </c>
      <c r="C395" s="374" t="s">
        <v>93</v>
      </c>
      <c r="D395" s="543">
        <v>0</v>
      </c>
      <c r="E395" s="388"/>
      <c r="F395" s="93"/>
      <c r="G395" s="113">
        <f t="shared" si="78"/>
        <v>0</v>
      </c>
      <c r="H395" s="332">
        <f t="shared" si="79"/>
        <v>0</v>
      </c>
      <c r="I395" s="317"/>
    </row>
    <row r="396" spans="1:9" x14ac:dyDescent="0.35">
      <c r="A396" s="1351"/>
      <c r="B396" s="110">
        <v>53211030000000</v>
      </c>
      <c r="C396" s="374" t="s">
        <v>94</v>
      </c>
      <c r="D396" s="543">
        <v>0</v>
      </c>
      <c r="E396" s="388"/>
      <c r="F396" s="93"/>
      <c r="G396" s="113">
        <f t="shared" si="78"/>
        <v>0</v>
      </c>
      <c r="H396" s="332">
        <f t="shared" si="79"/>
        <v>0</v>
      </c>
      <c r="I396" s="317"/>
    </row>
    <row r="397" spans="1:9" x14ac:dyDescent="0.35">
      <c r="A397" s="1351"/>
      <c r="B397" s="110">
        <v>53212020100000</v>
      </c>
      <c r="C397" s="374" t="s">
        <v>95</v>
      </c>
      <c r="D397" s="543">
        <v>200000</v>
      </c>
      <c r="E397" s="388"/>
      <c r="F397" s="93"/>
      <c r="G397" s="113">
        <f t="shared" si="78"/>
        <v>0</v>
      </c>
      <c r="H397" s="332">
        <f t="shared" si="79"/>
        <v>200000</v>
      </c>
      <c r="I397" s="544" t="s">
        <v>417</v>
      </c>
    </row>
    <row r="398" spans="1:9" x14ac:dyDescent="0.35">
      <c r="A398" s="1351"/>
      <c r="B398" s="110">
        <v>53214020000000</v>
      </c>
      <c r="C398" s="374" t="s">
        <v>96</v>
      </c>
      <c r="D398" s="362">
        <v>0</v>
      </c>
      <c r="E398" s="386"/>
      <c r="F398" s="88"/>
      <c r="G398" s="113">
        <f t="shared" si="78"/>
        <v>0</v>
      </c>
      <c r="H398" s="332">
        <f t="shared" si="79"/>
        <v>0</v>
      </c>
      <c r="I398" s="317"/>
    </row>
    <row r="399" spans="1:9" x14ac:dyDescent="0.35">
      <c r="A399" s="1351"/>
      <c r="B399" s="123"/>
      <c r="C399" s="378" t="s">
        <v>97</v>
      </c>
      <c r="D399" s="399">
        <f>SUM(D400,D405,D408,D419,D429,D437)</f>
        <v>1154000</v>
      </c>
      <c r="E399" s="383"/>
      <c r="F399" s="77"/>
      <c r="G399" s="127">
        <f>SUM(G400,G405,G408,G419,G429,G437)</f>
        <v>0</v>
      </c>
      <c r="H399" s="324">
        <f>SUM(H400,H405,H408,H419,H429,H437)</f>
        <v>1154000</v>
      </c>
      <c r="I399" s="317"/>
    </row>
    <row r="400" spans="1:9" x14ac:dyDescent="0.35">
      <c r="A400" s="1351"/>
      <c r="B400" s="114"/>
      <c r="C400" s="375" t="s">
        <v>98</v>
      </c>
      <c r="D400" s="365">
        <f>SUM(D401:D404)</f>
        <v>0</v>
      </c>
      <c r="E400" s="387"/>
      <c r="F400" s="90"/>
      <c r="G400" s="126">
        <f>SUM(G401:G404)</f>
        <v>0</v>
      </c>
      <c r="H400" s="338">
        <f>SUM(H401:H404)</f>
        <v>0</v>
      </c>
      <c r="I400" s="317"/>
    </row>
    <row r="401" spans="1:9" x14ac:dyDescent="0.35">
      <c r="A401" s="1351"/>
      <c r="B401" s="110">
        <v>53202020100000</v>
      </c>
      <c r="C401" s="374" t="s">
        <v>99</v>
      </c>
      <c r="D401" s="359"/>
      <c r="E401" s="388"/>
      <c r="F401" s="93"/>
      <c r="G401" s="113">
        <f>E401*F401</f>
        <v>0</v>
      </c>
      <c r="H401" s="332">
        <f t="shared" ref="H401:H404" si="80">D401+G401</f>
        <v>0</v>
      </c>
      <c r="I401" s="317"/>
    </row>
    <row r="402" spans="1:9" x14ac:dyDescent="0.35">
      <c r="A402" s="1351"/>
      <c r="B402" s="110">
        <v>53202030000000</v>
      </c>
      <c r="C402" s="374" t="s">
        <v>100</v>
      </c>
      <c r="D402" s="362"/>
      <c r="E402" s="386"/>
      <c r="F402" s="88"/>
      <c r="G402" s="113">
        <f t="shared" ref="G402:G404" si="81">E402*F402</f>
        <v>0</v>
      </c>
      <c r="H402" s="332">
        <f t="shared" si="80"/>
        <v>0</v>
      </c>
      <c r="I402" s="317"/>
    </row>
    <row r="403" spans="1:9" x14ac:dyDescent="0.35">
      <c r="A403" s="1351"/>
      <c r="B403" s="110">
        <v>53211020000000</v>
      </c>
      <c r="C403" s="374" t="s">
        <v>101</v>
      </c>
      <c r="D403" s="359"/>
      <c r="E403" s="388"/>
      <c r="F403" s="93"/>
      <c r="G403" s="113">
        <f t="shared" si="81"/>
        <v>0</v>
      </c>
      <c r="H403" s="332">
        <f t="shared" si="80"/>
        <v>0</v>
      </c>
      <c r="I403" s="317"/>
    </row>
    <row r="404" spans="1:9" x14ac:dyDescent="0.35">
      <c r="A404" s="1351"/>
      <c r="B404" s="110">
        <v>53101004030000</v>
      </c>
      <c r="C404" s="374" t="s">
        <v>102</v>
      </c>
      <c r="D404" s="362"/>
      <c r="E404" s="386"/>
      <c r="F404" s="88"/>
      <c r="G404" s="113">
        <f t="shared" si="81"/>
        <v>0</v>
      </c>
      <c r="H404" s="332">
        <f t="shared" si="80"/>
        <v>0</v>
      </c>
      <c r="I404" s="317"/>
    </row>
    <row r="405" spans="1:9" x14ac:dyDescent="0.35">
      <c r="A405" s="1351"/>
      <c r="B405" s="114"/>
      <c r="C405" s="375" t="s">
        <v>103</v>
      </c>
      <c r="D405" s="365">
        <f>SUM(D406:D407)</f>
        <v>0</v>
      </c>
      <c r="E405" s="387"/>
      <c r="F405" s="90"/>
      <c r="G405" s="126">
        <f>SUM(G406:G407)</f>
        <v>0</v>
      </c>
      <c r="H405" s="338">
        <f>SUM(H406:H407)</f>
        <v>0</v>
      </c>
      <c r="I405" s="317"/>
    </row>
    <row r="406" spans="1:9" x14ac:dyDescent="0.35">
      <c r="A406" s="1351"/>
      <c r="B406" s="110">
        <v>53205080000000</v>
      </c>
      <c r="C406" s="382" t="s">
        <v>104</v>
      </c>
      <c r="D406" s="362"/>
      <c r="E406" s="386"/>
      <c r="F406" s="88"/>
      <c r="G406" s="113">
        <f t="shared" ref="G406:G407" si="82">E406*F406</f>
        <v>0</v>
      </c>
      <c r="H406" s="332">
        <f t="shared" ref="H406:H407" si="83">D406+G406</f>
        <v>0</v>
      </c>
      <c r="I406" s="317"/>
    </row>
    <row r="407" spans="1:9" x14ac:dyDescent="0.35">
      <c r="A407" s="1351"/>
      <c r="B407" s="110">
        <v>53205990000000</v>
      </c>
      <c r="C407" s="374" t="s">
        <v>105</v>
      </c>
      <c r="D407" s="359"/>
      <c r="E407" s="388"/>
      <c r="F407" s="93"/>
      <c r="G407" s="113">
        <f t="shared" si="82"/>
        <v>0</v>
      </c>
      <c r="H407" s="332">
        <f t="shared" si="83"/>
        <v>0</v>
      </c>
      <c r="I407" s="555"/>
    </row>
    <row r="408" spans="1:9" x14ac:dyDescent="0.35">
      <c r="A408" s="1351"/>
      <c r="B408" s="114"/>
      <c r="C408" s="375" t="s">
        <v>106</v>
      </c>
      <c r="D408" s="365">
        <f>SUM(D409:D418)</f>
        <v>254000</v>
      </c>
      <c r="E408" s="387"/>
      <c r="F408" s="90"/>
      <c r="G408" s="115">
        <f>SUM(G409:G418)</f>
        <v>0</v>
      </c>
      <c r="H408" s="323">
        <f>SUM(H409:H418)</f>
        <v>254000</v>
      </c>
      <c r="I408" s="317"/>
    </row>
    <row r="409" spans="1:9" x14ac:dyDescent="0.35">
      <c r="A409" s="1351"/>
      <c r="B409" s="110">
        <v>53203010200000</v>
      </c>
      <c r="C409" s="374" t="s">
        <v>107</v>
      </c>
      <c r="D409" s="362">
        <v>0</v>
      </c>
      <c r="E409" s="389"/>
      <c r="F409" s="88"/>
      <c r="G409" s="113">
        <f t="shared" ref="G409:G418" si="84">E409*F409</f>
        <v>0</v>
      </c>
      <c r="H409" s="332">
        <f t="shared" ref="H409:H418" si="85">D409+G409</f>
        <v>0</v>
      </c>
      <c r="I409" s="317"/>
    </row>
    <row r="410" spans="1:9" x14ac:dyDescent="0.35">
      <c r="A410" s="1351"/>
      <c r="B410" s="110">
        <v>53204010000000</v>
      </c>
      <c r="C410" s="374" t="s">
        <v>108</v>
      </c>
      <c r="D410" s="543">
        <v>0</v>
      </c>
      <c r="E410" s="390"/>
      <c r="F410" s="93"/>
      <c r="G410" s="113">
        <f t="shared" si="84"/>
        <v>0</v>
      </c>
      <c r="H410" s="332">
        <f t="shared" si="85"/>
        <v>0</v>
      </c>
      <c r="I410" s="317"/>
    </row>
    <row r="411" spans="1:9" x14ac:dyDescent="0.35">
      <c r="A411" s="1351"/>
      <c r="B411" s="110">
        <v>53204040200000</v>
      </c>
      <c r="C411" s="382" t="s">
        <v>109</v>
      </c>
      <c r="D411" s="543">
        <v>0</v>
      </c>
      <c r="E411" s="390"/>
      <c r="F411" s="93"/>
      <c r="G411" s="113">
        <f t="shared" si="84"/>
        <v>0</v>
      </c>
      <c r="H411" s="332">
        <f t="shared" si="85"/>
        <v>0</v>
      </c>
      <c r="I411" s="317"/>
    </row>
    <row r="412" spans="1:9" x14ac:dyDescent="0.35">
      <c r="A412" s="1351"/>
      <c r="B412" s="110">
        <v>53204060000000</v>
      </c>
      <c r="C412" s="382" t="s">
        <v>110</v>
      </c>
      <c r="D412" s="543">
        <v>0</v>
      </c>
      <c r="E412" s="390"/>
      <c r="F412" s="93"/>
      <c r="G412" s="113">
        <f t="shared" si="84"/>
        <v>0</v>
      </c>
      <c r="H412" s="332">
        <f t="shared" si="85"/>
        <v>0</v>
      </c>
      <c r="I412" s="317"/>
    </row>
    <row r="413" spans="1:9" x14ac:dyDescent="0.35">
      <c r="A413" s="1351"/>
      <c r="B413" s="110">
        <v>53204070000000</v>
      </c>
      <c r="C413" s="382" t="s">
        <v>111</v>
      </c>
      <c r="D413" s="543">
        <v>186000</v>
      </c>
      <c r="E413" s="390"/>
      <c r="F413" s="93"/>
      <c r="G413" s="113">
        <f t="shared" si="84"/>
        <v>0</v>
      </c>
      <c r="H413" s="332">
        <f t="shared" si="85"/>
        <v>186000</v>
      </c>
      <c r="I413" s="544" t="s">
        <v>422</v>
      </c>
    </row>
    <row r="414" spans="1:9" x14ac:dyDescent="0.35">
      <c r="A414" s="1351"/>
      <c r="B414" s="110">
        <v>53204080000000</v>
      </c>
      <c r="C414" s="382" t="s">
        <v>112</v>
      </c>
      <c r="D414" s="543">
        <v>68000</v>
      </c>
      <c r="E414" s="390"/>
      <c r="F414" s="93"/>
      <c r="G414" s="113">
        <f t="shared" si="84"/>
        <v>0</v>
      </c>
      <c r="H414" s="332">
        <f t="shared" si="85"/>
        <v>68000</v>
      </c>
      <c r="I414" s="544" t="s">
        <v>423</v>
      </c>
    </row>
    <row r="415" spans="1:9" x14ac:dyDescent="0.35">
      <c r="A415" s="1351"/>
      <c r="B415" s="110">
        <v>53214010000000</v>
      </c>
      <c r="C415" s="382" t="s">
        <v>113</v>
      </c>
      <c r="D415" s="362">
        <v>0</v>
      </c>
      <c r="E415" s="389"/>
      <c r="F415" s="88"/>
      <c r="G415" s="113">
        <f t="shared" si="84"/>
        <v>0</v>
      </c>
      <c r="H415" s="332">
        <f t="shared" si="85"/>
        <v>0</v>
      </c>
      <c r="I415" s="317"/>
    </row>
    <row r="416" spans="1:9" x14ac:dyDescent="0.35">
      <c r="A416" s="1351"/>
      <c r="B416" s="110">
        <v>53214040000000</v>
      </c>
      <c r="C416" s="374" t="s">
        <v>114</v>
      </c>
      <c r="D416" s="362">
        <v>0</v>
      </c>
      <c r="E416" s="389"/>
      <c r="F416" s="88"/>
      <c r="G416" s="113">
        <f t="shared" si="84"/>
        <v>0</v>
      </c>
      <c r="H416" s="332">
        <f t="shared" si="85"/>
        <v>0</v>
      </c>
      <c r="I416" s="317"/>
    </row>
    <row r="417" spans="1:9" x14ac:dyDescent="0.35">
      <c r="A417" s="1351"/>
      <c r="B417" s="110">
        <v>55201010100004</v>
      </c>
      <c r="C417" s="374" t="s">
        <v>115</v>
      </c>
      <c r="D417" s="362">
        <v>0</v>
      </c>
      <c r="E417" s="389"/>
      <c r="F417" s="88"/>
      <c r="G417" s="113">
        <f t="shared" si="84"/>
        <v>0</v>
      </c>
      <c r="H417" s="332">
        <f t="shared" si="85"/>
        <v>0</v>
      </c>
      <c r="I417" s="317"/>
    </row>
    <row r="418" spans="1:9" x14ac:dyDescent="0.35">
      <c r="A418" s="1351"/>
      <c r="B418" s="110">
        <v>55201010100005</v>
      </c>
      <c r="C418" s="374" t="s">
        <v>116</v>
      </c>
      <c r="D418" s="362">
        <v>0</v>
      </c>
      <c r="E418" s="389"/>
      <c r="F418" s="88"/>
      <c r="G418" s="113">
        <f t="shared" si="84"/>
        <v>0</v>
      </c>
      <c r="H418" s="332">
        <f t="shared" si="85"/>
        <v>0</v>
      </c>
      <c r="I418" s="317"/>
    </row>
    <row r="419" spans="1:9" x14ac:dyDescent="0.35">
      <c r="A419" s="1351"/>
      <c r="B419" s="114"/>
      <c r="C419" s="375" t="s">
        <v>117</v>
      </c>
      <c r="D419" s="365">
        <f>SUM(D420:D428)</f>
        <v>50000</v>
      </c>
      <c r="E419" s="387"/>
      <c r="F419" s="90"/>
      <c r="G419" s="115">
        <f>SUM(G420:G428)</f>
        <v>0</v>
      </c>
      <c r="H419" s="323">
        <f>SUM(H420:H428)</f>
        <v>50000</v>
      </c>
      <c r="I419" s="317"/>
    </row>
    <row r="420" spans="1:9" x14ac:dyDescent="0.35">
      <c r="A420" s="1351"/>
      <c r="B420" s="110">
        <v>53207010000000</v>
      </c>
      <c r="C420" s="374" t="s">
        <v>118</v>
      </c>
      <c r="D420" s="543">
        <v>0</v>
      </c>
      <c r="E420" s="390"/>
      <c r="F420" s="93"/>
      <c r="G420" s="113">
        <f t="shared" ref="G420:G428" si="86">E420*F420</f>
        <v>0</v>
      </c>
      <c r="H420" s="332">
        <f t="shared" ref="H420:H428" si="87">D420+G420</f>
        <v>0</v>
      </c>
      <c r="I420" s="317"/>
    </row>
    <row r="421" spans="1:9" x14ac:dyDescent="0.35">
      <c r="A421" s="1351"/>
      <c r="B421" s="110">
        <v>53207020000000</v>
      </c>
      <c r="C421" s="374" t="s">
        <v>119</v>
      </c>
      <c r="D421" s="543">
        <v>50000</v>
      </c>
      <c r="E421" s="390"/>
      <c r="F421" s="93"/>
      <c r="G421" s="113">
        <f t="shared" si="86"/>
        <v>0</v>
      </c>
      <c r="H421" s="332">
        <f t="shared" si="87"/>
        <v>50000</v>
      </c>
      <c r="I421" s="544" t="s">
        <v>424</v>
      </c>
    </row>
    <row r="422" spans="1:9" x14ac:dyDescent="0.35">
      <c r="A422" s="1351"/>
      <c r="B422" s="110">
        <v>53208020000000</v>
      </c>
      <c r="C422" s="374" t="s">
        <v>120</v>
      </c>
      <c r="D422" s="543">
        <v>0</v>
      </c>
      <c r="E422" s="390"/>
      <c r="F422" s="93"/>
      <c r="G422" s="113">
        <f t="shared" si="86"/>
        <v>0</v>
      </c>
      <c r="H422" s="332">
        <f t="shared" si="87"/>
        <v>0</v>
      </c>
      <c r="I422" s="544"/>
    </row>
    <row r="423" spans="1:9" x14ac:dyDescent="0.35">
      <c r="A423" s="1351"/>
      <c r="B423" s="110">
        <v>53208990000000</v>
      </c>
      <c r="C423" s="374" t="s">
        <v>121</v>
      </c>
      <c r="D423" s="543">
        <v>0</v>
      </c>
      <c r="E423" s="390"/>
      <c r="F423" s="93"/>
      <c r="G423" s="113">
        <f t="shared" si="86"/>
        <v>0</v>
      </c>
      <c r="H423" s="332">
        <f t="shared" si="87"/>
        <v>0</v>
      </c>
      <c r="I423" s="544"/>
    </row>
    <row r="424" spans="1:9" x14ac:dyDescent="0.35">
      <c r="A424" s="1351"/>
      <c r="B424" s="110">
        <v>53209010000000</v>
      </c>
      <c r="C424" s="374" t="s">
        <v>122</v>
      </c>
      <c r="D424" s="543">
        <v>0</v>
      </c>
      <c r="E424" s="390"/>
      <c r="F424" s="93"/>
      <c r="G424" s="113">
        <f t="shared" si="86"/>
        <v>0</v>
      </c>
      <c r="H424" s="332">
        <f t="shared" si="87"/>
        <v>0</v>
      </c>
      <c r="I424" s="544"/>
    </row>
    <row r="425" spans="1:9" x14ac:dyDescent="0.35">
      <c r="A425" s="1351"/>
      <c r="B425" s="110">
        <v>53209040000000</v>
      </c>
      <c r="C425" s="374" t="s">
        <v>123</v>
      </c>
      <c r="D425" s="543">
        <v>0</v>
      </c>
      <c r="E425" s="390"/>
      <c r="F425" s="93"/>
      <c r="G425" s="113">
        <f t="shared" si="86"/>
        <v>0</v>
      </c>
      <c r="H425" s="332">
        <f t="shared" si="87"/>
        <v>0</v>
      </c>
      <c r="I425" s="544"/>
    </row>
    <row r="426" spans="1:9" x14ac:dyDescent="0.35">
      <c r="A426" s="1351"/>
      <c r="B426" s="110">
        <v>53209050000000</v>
      </c>
      <c r="C426" s="374" t="s">
        <v>124</v>
      </c>
      <c r="D426" s="543">
        <v>0</v>
      </c>
      <c r="E426" s="390"/>
      <c r="F426" s="93"/>
      <c r="G426" s="113">
        <f t="shared" si="86"/>
        <v>0</v>
      </c>
      <c r="H426" s="332">
        <f t="shared" si="87"/>
        <v>0</v>
      </c>
      <c r="I426" s="544"/>
    </row>
    <row r="427" spans="1:9" x14ac:dyDescent="0.35">
      <c r="A427" s="1351"/>
      <c r="B427" s="110">
        <v>53209990000000</v>
      </c>
      <c r="C427" s="374" t="s">
        <v>125</v>
      </c>
      <c r="D427" s="543">
        <v>0</v>
      </c>
      <c r="E427" s="390"/>
      <c r="F427" s="93"/>
      <c r="G427" s="113">
        <f t="shared" si="86"/>
        <v>0</v>
      </c>
      <c r="H427" s="332">
        <f t="shared" si="87"/>
        <v>0</v>
      </c>
      <c r="I427" s="544"/>
    </row>
    <row r="428" spans="1:9" x14ac:dyDescent="0.35">
      <c r="A428" s="1351"/>
      <c r="B428" s="110">
        <v>53210020100000</v>
      </c>
      <c r="C428" s="374" t="s">
        <v>126</v>
      </c>
      <c r="D428" s="543"/>
      <c r="E428" s="390"/>
      <c r="F428" s="93"/>
      <c r="G428" s="113">
        <f t="shared" si="86"/>
        <v>0</v>
      </c>
      <c r="H428" s="332">
        <f t="shared" si="87"/>
        <v>0</v>
      </c>
      <c r="I428" s="544"/>
    </row>
    <row r="429" spans="1:9" x14ac:dyDescent="0.35">
      <c r="A429" s="1351"/>
      <c r="B429" s="114"/>
      <c r="C429" s="375" t="s">
        <v>127</v>
      </c>
      <c r="D429" s="365">
        <f>SUM(D430:D436)</f>
        <v>850000</v>
      </c>
      <c r="E429" s="387"/>
      <c r="F429" s="90"/>
      <c r="G429" s="115">
        <f>SUM(G430:G436)</f>
        <v>0</v>
      </c>
      <c r="H429" s="323">
        <f>SUM(H430:H436)</f>
        <v>850000</v>
      </c>
      <c r="I429" s="317"/>
    </row>
    <row r="430" spans="1:9" x14ac:dyDescent="0.35">
      <c r="A430" s="1351"/>
      <c r="B430" s="110">
        <v>53206030000000</v>
      </c>
      <c r="C430" s="374" t="s">
        <v>128</v>
      </c>
      <c r="D430" s="543"/>
      <c r="E430" s="390"/>
      <c r="F430" s="93"/>
      <c r="G430" s="113">
        <f t="shared" ref="G430:G436" si="88">E430*F430</f>
        <v>0</v>
      </c>
      <c r="H430" s="332">
        <f t="shared" ref="H430:H436" si="89">D430+G430</f>
        <v>0</v>
      </c>
      <c r="I430" s="317"/>
    </row>
    <row r="431" spans="1:9" x14ac:dyDescent="0.35">
      <c r="A431" s="1351"/>
      <c r="B431" s="110">
        <v>53206040000000</v>
      </c>
      <c r="C431" s="374" t="s">
        <v>129</v>
      </c>
      <c r="D431" s="543"/>
      <c r="E431" s="390"/>
      <c r="F431" s="93"/>
      <c r="G431" s="113">
        <f t="shared" si="88"/>
        <v>0</v>
      </c>
      <c r="H431" s="332">
        <f t="shared" si="89"/>
        <v>0</v>
      </c>
      <c r="I431" s="317"/>
    </row>
    <row r="432" spans="1:9" x14ac:dyDescent="0.35">
      <c r="A432" s="1351"/>
      <c r="B432" s="110">
        <v>53206060000000</v>
      </c>
      <c r="C432" s="374" t="s">
        <v>130</v>
      </c>
      <c r="D432" s="543"/>
      <c r="E432" s="390"/>
      <c r="F432" s="93"/>
      <c r="G432" s="113">
        <f t="shared" si="88"/>
        <v>0</v>
      </c>
      <c r="H432" s="332">
        <f t="shared" si="89"/>
        <v>0</v>
      </c>
      <c r="I432" s="544"/>
    </row>
    <row r="433" spans="1:9" x14ac:dyDescent="0.35">
      <c r="A433" s="1351"/>
      <c r="B433" s="110">
        <v>53206070000000</v>
      </c>
      <c r="C433" s="374" t="s">
        <v>131</v>
      </c>
      <c r="D433" s="543"/>
      <c r="E433" s="390"/>
      <c r="F433" s="93"/>
      <c r="G433" s="113">
        <f t="shared" si="88"/>
        <v>0</v>
      </c>
      <c r="H433" s="332">
        <f t="shared" si="89"/>
        <v>0</v>
      </c>
      <c r="I433" s="544"/>
    </row>
    <row r="434" spans="1:9" x14ac:dyDescent="0.35">
      <c r="A434" s="1351"/>
      <c r="B434" s="110">
        <v>53206990000000</v>
      </c>
      <c r="C434" s="374" t="s">
        <v>132</v>
      </c>
      <c r="D434" s="543">
        <v>850000</v>
      </c>
      <c r="E434" s="390"/>
      <c r="F434" s="93"/>
      <c r="G434" s="113">
        <f t="shared" si="88"/>
        <v>0</v>
      </c>
      <c r="H434" s="332">
        <f t="shared" si="89"/>
        <v>850000</v>
      </c>
      <c r="I434" s="544" t="s">
        <v>519</v>
      </c>
    </row>
    <row r="435" spans="1:9" x14ac:dyDescent="0.35">
      <c r="A435" s="1351"/>
      <c r="B435" s="110">
        <v>53208030000000</v>
      </c>
      <c r="C435" s="374" t="s">
        <v>133</v>
      </c>
      <c r="D435" s="543"/>
      <c r="E435" s="390"/>
      <c r="F435" s="93"/>
      <c r="G435" s="113">
        <f t="shared" si="88"/>
        <v>0</v>
      </c>
      <c r="H435" s="332">
        <f t="shared" si="89"/>
        <v>0</v>
      </c>
      <c r="I435" s="317"/>
    </row>
    <row r="436" spans="1:9" x14ac:dyDescent="0.35">
      <c r="A436" s="1351"/>
      <c r="B436" s="110">
        <v>53212060000000</v>
      </c>
      <c r="C436" s="374" t="s">
        <v>134</v>
      </c>
      <c r="D436" s="362"/>
      <c r="E436" s="389"/>
      <c r="F436" s="88"/>
      <c r="G436" s="113">
        <f t="shared" si="88"/>
        <v>0</v>
      </c>
      <c r="H436" s="332">
        <f t="shared" si="89"/>
        <v>0</v>
      </c>
      <c r="I436" s="317"/>
    </row>
    <row r="437" spans="1:9" x14ac:dyDescent="0.35">
      <c r="A437" s="1351"/>
      <c r="B437" s="114"/>
      <c r="C437" s="375" t="s">
        <v>135</v>
      </c>
      <c r="D437" s="365">
        <f>SUM(D438:D439)</f>
        <v>0</v>
      </c>
      <c r="E437" s="387"/>
      <c r="F437" s="90"/>
      <c r="G437" s="115">
        <f>SUM(G438:G439)</f>
        <v>0</v>
      </c>
      <c r="H437" s="323">
        <f>SUM(H438:H439)</f>
        <v>0</v>
      </c>
      <c r="I437" s="317"/>
    </row>
    <row r="438" spans="1:9" x14ac:dyDescent="0.35">
      <c r="A438" s="1351"/>
      <c r="B438" s="110">
        <v>53210020500000</v>
      </c>
      <c r="C438" s="374" t="s">
        <v>136</v>
      </c>
      <c r="D438" s="362"/>
      <c r="E438" s="389"/>
      <c r="F438" s="88"/>
      <c r="G438" s="113">
        <f t="shared" ref="G438:G439" si="90">E438*F438</f>
        <v>0</v>
      </c>
      <c r="H438" s="333">
        <f t="shared" ref="H438:H439" si="91">D438+G438</f>
        <v>0</v>
      </c>
      <c r="I438" s="317"/>
    </row>
    <row r="439" spans="1:9" x14ac:dyDescent="0.35">
      <c r="A439" s="1351"/>
      <c r="B439" s="116">
        <v>53204999000000</v>
      </c>
      <c r="C439" s="376" t="s">
        <v>137</v>
      </c>
      <c r="D439" s="359"/>
      <c r="E439" s="390"/>
      <c r="F439" s="93"/>
      <c r="G439" s="117">
        <f t="shared" si="90"/>
        <v>0</v>
      </c>
      <c r="H439" s="333">
        <f t="shared" si="91"/>
        <v>0</v>
      </c>
      <c r="I439" s="317"/>
    </row>
    <row r="440" spans="1:9" x14ac:dyDescent="0.35">
      <c r="A440" s="1349"/>
      <c r="B440" s="118"/>
      <c r="C440" s="377" t="s">
        <v>13</v>
      </c>
      <c r="D440" s="400">
        <f>SUM(D371,D399)</f>
        <v>2072000</v>
      </c>
      <c r="E440" s="393"/>
      <c r="F440" s="120"/>
      <c r="G440" s="119">
        <f>SUM(G371,G399)</f>
        <v>0</v>
      </c>
      <c r="H440" s="328">
        <f>SUM(H371,H399)</f>
        <v>2072000</v>
      </c>
      <c r="I440" s="317"/>
    </row>
    <row r="441" spans="1:9" x14ac:dyDescent="0.35">
      <c r="A441" s="1352" t="s">
        <v>22</v>
      </c>
      <c r="B441" s="1354" t="s">
        <v>61</v>
      </c>
      <c r="C441" s="1356" t="s">
        <v>62</v>
      </c>
      <c r="D441" s="1358" t="s">
        <v>63</v>
      </c>
      <c r="E441" s="1359" t="s">
        <v>64</v>
      </c>
      <c r="F441" s="1360"/>
      <c r="G441" s="1361"/>
      <c r="H441" s="1344" t="str">
        <f>+H369</f>
        <v>COSTO DIRECTO ESTIMADO 2026</v>
      </c>
      <c r="I441" s="1346" t="s">
        <v>65</v>
      </c>
    </row>
    <row r="442" spans="1:9" ht="39" x14ac:dyDescent="0.35">
      <c r="A442" s="1353"/>
      <c r="B442" s="1355"/>
      <c r="C442" s="1357"/>
      <c r="D442" s="1358"/>
      <c r="E442" s="394" t="s">
        <v>66</v>
      </c>
      <c r="F442" s="121" t="s">
        <v>67</v>
      </c>
      <c r="G442" s="122" t="s">
        <v>68</v>
      </c>
      <c r="H442" s="1345"/>
      <c r="I442" s="1346"/>
    </row>
    <row r="443" spans="1:9" x14ac:dyDescent="0.35">
      <c r="A443" s="1347" t="s">
        <v>19</v>
      </c>
      <c r="B443" s="123"/>
      <c r="C443" s="378" t="s">
        <v>69</v>
      </c>
      <c r="D443" s="397">
        <f>SUM(D444,D449,D451)</f>
        <v>0</v>
      </c>
      <c r="E443" s="383"/>
      <c r="F443" s="77"/>
      <c r="G443" s="76">
        <f>SUM(G444,G449,G451)</f>
        <v>0</v>
      </c>
      <c r="H443" s="334">
        <f>SUM(H444,H449,H451)</f>
        <v>0</v>
      </c>
      <c r="I443" s="317"/>
    </row>
    <row r="444" spans="1:9" x14ac:dyDescent="0.35">
      <c r="A444" s="1348"/>
      <c r="B444" s="114"/>
      <c r="C444" s="375" t="s">
        <v>70</v>
      </c>
      <c r="D444" s="365">
        <f>SUM(D445:D448)</f>
        <v>0</v>
      </c>
      <c r="E444" s="384"/>
      <c r="F444" s="81"/>
      <c r="G444" s="80">
        <f>SUM(G445:G448)</f>
        <v>0</v>
      </c>
      <c r="H444" s="335">
        <f>SUM(H445:H448)</f>
        <v>0</v>
      </c>
      <c r="I444" s="317"/>
    </row>
    <row r="445" spans="1:9" x14ac:dyDescent="0.35">
      <c r="A445" s="1348"/>
      <c r="B445" s="110">
        <v>53103040100000</v>
      </c>
      <c r="C445" s="374" t="s">
        <v>71</v>
      </c>
      <c r="D445" s="398">
        <f>+'F) Remuneraciones'!M137</f>
        <v>0</v>
      </c>
      <c r="E445" s="385"/>
      <c r="F445" s="85"/>
      <c r="G445" s="85"/>
      <c r="H445" s="336">
        <f>D445+G445</f>
        <v>0</v>
      </c>
      <c r="I445" s="317"/>
    </row>
    <row r="446" spans="1:9" x14ac:dyDescent="0.35">
      <c r="A446" s="1348"/>
      <c r="B446" s="110">
        <v>53103050000000</v>
      </c>
      <c r="C446" s="374" t="s">
        <v>72</v>
      </c>
      <c r="D446" s="362"/>
      <c r="E446" s="396"/>
      <c r="F446" s="111"/>
      <c r="G446" s="112">
        <f>E446*F446</f>
        <v>0</v>
      </c>
      <c r="H446" s="337">
        <f t="shared" ref="H446:H448" si="92">D446+G446</f>
        <v>0</v>
      </c>
      <c r="I446" s="317"/>
    </row>
    <row r="447" spans="1:9" x14ac:dyDescent="0.35">
      <c r="A447" s="1348"/>
      <c r="B447" s="110">
        <v>53103060000000</v>
      </c>
      <c r="C447" s="374" t="s">
        <v>73</v>
      </c>
      <c r="D447" s="362"/>
      <c r="E447" s="386"/>
      <c r="F447" s="88"/>
      <c r="G447" s="113">
        <f t="shared" ref="G447:G448" si="93">E447*F447</f>
        <v>0</v>
      </c>
      <c r="H447" s="332">
        <f t="shared" si="92"/>
        <v>0</v>
      </c>
      <c r="I447" s="317"/>
    </row>
    <row r="448" spans="1:9" x14ac:dyDescent="0.35">
      <c r="A448" s="1348"/>
      <c r="B448" s="110">
        <v>53103080010000</v>
      </c>
      <c r="C448" s="374" t="s">
        <v>74</v>
      </c>
      <c r="D448" s="362"/>
      <c r="E448" s="386"/>
      <c r="F448" s="88"/>
      <c r="G448" s="113">
        <f t="shared" si="93"/>
        <v>0</v>
      </c>
      <c r="H448" s="332">
        <f t="shared" si="92"/>
        <v>0</v>
      </c>
      <c r="I448" s="402"/>
    </row>
    <row r="449" spans="1:9" x14ac:dyDescent="0.35">
      <c r="A449" s="1348"/>
      <c r="B449" s="114"/>
      <c r="C449" s="375" t="s">
        <v>75</v>
      </c>
      <c r="D449" s="365">
        <f>SUM(D450)</f>
        <v>0</v>
      </c>
      <c r="E449" s="387"/>
      <c r="F449" s="90"/>
      <c r="G449" s="126">
        <f>SUM(G450:G450)</f>
        <v>0</v>
      </c>
      <c r="H449" s="323">
        <f>SUM(H450:H450)</f>
        <v>0</v>
      </c>
      <c r="I449" s="317"/>
    </row>
    <row r="450" spans="1:9" x14ac:dyDescent="0.35">
      <c r="A450" s="1348"/>
      <c r="B450" s="110">
        <v>55201010100001</v>
      </c>
      <c r="C450" s="374" t="s">
        <v>76</v>
      </c>
      <c r="D450" s="362"/>
      <c r="E450" s="386"/>
      <c r="F450" s="88"/>
      <c r="G450" s="113">
        <f t="shared" ref="G450" si="94">E450*F450</f>
        <v>0</v>
      </c>
      <c r="H450" s="332">
        <f>D450+G450</f>
        <v>0</v>
      </c>
      <c r="I450" s="317"/>
    </row>
    <row r="451" spans="1:9" x14ac:dyDescent="0.35">
      <c r="A451" s="1348"/>
      <c r="B451" s="114"/>
      <c r="C451" s="375" t="s">
        <v>77</v>
      </c>
      <c r="D451" s="365">
        <f>SUM(D452:D470)</f>
        <v>0</v>
      </c>
      <c r="E451" s="387"/>
      <c r="F451" s="90"/>
      <c r="G451" s="115">
        <f>SUM(G452:G470)</f>
        <v>0</v>
      </c>
      <c r="H451" s="323">
        <f>SUM(H452:H470)</f>
        <v>0</v>
      </c>
      <c r="I451" s="401"/>
    </row>
    <row r="452" spans="1:9" x14ac:dyDescent="0.35">
      <c r="A452" s="1348"/>
      <c r="B452" s="110">
        <v>53201010100000</v>
      </c>
      <c r="C452" s="374" t="s">
        <v>78</v>
      </c>
      <c r="D452" s="362"/>
      <c r="E452" s="386"/>
      <c r="F452" s="88"/>
      <c r="G452" s="113">
        <f t="shared" ref="G452:G470" si="95">E452*F452</f>
        <v>0</v>
      </c>
      <c r="H452" s="332">
        <f t="shared" ref="H452:H470" si="96">D452+G452</f>
        <v>0</v>
      </c>
      <c r="I452" s="317"/>
    </row>
    <row r="453" spans="1:9" x14ac:dyDescent="0.35">
      <c r="A453" s="1348"/>
      <c r="B453" s="110">
        <v>53202010100000</v>
      </c>
      <c r="C453" s="374" t="s">
        <v>79</v>
      </c>
      <c r="D453" s="362"/>
      <c r="E453" s="386"/>
      <c r="F453" s="88"/>
      <c r="G453" s="113">
        <f t="shared" si="95"/>
        <v>0</v>
      </c>
      <c r="H453" s="332">
        <f t="shared" si="96"/>
        <v>0</v>
      </c>
      <c r="I453" s="401"/>
    </row>
    <row r="454" spans="1:9" x14ac:dyDescent="0.35">
      <c r="A454" s="1348"/>
      <c r="B454" s="110">
        <v>53203010100000</v>
      </c>
      <c r="C454" s="374" t="s">
        <v>80</v>
      </c>
      <c r="D454" s="359"/>
      <c r="E454" s="388"/>
      <c r="F454" s="93"/>
      <c r="G454" s="113">
        <f t="shared" si="95"/>
        <v>0</v>
      </c>
      <c r="H454" s="332">
        <f t="shared" si="96"/>
        <v>0</v>
      </c>
      <c r="I454" s="317"/>
    </row>
    <row r="455" spans="1:9" x14ac:dyDescent="0.35">
      <c r="A455" s="1348"/>
      <c r="B455" s="110">
        <v>53203030000000</v>
      </c>
      <c r="C455" s="374" t="s">
        <v>81</v>
      </c>
      <c r="D455" s="359"/>
      <c r="E455" s="388"/>
      <c r="F455" s="93"/>
      <c r="G455" s="113">
        <f t="shared" si="95"/>
        <v>0</v>
      </c>
      <c r="H455" s="332">
        <f t="shared" si="96"/>
        <v>0</v>
      </c>
      <c r="I455" s="317"/>
    </row>
    <row r="456" spans="1:9" x14ac:dyDescent="0.35">
      <c r="A456" s="1348"/>
      <c r="B456" s="110">
        <v>53204030000000</v>
      </c>
      <c r="C456" s="374" t="s">
        <v>82</v>
      </c>
      <c r="D456" s="359"/>
      <c r="E456" s="388"/>
      <c r="F456" s="93"/>
      <c r="G456" s="113">
        <f t="shared" si="95"/>
        <v>0</v>
      </c>
      <c r="H456" s="332">
        <f t="shared" si="96"/>
        <v>0</v>
      </c>
      <c r="I456" s="317"/>
    </row>
    <row r="457" spans="1:9" x14ac:dyDescent="0.35">
      <c r="A457" s="1348"/>
      <c r="B457" s="110">
        <v>53204100100001</v>
      </c>
      <c r="C457" s="374" t="s">
        <v>83</v>
      </c>
      <c r="D457" s="359"/>
      <c r="E457" s="388"/>
      <c r="F457" s="93"/>
      <c r="G457" s="113">
        <f t="shared" si="95"/>
        <v>0</v>
      </c>
      <c r="H457" s="332">
        <f t="shared" si="96"/>
        <v>0</v>
      </c>
      <c r="I457" s="544"/>
    </row>
    <row r="458" spans="1:9" x14ac:dyDescent="0.35">
      <c r="A458" s="1348"/>
      <c r="B458" s="110">
        <v>53204130100000</v>
      </c>
      <c r="C458" s="374" t="s">
        <v>84</v>
      </c>
      <c r="D458" s="359"/>
      <c r="E458" s="388"/>
      <c r="F458" s="93"/>
      <c r="G458" s="113">
        <f t="shared" si="95"/>
        <v>0</v>
      </c>
      <c r="H458" s="332">
        <f t="shared" si="96"/>
        <v>0</v>
      </c>
      <c r="I458" s="317"/>
    </row>
    <row r="459" spans="1:9" x14ac:dyDescent="0.35">
      <c r="A459" s="1348"/>
      <c r="B459" s="110">
        <v>53205010100000</v>
      </c>
      <c r="C459" s="374" t="s">
        <v>85</v>
      </c>
      <c r="D459" s="359"/>
      <c r="E459" s="388"/>
      <c r="F459" s="93"/>
      <c r="G459" s="113">
        <f t="shared" si="95"/>
        <v>0</v>
      </c>
      <c r="H459" s="332">
        <f t="shared" si="96"/>
        <v>0</v>
      </c>
      <c r="I459" s="317"/>
    </row>
    <row r="460" spans="1:9" x14ac:dyDescent="0.35">
      <c r="A460" s="1348"/>
      <c r="B460" s="110">
        <v>53205020100000</v>
      </c>
      <c r="C460" s="374" t="s">
        <v>86</v>
      </c>
      <c r="D460" s="359"/>
      <c r="E460" s="388"/>
      <c r="F460" s="93"/>
      <c r="G460" s="113">
        <f t="shared" si="95"/>
        <v>0</v>
      </c>
      <c r="H460" s="332">
        <f t="shared" si="96"/>
        <v>0</v>
      </c>
      <c r="I460" s="317"/>
    </row>
    <row r="461" spans="1:9" x14ac:dyDescent="0.35">
      <c r="A461" s="1348"/>
      <c r="B461" s="110">
        <v>53205030100000</v>
      </c>
      <c r="C461" s="374" t="s">
        <v>87</v>
      </c>
      <c r="D461" s="359"/>
      <c r="E461" s="388"/>
      <c r="F461" s="93"/>
      <c r="G461" s="113">
        <f t="shared" si="95"/>
        <v>0</v>
      </c>
      <c r="H461" s="332">
        <f t="shared" si="96"/>
        <v>0</v>
      </c>
      <c r="I461" s="317"/>
    </row>
    <row r="462" spans="1:9" x14ac:dyDescent="0.35">
      <c r="A462" s="1348"/>
      <c r="B462" s="110">
        <v>53205050100000</v>
      </c>
      <c r="C462" s="374" t="s">
        <v>88</v>
      </c>
      <c r="D462" s="359"/>
      <c r="E462" s="388"/>
      <c r="F462" s="93"/>
      <c r="G462" s="113">
        <f t="shared" si="95"/>
        <v>0</v>
      </c>
      <c r="H462" s="332">
        <f t="shared" si="96"/>
        <v>0</v>
      </c>
      <c r="I462" s="317"/>
    </row>
    <row r="463" spans="1:9" x14ac:dyDescent="0.35">
      <c r="A463" s="1348"/>
      <c r="B463" s="110">
        <v>53205060100000</v>
      </c>
      <c r="C463" s="374" t="s">
        <v>89</v>
      </c>
      <c r="D463" s="359"/>
      <c r="E463" s="388"/>
      <c r="F463" s="93"/>
      <c r="G463" s="113">
        <f t="shared" si="95"/>
        <v>0</v>
      </c>
      <c r="H463" s="332">
        <f t="shared" si="96"/>
        <v>0</v>
      </c>
      <c r="I463" s="317"/>
    </row>
    <row r="464" spans="1:9" x14ac:dyDescent="0.35">
      <c r="A464" s="1348"/>
      <c r="B464" s="110">
        <v>53205070100000</v>
      </c>
      <c r="C464" s="374" t="s">
        <v>90</v>
      </c>
      <c r="D464" s="359"/>
      <c r="E464" s="388"/>
      <c r="F464" s="93"/>
      <c r="G464" s="113">
        <f t="shared" si="95"/>
        <v>0</v>
      </c>
      <c r="H464" s="332">
        <f t="shared" si="96"/>
        <v>0</v>
      </c>
      <c r="I464" s="317"/>
    </row>
    <row r="465" spans="1:9" x14ac:dyDescent="0.35">
      <c r="A465" s="1348"/>
      <c r="B465" s="110">
        <v>53208010100000</v>
      </c>
      <c r="C465" s="374" t="s">
        <v>91</v>
      </c>
      <c r="D465" s="359"/>
      <c r="E465" s="388"/>
      <c r="F465" s="93"/>
      <c r="G465" s="113">
        <f t="shared" si="95"/>
        <v>0</v>
      </c>
      <c r="H465" s="332">
        <f t="shared" si="96"/>
        <v>0</v>
      </c>
      <c r="I465" s="317"/>
    </row>
    <row r="466" spans="1:9" x14ac:dyDescent="0.35">
      <c r="A466" s="1348"/>
      <c r="B466" s="110">
        <v>53208070100001</v>
      </c>
      <c r="C466" s="374" t="s">
        <v>92</v>
      </c>
      <c r="D466" s="359"/>
      <c r="E466" s="388"/>
      <c r="F466" s="93"/>
      <c r="G466" s="113">
        <f t="shared" si="95"/>
        <v>0</v>
      </c>
      <c r="H466" s="332">
        <f t="shared" si="96"/>
        <v>0</v>
      </c>
      <c r="I466" s="317"/>
    </row>
    <row r="467" spans="1:9" x14ac:dyDescent="0.35">
      <c r="A467" s="1348"/>
      <c r="B467" s="110">
        <v>53208100100001</v>
      </c>
      <c r="C467" s="374" t="s">
        <v>93</v>
      </c>
      <c r="D467" s="359"/>
      <c r="E467" s="388"/>
      <c r="F467" s="93"/>
      <c r="G467" s="113">
        <f t="shared" si="95"/>
        <v>0</v>
      </c>
      <c r="H467" s="332">
        <f t="shared" si="96"/>
        <v>0</v>
      </c>
      <c r="I467" s="317"/>
    </row>
    <row r="468" spans="1:9" x14ac:dyDescent="0.35">
      <c r="A468" s="1348"/>
      <c r="B468" s="110">
        <v>53211030000000</v>
      </c>
      <c r="C468" s="374" t="s">
        <v>94</v>
      </c>
      <c r="D468" s="359"/>
      <c r="E468" s="388"/>
      <c r="F468" s="93"/>
      <c r="G468" s="113">
        <f t="shared" si="95"/>
        <v>0</v>
      </c>
      <c r="H468" s="332">
        <f t="shared" si="96"/>
        <v>0</v>
      </c>
      <c r="I468" s="317"/>
    </row>
    <row r="469" spans="1:9" x14ac:dyDescent="0.35">
      <c r="A469" s="1348"/>
      <c r="B469" s="110">
        <v>53212020100000</v>
      </c>
      <c r="C469" s="374" t="s">
        <v>95</v>
      </c>
      <c r="D469" s="543"/>
      <c r="E469" s="388"/>
      <c r="F469" s="93"/>
      <c r="G469" s="113">
        <f t="shared" si="95"/>
        <v>0</v>
      </c>
      <c r="H469" s="332">
        <f t="shared" si="96"/>
        <v>0</v>
      </c>
      <c r="I469" s="544"/>
    </row>
    <row r="470" spans="1:9" x14ac:dyDescent="0.35">
      <c r="A470" s="1348"/>
      <c r="B470" s="110">
        <v>53214020000000</v>
      </c>
      <c r="C470" s="374" t="s">
        <v>96</v>
      </c>
      <c r="D470" s="362"/>
      <c r="E470" s="386"/>
      <c r="F470" s="88"/>
      <c r="G470" s="113">
        <f t="shared" si="95"/>
        <v>0</v>
      </c>
      <c r="H470" s="332">
        <f t="shared" si="96"/>
        <v>0</v>
      </c>
      <c r="I470" s="544"/>
    </row>
    <row r="471" spans="1:9" x14ac:dyDescent="0.35">
      <c r="A471" s="1348"/>
      <c r="B471" s="123"/>
      <c r="C471" s="378" t="s">
        <v>97</v>
      </c>
      <c r="D471" s="399">
        <f>SUM(D472,D477,D480,D491,D501,D509)</f>
        <v>0</v>
      </c>
      <c r="E471" s="383"/>
      <c r="F471" s="77"/>
      <c r="G471" s="127">
        <f>SUM(G472,G477,G480,G491,G501,G509)</f>
        <v>0</v>
      </c>
      <c r="H471" s="324">
        <f>SUM(H472,H477,H480,H491,H501,H509)</f>
        <v>0</v>
      </c>
      <c r="I471" s="544"/>
    </row>
    <row r="472" spans="1:9" x14ac:dyDescent="0.35">
      <c r="A472" s="1348"/>
      <c r="B472" s="114"/>
      <c r="C472" s="375" t="s">
        <v>98</v>
      </c>
      <c r="D472" s="365">
        <f>SUM(D473:D476)</f>
        <v>0</v>
      </c>
      <c r="E472" s="387"/>
      <c r="F472" s="90"/>
      <c r="G472" s="126">
        <f>SUM(G473:G476)</f>
        <v>0</v>
      </c>
      <c r="H472" s="338">
        <f>SUM(H473:H476)</f>
        <v>0</v>
      </c>
      <c r="I472" s="544"/>
    </row>
    <row r="473" spans="1:9" x14ac:dyDescent="0.35">
      <c r="A473" s="1348"/>
      <c r="B473" s="110">
        <v>53202020100000</v>
      </c>
      <c r="C473" s="374" t="s">
        <v>99</v>
      </c>
      <c r="D473" s="543"/>
      <c r="E473" s="388"/>
      <c r="F473" s="93"/>
      <c r="G473" s="113">
        <f>E473*F473</f>
        <v>0</v>
      </c>
      <c r="H473" s="332">
        <f t="shared" ref="H473:H476" si="97">D473+G473</f>
        <v>0</v>
      </c>
      <c r="I473" s="544"/>
    </row>
    <row r="474" spans="1:9" x14ac:dyDescent="0.35">
      <c r="A474" s="1348"/>
      <c r="B474" s="110">
        <v>53202030000000</v>
      </c>
      <c r="C474" s="374" t="s">
        <v>100</v>
      </c>
      <c r="D474" s="362"/>
      <c r="E474" s="386"/>
      <c r="F474" s="88"/>
      <c r="G474" s="113">
        <f t="shared" ref="G474:G476" si="98">E474*F474</f>
        <v>0</v>
      </c>
      <c r="H474" s="332">
        <f t="shared" si="97"/>
        <v>0</v>
      </c>
      <c r="I474" s="544"/>
    </row>
    <row r="475" spans="1:9" x14ac:dyDescent="0.35">
      <c r="A475" s="1348"/>
      <c r="B475" s="110">
        <v>53211020000000</v>
      </c>
      <c r="C475" s="374" t="s">
        <v>101</v>
      </c>
      <c r="D475" s="359"/>
      <c r="E475" s="388"/>
      <c r="F475" s="93"/>
      <c r="G475" s="113">
        <f t="shared" si="98"/>
        <v>0</v>
      </c>
      <c r="H475" s="332">
        <f t="shared" si="97"/>
        <v>0</v>
      </c>
      <c r="I475" s="544"/>
    </row>
    <row r="476" spans="1:9" x14ac:dyDescent="0.35">
      <c r="A476" s="1348"/>
      <c r="B476" s="110">
        <v>53101004030000</v>
      </c>
      <c r="C476" s="374" t="s">
        <v>102</v>
      </c>
      <c r="D476" s="362"/>
      <c r="E476" s="386"/>
      <c r="F476" s="88"/>
      <c r="G476" s="113">
        <f t="shared" si="98"/>
        <v>0</v>
      </c>
      <c r="H476" s="332">
        <f t="shared" si="97"/>
        <v>0</v>
      </c>
      <c r="I476" s="544"/>
    </row>
    <row r="477" spans="1:9" x14ac:dyDescent="0.35">
      <c r="A477" s="1348"/>
      <c r="B477" s="114"/>
      <c r="C477" s="375" t="s">
        <v>103</v>
      </c>
      <c r="D477" s="365">
        <f>SUM(D478:D479)</f>
        <v>0</v>
      </c>
      <c r="E477" s="387"/>
      <c r="F477" s="90"/>
      <c r="G477" s="126">
        <f>SUM(G478:G479)</f>
        <v>0</v>
      </c>
      <c r="H477" s="338">
        <f>SUM(H478:H479)</f>
        <v>0</v>
      </c>
      <c r="I477" s="544"/>
    </row>
    <row r="478" spans="1:9" x14ac:dyDescent="0.35">
      <c r="A478" s="1348"/>
      <c r="B478" s="110">
        <v>53205080000000</v>
      </c>
      <c r="C478" s="382" t="s">
        <v>104</v>
      </c>
      <c r="D478" s="362"/>
      <c r="E478" s="386"/>
      <c r="F478" s="88"/>
      <c r="G478" s="113">
        <f t="shared" ref="G478:G479" si="99">E478*F478</f>
        <v>0</v>
      </c>
      <c r="H478" s="332">
        <f t="shared" ref="H478:H479" si="100">D478+G478</f>
        <v>0</v>
      </c>
      <c r="I478" s="544"/>
    </row>
    <row r="479" spans="1:9" x14ac:dyDescent="0.35">
      <c r="A479" s="1348"/>
      <c r="B479" s="110">
        <v>53205990000000</v>
      </c>
      <c r="C479" s="374" t="s">
        <v>105</v>
      </c>
      <c r="D479" s="359"/>
      <c r="E479" s="388"/>
      <c r="F479" s="93"/>
      <c r="G479" s="113">
        <f t="shared" si="99"/>
        <v>0</v>
      </c>
      <c r="H479" s="332">
        <f t="shared" si="100"/>
        <v>0</v>
      </c>
      <c r="I479" s="544"/>
    </row>
    <row r="480" spans="1:9" x14ac:dyDescent="0.35">
      <c r="A480" s="1348"/>
      <c r="B480" s="114"/>
      <c r="C480" s="375" t="s">
        <v>106</v>
      </c>
      <c r="D480" s="365">
        <f>SUM(D481:D486)</f>
        <v>0</v>
      </c>
      <c r="E480" s="387"/>
      <c r="F480" s="90"/>
      <c r="G480" s="115">
        <f>SUM(G481:G490)</f>
        <v>0</v>
      </c>
      <c r="H480" s="323">
        <f>SUM(H481:H490)</f>
        <v>0</v>
      </c>
      <c r="I480" s="544"/>
    </row>
    <row r="481" spans="1:9" x14ac:dyDescent="0.35">
      <c r="A481" s="1348"/>
      <c r="B481" s="110">
        <v>53203010200000</v>
      </c>
      <c r="C481" s="374" t="s">
        <v>107</v>
      </c>
      <c r="D481" s="362"/>
      <c r="E481" s="389"/>
      <c r="F481" s="88"/>
      <c r="G481" s="113">
        <f t="shared" ref="G481:G490" si="101">E481*F481</f>
        <v>0</v>
      </c>
      <c r="H481" s="332">
        <f t="shared" ref="H481:H490" si="102">D481+G481</f>
        <v>0</v>
      </c>
      <c r="I481" s="544"/>
    </row>
    <row r="482" spans="1:9" x14ac:dyDescent="0.35">
      <c r="A482" s="1348"/>
      <c r="B482" s="110">
        <v>53204010000000</v>
      </c>
      <c r="C482" s="374" t="s">
        <v>108</v>
      </c>
      <c r="D482" s="543"/>
      <c r="E482" s="390"/>
      <c r="F482" s="93"/>
      <c r="G482" s="113">
        <f t="shared" si="101"/>
        <v>0</v>
      </c>
      <c r="H482" s="332">
        <f t="shared" si="102"/>
        <v>0</v>
      </c>
      <c r="I482" s="544"/>
    </row>
    <row r="483" spans="1:9" x14ac:dyDescent="0.35">
      <c r="A483" s="1348"/>
      <c r="B483" s="110">
        <v>53204040200000</v>
      </c>
      <c r="C483" s="382" t="s">
        <v>109</v>
      </c>
      <c r="D483" s="543"/>
      <c r="E483" s="390"/>
      <c r="F483" s="93"/>
      <c r="G483" s="113">
        <f t="shared" si="101"/>
        <v>0</v>
      </c>
      <c r="H483" s="332">
        <f t="shared" si="102"/>
        <v>0</v>
      </c>
      <c r="I483" s="544"/>
    </row>
    <row r="484" spans="1:9" x14ac:dyDescent="0.35">
      <c r="A484" s="1348"/>
      <c r="B484" s="110">
        <v>53204060000000</v>
      </c>
      <c r="C484" s="382" t="s">
        <v>110</v>
      </c>
      <c r="D484" s="543"/>
      <c r="E484" s="390"/>
      <c r="F484" s="93"/>
      <c r="G484" s="113">
        <f t="shared" si="101"/>
        <v>0</v>
      </c>
      <c r="H484" s="332">
        <f t="shared" si="102"/>
        <v>0</v>
      </c>
      <c r="I484" s="544"/>
    </row>
    <row r="485" spans="1:9" x14ac:dyDescent="0.35">
      <c r="A485" s="1348"/>
      <c r="B485" s="110">
        <v>53204070000000</v>
      </c>
      <c r="C485" s="382" t="s">
        <v>111</v>
      </c>
      <c r="D485" s="543"/>
      <c r="E485" s="390"/>
      <c r="F485" s="93"/>
      <c r="G485" s="113">
        <f t="shared" si="101"/>
        <v>0</v>
      </c>
      <c r="H485" s="332">
        <f t="shared" si="102"/>
        <v>0</v>
      </c>
      <c r="I485" s="544"/>
    </row>
    <row r="486" spans="1:9" x14ac:dyDescent="0.35">
      <c r="A486" s="1348"/>
      <c r="B486" s="110">
        <v>53204080000000</v>
      </c>
      <c r="C486" s="382" t="s">
        <v>112</v>
      </c>
      <c r="D486" s="543"/>
      <c r="E486" s="390"/>
      <c r="F486" s="93"/>
      <c r="G486" s="113">
        <f t="shared" si="101"/>
        <v>0</v>
      </c>
      <c r="H486" s="332">
        <f t="shared" si="102"/>
        <v>0</v>
      </c>
      <c r="I486" s="544"/>
    </row>
    <row r="487" spans="1:9" x14ac:dyDescent="0.35">
      <c r="A487" s="1348"/>
      <c r="B487" s="110">
        <v>53214010000000</v>
      </c>
      <c r="C487" s="382" t="s">
        <v>113</v>
      </c>
      <c r="D487" s="542"/>
      <c r="E487" s="389"/>
      <c r="F487" s="88"/>
      <c r="G487" s="113">
        <f t="shared" si="101"/>
        <v>0</v>
      </c>
      <c r="H487" s="332">
        <f t="shared" si="102"/>
        <v>0</v>
      </c>
      <c r="I487" s="544"/>
    </row>
    <row r="488" spans="1:9" x14ac:dyDescent="0.35">
      <c r="A488" s="1348"/>
      <c r="B488" s="110">
        <v>53214040000000</v>
      </c>
      <c r="C488" s="374" t="s">
        <v>114</v>
      </c>
      <c r="D488" s="542"/>
      <c r="E488" s="389"/>
      <c r="F488" s="88"/>
      <c r="G488" s="113">
        <f t="shared" si="101"/>
        <v>0</v>
      </c>
      <c r="H488" s="332">
        <f t="shared" si="102"/>
        <v>0</v>
      </c>
      <c r="I488" s="544"/>
    </row>
    <row r="489" spans="1:9" x14ac:dyDescent="0.35">
      <c r="A489" s="1348"/>
      <c r="B489" s="110">
        <v>55201010100004</v>
      </c>
      <c r="C489" s="374" t="s">
        <v>291</v>
      </c>
      <c r="D489" s="542"/>
      <c r="E489" s="389"/>
      <c r="F489" s="88"/>
      <c r="G489" s="113">
        <f t="shared" si="101"/>
        <v>0</v>
      </c>
      <c r="H489" s="332">
        <f t="shared" si="102"/>
        <v>0</v>
      </c>
      <c r="I489" s="544"/>
    </row>
    <row r="490" spans="1:9" x14ac:dyDescent="0.35">
      <c r="A490" s="1348"/>
      <c r="B490" s="110">
        <v>55201010100005</v>
      </c>
      <c r="C490" s="374" t="s">
        <v>116</v>
      </c>
      <c r="D490" s="542"/>
      <c r="E490" s="389"/>
      <c r="F490" s="88"/>
      <c r="G490" s="113">
        <f t="shared" si="101"/>
        <v>0</v>
      </c>
      <c r="H490" s="332">
        <f t="shared" si="102"/>
        <v>0</v>
      </c>
      <c r="I490" s="544"/>
    </row>
    <row r="491" spans="1:9" x14ac:dyDescent="0.35">
      <c r="A491" s="1348"/>
      <c r="B491" s="114"/>
      <c r="C491" s="375" t="s">
        <v>117</v>
      </c>
      <c r="D491" s="365">
        <f>SUM(D492:D500)</f>
        <v>0</v>
      </c>
      <c r="E491" s="387"/>
      <c r="F491" s="90"/>
      <c r="G491" s="115">
        <f>SUM(G492:G500)</f>
        <v>0</v>
      </c>
      <c r="H491" s="323">
        <f>SUM(H492:H500)</f>
        <v>0</v>
      </c>
      <c r="I491" s="544"/>
    </row>
    <row r="492" spans="1:9" x14ac:dyDescent="0.35">
      <c r="A492" s="1348"/>
      <c r="B492" s="110">
        <v>53207010000000</v>
      </c>
      <c r="C492" s="374" t="s">
        <v>118</v>
      </c>
      <c r="D492" s="359"/>
      <c r="E492" s="390"/>
      <c r="F492" s="93"/>
      <c r="G492" s="113">
        <f t="shared" ref="G492:G500" si="103">E492*F492</f>
        <v>0</v>
      </c>
      <c r="H492" s="332">
        <f t="shared" ref="H492:H500" si="104">D492+G492</f>
        <v>0</v>
      </c>
      <c r="I492" s="544"/>
    </row>
    <row r="493" spans="1:9" x14ac:dyDescent="0.35">
      <c r="A493" s="1348"/>
      <c r="B493" s="110">
        <v>53207020000000</v>
      </c>
      <c r="C493" s="374" t="s">
        <v>119</v>
      </c>
      <c r="D493" s="543"/>
      <c r="E493" s="390"/>
      <c r="F493" s="93"/>
      <c r="G493" s="113">
        <f t="shared" si="103"/>
        <v>0</v>
      </c>
      <c r="H493" s="332">
        <f t="shared" si="104"/>
        <v>0</v>
      </c>
      <c r="I493" s="544"/>
    </row>
    <row r="494" spans="1:9" x14ac:dyDescent="0.35">
      <c r="A494" s="1348"/>
      <c r="B494" s="110">
        <v>53208020000000</v>
      </c>
      <c r="C494" s="374" t="s">
        <v>120</v>
      </c>
      <c r="D494" s="359"/>
      <c r="E494" s="390"/>
      <c r="F494" s="93"/>
      <c r="G494" s="113">
        <f t="shared" si="103"/>
        <v>0</v>
      </c>
      <c r="H494" s="332">
        <f t="shared" si="104"/>
        <v>0</v>
      </c>
      <c r="I494" s="544"/>
    </row>
    <row r="495" spans="1:9" x14ac:dyDescent="0.35">
      <c r="A495" s="1348"/>
      <c r="B495" s="110">
        <v>53208990000000</v>
      </c>
      <c r="C495" s="374" t="s">
        <v>121</v>
      </c>
      <c r="D495" s="359"/>
      <c r="E495" s="390"/>
      <c r="F495" s="93"/>
      <c r="G495" s="113">
        <f t="shared" si="103"/>
        <v>0</v>
      </c>
      <c r="H495" s="332">
        <f t="shared" si="104"/>
        <v>0</v>
      </c>
      <c r="I495" s="544"/>
    </row>
    <row r="496" spans="1:9" x14ac:dyDescent="0.35">
      <c r="A496" s="1348"/>
      <c r="B496" s="110">
        <v>53209010000000</v>
      </c>
      <c r="C496" s="374" t="s">
        <v>122</v>
      </c>
      <c r="D496" s="359"/>
      <c r="E496" s="390"/>
      <c r="F496" s="93"/>
      <c r="G496" s="113">
        <f t="shared" si="103"/>
        <v>0</v>
      </c>
      <c r="H496" s="332">
        <f t="shared" si="104"/>
        <v>0</v>
      </c>
      <c r="I496" s="544"/>
    </row>
    <row r="497" spans="1:9" x14ac:dyDescent="0.35">
      <c r="A497" s="1348"/>
      <c r="B497" s="110">
        <v>53209040000000</v>
      </c>
      <c r="C497" s="374" t="s">
        <v>123</v>
      </c>
      <c r="D497" s="359"/>
      <c r="E497" s="390"/>
      <c r="F497" s="93"/>
      <c r="G497" s="113">
        <f t="shared" si="103"/>
        <v>0</v>
      </c>
      <c r="H497" s="332">
        <f t="shared" si="104"/>
        <v>0</v>
      </c>
      <c r="I497" s="544"/>
    </row>
    <row r="498" spans="1:9" x14ac:dyDescent="0.35">
      <c r="A498" s="1348"/>
      <c r="B498" s="110">
        <v>53209050000000</v>
      </c>
      <c r="C498" s="374" t="s">
        <v>124</v>
      </c>
      <c r="D498" s="359"/>
      <c r="E498" s="390"/>
      <c r="F498" s="93"/>
      <c r="G498" s="113">
        <f t="shared" si="103"/>
        <v>0</v>
      </c>
      <c r="H498" s="332">
        <f t="shared" si="104"/>
        <v>0</v>
      </c>
      <c r="I498" s="544"/>
    </row>
    <row r="499" spans="1:9" x14ac:dyDescent="0.35">
      <c r="A499" s="1348"/>
      <c r="B499" s="110">
        <v>53209990000000</v>
      </c>
      <c r="C499" s="374" t="s">
        <v>125</v>
      </c>
      <c r="D499" s="359"/>
      <c r="E499" s="390"/>
      <c r="F499" s="93"/>
      <c r="G499" s="113">
        <f t="shared" si="103"/>
        <v>0</v>
      </c>
      <c r="H499" s="332">
        <f t="shared" si="104"/>
        <v>0</v>
      </c>
      <c r="I499" s="544"/>
    </row>
    <row r="500" spans="1:9" x14ac:dyDescent="0.35">
      <c r="A500" s="1348"/>
      <c r="B500" s="110">
        <v>53210020100000</v>
      </c>
      <c r="C500" s="374" t="s">
        <v>126</v>
      </c>
      <c r="D500" s="359"/>
      <c r="E500" s="390"/>
      <c r="F500" s="93"/>
      <c r="G500" s="113">
        <f t="shared" si="103"/>
        <v>0</v>
      </c>
      <c r="H500" s="332">
        <f t="shared" si="104"/>
        <v>0</v>
      </c>
      <c r="I500" s="544"/>
    </row>
    <row r="501" spans="1:9" x14ac:dyDescent="0.35">
      <c r="A501" s="1348"/>
      <c r="B501" s="114"/>
      <c r="C501" s="375" t="s">
        <v>127</v>
      </c>
      <c r="D501" s="365">
        <f>SUM(D502:D508)</f>
        <v>0</v>
      </c>
      <c r="E501" s="387"/>
      <c r="F501" s="90"/>
      <c r="G501" s="115">
        <f>SUM(G502:G508)</f>
        <v>0</v>
      </c>
      <c r="H501" s="323">
        <f>SUM(H502:H508)</f>
        <v>0</v>
      </c>
      <c r="I501" s="544"/>
    </row>
    <row r="502" spans="1:9" x14ac:dyDescent="0.35">
      <c r="A502" s="1348"/>
      <c r="B502" s="110">
        <v>53206030000000</v>
      </c>
      <c r="C502" s="374" t="s">
        <v>128</v>
      </c>
      <c r="D502" s="359"/>
      <c r="E502" s="390"/>
      <c r="F502" s="93"/>
      <c r="G502" s="113">
        <f t="shared" ref="G502:G508" si="105">E502*F502</f>
        <v>0</v>
      </c>
      <c r="H502" s="332">
        <f t="shared" ref="H502:H508" si="106">D502+G502</f>
        <v>0</v>
      </c>
      <c r="I502" s="544"/>
    </row>
    <row r="503" spans="1:9" x14ac:dyDescent="0.35">
      <c r="A503" s="1348"/>
      <c r="B503" s="110">
        <v>53206040000000</v>
      </c>
      <c r="C503" s="374" t="s">
        <v>129</v>
      </c>
      <c r="D503" s="359"/>
      <c r="E503" s="390"/>
      <c r="F503" s="93"/>
      <c r="G503" s="113">
        <f t="shared" si="105"/>
        <v>0</v>
      </c>
      <c r="H503" s="332">
        <f t="shared" si="106"/>
        <v>0</v>
      </c>
      <c r="I503" s="544"/>
    </row>
    <row r="504" spans="1:9" x14ac:dyDescent="0.35">
      <c r="A504" s="1348"/>
      <c r="B504" s="110">
        <v>53206060000000</v>
      </c>
      <c r="C504" s="374" t="s">
        <v>130</v>
      </c>
      <c r="D504" s="543"/>
      <c r="E504" s="390"/>
      <c r="F504" s="93"/>
      <c r="G504" s="113">
        <f t="shared" si="105"/>
        <v>0</v>
      </c>
      <c r="H504" s="332">
        <f t="shared" si="106"/>
        <v>0</v>
      </c>
      <c r="I504" s="544"/>
    </row>
    <row r="505" spans="1:9" x14ac:dyDescent="0.35">
      <c r="A505" s="1348"/>
      <c r="B505" s="110">
        <v>53206070000000</v>
      </c>
      <c r="C505" s="374" t="s">
        <v>131</v>
      </c>
      <c r="D505" s="359"/>
      <c r="E505" s="390"/>
      <c r="F505" s="93"/>
      <c r="G505" s="113">
        <f t="shared" si="105"/>
        <v>0</v>
      </c>
      <c r="H505" s="332">
        <f t="shared" si="106"/>
        <v>0</v>
      </c>
      <c r="I505" s="544"/>
    </row>
    <row r="506" spans="1:9" x14ac:dyDescent="0.35">
      <c r="A506" s="1348"/>
      <c r="B506" s="110">
        <v>53206990000000</v>
      </c>
      <c r="C506" s="374" t="s">
        <v>132</v>
      </c>
      <c r="D506" s="359"/>
      <c r="E506" s="390"/>
      <c r="F506" s="93"/>
      <c r="G506" s="113">
        <f t="shared" si="105"/>
        <v>0</v>
      </c>
      <c r="H506" s="332">
        <f t="shared" si="106"/>
        <v>0</v>
      </c>
      <c r="I506" s="544"/>
    </row>
    <row r="507" spans="1:9" x14ac:dyDescent="0.35">
      <c r="A507" s="1348"/>
      <c r="B507" s="110">
        <v>53208030000000</v>
      </c>
      <c r="C507" s="374" t="s">
        <v>133</v>
      </c>
      <c r="D507" s="359"/>
      <c r="E507" s="390"/>
      <c r="F507" s="93"/>
      <c r="G507" s="113">
        <f t="shared" si="105"/>
        <v>0</v>
      </c>
      <c r="H507" s="332">
        <f t="shared" si="106"/>
        <v>0</v>
      </c>
      <c r="I507" s="544"/>
    </row>
    <row r="508" spans="1:9" x14ac:dyDescent="0.35">
      <c r="A508" s="1348"/>
      <c r="B508" s="110">
        <v>53212060000000</v>
      </c>
      <c r="C508" s="374" t="s">
        <v>134</v>
      </c>
      <c r="D508" s="362"/>
      <c r="E508" s="389"/>
      <c r="F508" s="88"/>
      <c r="G508" s="113">
        <f t="shared" si="105"/>
        <v>0</v>
      </c>
      <c r="H508" s="332">
        <f t="shared" si="106"/>
        <v>0</v>
      </c>
      <c r="I508" s="544"/>
    </row>
    <row r="509" spans="1:9" x14ac:dyDescent="0.35">
      <c r="A509" s="1348"/>
      <c r="B509" s="114"/>
      <c r="C509" s="375" t="s">
        <v>135</v>
      </c>
      <c r="D509" s="365">
        <f>SUM(D510:D511)</f>
        <v>0</v>
      </c>
      <c r="E509" s="387"/>
      <c r="F509" s="90"/>
      <c r="G509" s="115">
        <f>SUM(G510:G511)</f>
        <v>0</v>
      </c>
      <c r="H509" s="323">
        <f>SUM(H510:H511)</f>
        <v>0</v>
      </c>
      <c r="I509" s="544"/>
    </row>
    <row r="510" spans="1:9" x14ac:dyDescent="0.35">
      <c r="A510" s="1348"/>
      <c r="B510" s="110">
        <v>53210020500000</v>
      </c>
      <c r="C510" s="374" t="s">
        <v>136</v>
      </c>
      <c r="D510" s="542"/>
      <c r="E510" s="389"/>
      <c r="F510" s="88"/>
      <c r="G510" s="113">
        <f t="shared" ref="G510:G511" si="107">E510*F510</f>
        <v>0</v>
      </c>
      <c r="H510" s="333">
        <f t="shared" ref="H510:H511" si="108">D510+G510</f>
        <v>0</v>
      </c>
      <c r="I510" s="544"/>
    </row>
    <row r="511" spans="1:9" x14ac:dyDescent="0.35">
      <c r="A511" s="1348"/>
      <c r="B511" s="116">
        <v>53204999000000</v>
      </c>
      <c r="C511" s="376" t="s">
        <v>137</v>
      </c>
      <c r="D511" s="543"/>
      <c r="E511" s="390"/>
      <c r="F511" s="93"/>
      <c r="G511" s="117">
        <f t="shared" si="107"/>
        <v>0</v>
      </c>
      <c r="H511" s="333">
        <f t="shared" si="108"/>
        <v>0</v>
      </c>
      <c r="I511" s="544"/>
    </row>
    <row r="512" spans="1:9" x14ac:dyDescent="0.35">
      <c r="A512" s="1349"/>
      <c r="B512" s="118"/>
      <c r="C512" s="377" t="s">
        <v>13</v>
      </c>
      <c r="D512" s="400">
        <f>SUM(D443,D471)</f>
        <v>0</v>
      </c>
      <c r="E512" s="393"/>
      <c r="F512" s="120"/>
      <c r="G512" s="119">
        <f>SUM(G443,G471)</f>
        <v>0</v>
      </c>
      <c r="H512" s="328">
        <f>SUM(H443,H471)</f>
        <v>0</v>
      </c>
      <c r="I512" s="544"/>
    </row>
    <row r="513" spans="3:9" x14ac:dyDescent="0.35">
      <c r="D513" s="3"/>
    </row>
    <row r="514" spans="3:9" x14ac:dyDescent="0.35">
      <c r="D514" s="3"/>
    </row>
    <row r="515" spans="3:9" x14ac:dyDescent="0.35">
      <c r="D515" s="3"/>
      <c r="H515" s="128"/>
    </row>
    <row r="518" spans="3:9" x14ac:dyDescent="0.35">
      <c r="C518" s="129"/>
      <c r="D518" s="130"/>
      <c r="E518" s="131"/>
      <c r="F518" s="132"/>
      <c r="G518" s="131"/>
      <c r="H518" s="133"/>
    </row>
    <row r="519" spans="3:9" x14ac:dyDescent="0.35">
      <c r="C519" s="129"/>
      <c r="D519" s="130"/>
      <c r="E519" s="131"/>
      <c r="F519" s="132"/>
      <c r="G519" s="131"/>
      <c r="H519" s="133"/>
    </row>
    <row r="520" spans="3:9" x14ac:dyDescent="0.35">
      <c r="C520" s="129"/>
      <c r="E520" s="131"/>
      <c r="F520" s="132"/>
      <c r="G520" s="131"/>
      <c r="H520" s="133"/>
      <c r="I520" s="134"/>
    </row>
    <row r="521" spans="3:9" x14ac:dyDescent="0.35">
      <c r="C521" s="129"/>
      <c r="D521" s="130"/>
      <c r="E521" s="131"/>
      <c r="F521" s="132"/>
      <c r="G521" s="131"/>
      <c r="H521" s="133"/>
    </row>
    <row r="522" spans="3:9" x14ac:dyDescent="0.35">
      <c r="C522" s="129"/>
      <c r="E522" s="131"/>
      <c r="F522" s="132"/>
      <c r="G522" s="131"/>
      <c r="H522" s="133"/>
    </row>
    <row r="523" spans="3:9" x14ac:dyDescent="0.35">
      <c r="C523" s="129"/>
      <c r="D523" s="130"/>
      <c r="E523" s="131"/>
      <c r="F523" s="132"/>
      <c r="G523" s="131"/>
      <c r="H523" s="133"/>
    </row>
    <row r="524" spans="3:9" x14ac:dyDescent="0.35">
      <c r="E524" s="131"/>
      <c r="F524" s="132"/>
      <c r="G524" s="131"/>
      <c r="H524" s="133"/>
    </row>
    <row r="525" spans="3:9" x14ac:dyDescent="0.35">
      <c r="E525" s="131"/>
      <c r="F525" s="132"/>
      <c r="G525" s="131"/>
      <c r="H525" s="133"/>
    </row>
    <row r="526" spans="3:9" x14ac:dyDescent="0.35">
      <c r="E526" s="135"/>
      <c r="F526" s="135"/>
      <c r="G526" s="136"/>
      <c r="H526" s="137"/>
    </row>
  </sheetData>
  <sheetProtection algorithmName="SHA-512" hashValue="AwdD7bQJXPWNarjpOVbIPCDPUKKGqvGmgH5HNMezCgl0UT4h+Y/rwhmzXbfjDyOe4cFPQy9fy5ABiuXMXpMomQ==" saltValue="X+y7+BMKs2EBDmBkvcFgRw==" spinCount="100000" sheet="1" objects="1" scenarios="1"/>
  <mergeCells count="58">
    <mergeCell ref="D4:E4"/>
    <mergeCell ref="A7:C7"/>
    <mergeCell ref="A9:A10"/>
    <mergeCell ref="B9:B10"/>
    <mergeCell ref="C9:C10"/>
    <mergeCell ref="D9:D10"/>
    <mergeCell ref="E9:G9"/>
    <mergeCell ref="H9:H10"/>
    <mergeCell ref="I9:I10"/>
    <mergeCell ref="A11:A80"/>
    <mergeCell ref="A81:A82"/>
    <mergeCell ref="B81:B82"/>
    <mergeCell ref="C81:C82"/>
    <mergeCell ref="D81:D82"/>
    <mergeCell ref="E81:G81"/>
    <mergeCell ref="H81:H82"/>
    <mergeCell ref="I81:I82"/>
    <mergeCell ref="A83:A152"/>
    <mergeCell ref="A153:A154"/>
    <mergeCell ref="B153:B154"/>
    <mergeCell ref="C153:C154"/>
    <mergeCell ref="D153:D154"/>
    <mergeCell ref="H153:H154"/>
    <mergeCell ref="I153:I154"/>
    <mergeCell ref="A155:A224"/>
    <mergeCell ref="A225:A226"/>
    <mergeCell ref="B225:B226"/>
    <mergeCell ref="C225:C226"/>
    <mergeCell ref="D225:D226"/>
    <mergeCell ref="E225:G225"/>
    <mergeCell ref="H225:H226"/>
    <mergeCell ref="I225:I226"/>
    <mergeCell ref="E153:G153"/>
    <mergeCell ref="A227:A296"/>
    <mergeCell ref="A297:A298"/>
    <mergeCell ref="B297:B298"/>
    <mergeCell ref="C297:C298"/>
    <mergeCell ref="D297:D298"/>
    <mergeCell ref="H297:H298"/>
    <mergeCell ref="I297:I298"/>
    <mergeCell ref="A299:A368"/>
    <mergeCell ref="A369:A370"/>
    <mergeCell ref="B369:B370"/>
    <mergeCell ref="C369:C370"/>
    <mergeCell ref="D369:D370"/>
    <mergeCell ref="E369:G369"/>
    <mergeCell ref="H369:H370"/>
    <mergeCell ref="I369:I370"/>
    <mergeCell ref="E297:G297"/>
    <mergeCell ref="H441:H442"/>
    <mergeCell ref="I441:I442"/>
    <mergeCell ref="A443:A512"/>
    <mergeCell ref="A371:A440"/>
    <mergeCell ref="A441:A442"/>
    <mergeCell ref="B441:B442"/>
    <mergeCell ref="C441:C442"/>
    <mergeCell ref="D441:D442"/>
    <mergeCell ref="E441:G441"/>
  </mergeCells>
  <phoneticPr fontId="36" type="noConversion"/>
  <hyperlinks>
    <hyperlink ref="A7:C7" location="'Índice Tablas'!A1" display="TABLA 6: COSTOS DIRECTOS DE CENTROS DE BENEFICIOS" xr:uid="{00000000-0004-0000-0200-000000000000}"/>
  </hyperlinks>
  <pageMargins left="0.7" right="0.7" top="0.75" bottom="0.75" header="0.3" footer="0.3"/>
  <pageSetup paperSize="4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AU103"/>
  <sheetViews>
    <sheetView showGridLines="0" tabSelected="1" topLeftCell="D31" zoomScale="80" zoomScaleNormal="80" workbookViewId="0">
      <selection activeCell="E4" sqref="E4"/>
    </sheetView>
  </sheetViews>
  <sheetFormatPr baseColWidth="10" defaultColWidth="11.453125" defaultRowHeight="12.5" x14ac:dyDescent="0.25"/>
  <cols>
    <col min="1" max="1" width="10.453125" style="648" customWidth="1"/>
    <col min="2" max="2" width="28" style="648" customWidth="1"/>
    <col min="3" max="3" width="28.7265625" style="648" customWidth="1"/>
    <col min="4" max="4" width="25.81640625" style="648" customWidth="1"/>
    <col min="5" max="5" width="29.453125" style="648" customWidth="1"/>
    <col min="6" max="6" width="22.1796875" style="648" customWidth="1"/>
    <col min="7" max="7" width="15.7265625" style="648" bestFit="1" customWidth="1"/>
    <col min="8" max="8" width="15" style="648" customWidth="1"/>
    <col min="9" max="9" width="15.1796875" style="648" customWidth="1"/>
    <col min="10" max="10" width="17.453125" style="648" customWidth="1"/>
    <col min="11" max="11" width="19.1796875" style="648" customWidth="1"/>
    <col min="12" max="12" width="4.81640625" style="648" customWidth="1"/>
    <col min="13" max="13" width="19.1796875" style="648" customWidth="1"/>
    <col min="14" max="14" width="19.453125" style="648" customWidth="1"/>
    <col min="15" max="15" width="17.1796875" style="648" customWidth="1"/>
    <col min="16" max="16" width="20.26953125" style="648" customWidth="1"/>
    <col min="17" max="17" width="17.7265625" style="648" customWidth="1"/>
    <col min="18" max="18" width="21.81640625" style="648" customWidth="1"/>
    <col min="19" max="19" width="17.453125" style="648" customWidth="1"/>
    <col min="20" max="20" width="15.26953125" style="648" customWidth="1"/>
    <col min="21" max="21" width="2.453125" style="648" customWidth="1"/>
    <col min="22" max="22" width="19.81640625" style="648" bestFit="1" customWidth="1"/>
    <col min="23" max="23" width="52.1796875" style="648" bestFit="1" customWidth="1"/>
    <col min="24" max="24" width="23" style="648" customWidth="1"/>
    <col min="25" max="25" width="5.7265625" style="648" customWidth="1"/>
    <col min="26" max="26" width="11.453125" style="648"/>
    <col min="27" max="32" width="14.26953125" style="648" customWidth="1"/>
    <col min="33" max="33" width="11.26953125" style="648" customWidth="1"/>
    <col min="34" max="39" width="14.26953125" style="648" customWidth="1"/>
    <col min="40" max="40" width="11.453125" style="648"/>
    <col min="41" max="46" width="14.26953125" style="648" customWidth="1"/>
    <col min="47" max="47" width="11.453125" style="648"/>
    <col min="48" max="16384" width="11.453125" style="627"/>
  </cols>
  <sheetData>
    <row r="1" spans="1:47" ht="13" x14ac:dyDescent="0.25">
      <c r="A1" s="141"/>
      <c r="B1" s="141"/>
      <c r="C1" s="141"/>
      <c r="D1" s="141"/>
      <c r="E1" s="140" t="s">
        <v>138</v>
      </c>
      <c r="F1" s="140"/>
      <c r="G1" s="140"/>
      <c r="H1" s="140"/>
      <c r="I1" s="140"/>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row>
    <row r="2" spans="1:47" ht="13" x14ac:dyDescent="0.25">
      <c r="A2" s="141"/>
      <c r="B2" s="141"/>
      <c r="C2" s="141"/>
      <c r="D2" s="141"/>
      <c r="E2" s="140" t="s">
        <v>139</v>
      </c>
      <c r="F2" s="140"/>
      <c r="G2" s="140"/>
      <c r="H2" s="140"/>
      <c r="I2" s="140"/>
      <c r="J2" s="141"/>
      <c r="K2" s="141"/>
      <c r="L2" s="141"/>
      <c r="M2" s="141"/>
      <c r="N2" s="628"/>
      <c r="O2" s="628"/>
      <c r="P2" s="628"/>
      <c r="Q2" s="628"/>
      <c r="R2" s="629"/>
      <c r="S2" s="629"/>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row>
    <row r="3" spans="1:47" ht="13" x14ac:dyDescent="0.25">
      <c r="A3" s="141"/>
      <c r="B3" s="630"/>
      <c r="C3" s="141"/>
      <c r="D3" s="141"/>
      <c r="E3" s="141"/>
      <c r="F3" s="141"/>
      <c r="G3" s="141"/>
      <c r="H3" s="141"/>
      <c r="I3" s="141"/>
      <c r="J3" s="141"/>
      <c r="K3" s="141"/>
      <c r="L3" s="141"/>
      <c r="M3" s="141"/>
      <c r="N3" s="628"/>
      <c r="O3" s="628"/>
      <c r="P3" s="628"/>
      <c r="Q3" s="628"/>
      <c r="R3" s="629"/>
      <c r="S3" s="629"/>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row>
    <row r="4" spans="1:47" ht="15.5" x14ac:dyDescent="0.25">
      <c r="A4" s="141"/>
      <c r="B4" s="630"/>
      <c r="C4" s="141"/>
      <c r="D4" s="631" t="s">
        <v>1</v>
      </c>
      <c r="E4" s="632" t="s">
        <v>2</v>
      </c>
      <c r="F4" s="633"/>
      <c r="G4" s="634"/>
      <c r="H4" s="634"/>
      <c r="I4" s="634"/>
      <c r="J4" s="634"/>
      <c r="K4" s="141"/>
      <c r="L4" s="141"/>
      <c r="M4" s="141"/>
      <c r="N4" s="628"/>
      <c r="O4" s="635"/>
      <c r="P4" s="628"/>
      <c r="Q4" s="628"/>
      <c r="R4" s="629"/>
      <c r="S4" s="636"/>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row>
    <row r="5" spans="1:47" ht="13" x14ac:dyDescent="0.25">
      <c r="A5" s="141"/>
      <c r="B5" s="630"/>
      <c r="C5" s="141"/>
      <c r="D5" s="637"/>
      <c r="E5" s="140"/>
      <c r="F5" s="140"/>
      <c r="G5" s="140"/>
      <c r="H5" s="140"/>
      <c r="I5" s="140"/>
      <c r="J5" s="140"/>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row>
    <row r="6" spans="1:47" ht="15" thickBot="1" x14ac:dyDescent="0.4">
      <c r="A6" s="141"/>
      <c r="B6" s="630"/>
      <c r="C6" s="141"/>
      <c r="D6" s="637"/>
      <c r="E6" s="140"/>
      <c r="F6" s="140"/>
      <c r="G6" s="140"/>
      <c r="H6" s="140"/>
      <c r="I6" s="140"/>
      <c r="J6" s="140"/>
      <c r="K6" s="141"/>
      <c r="L6" s="141"/>
      <c r="M6" s="141"/>
      <c r="N6" s="141"/>
      <c r="O6" s="638"/>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row>
    <row r="7" spans="1:47" ht="13" x14ac:dyDescent="0.25">
      <c r="A7" s="639"/>
      <c r="B7" s="640"/>
      <c r="C7" s="640"/>
      <c r="D7" s="640"/>
      <c r="E7" s="640"/>
      <c r="F7" s="640"/>
      <c r="G7" s="640"/>
      <c r="H7" s="640"/>
      <c r="I7" s="640"/>
      <c r="J7" s="641"/>
      <c r="K7" s="641"/>
      <c r="L7" s="641"/>
      <c r="M7" s="641"/>
      <c r="N7" s="641"/>
      <c r="O7" s="641"/>
      <c r="P7" s="641"/>
      <c r="Q7" s="641"/>
      <c r="R7" s="641"/>
      <c r="S7" s="639"/>
      <c r="T7" s="639"/>
      <c r="U7" s="639"/>
      <c r="V7" s="639"/>
      <c r="W7" s="639"/>
      <c r="X7" s="639"/>
      <c r="Y7" s="639"/>
      <c r="Z7" s="642"/>
      <c r="AA7" s="643"/>
      <c r="AB7" s="643"/>
      <c r="AC7" s="643"/>
      <c r="AD7" s="643"/>
      <c r="AE7" s="643"/>
      <c r="AF7" s="643"/>
      <c r="AG7" s="643"/>
      <c r="AH7" s="643"/>
      <c r="AI7" s="643"/>
      <c r="AJ7" s="643"/>
      <c r="AK7" s="643"/>
      <c r="AL7" s="643"/>
      <c r="AM7" s="643"/>
      <c r="AN7" s="643"/>
      <c r="AO7" s="643"/>
      <c r="AP7" s="643"/>
      <c r="AQ7" s="643"/>
      <c r="AR7" s="643"/>
      <c r="AS7" s="643"/>
      <c r="AT7" s="643"/>
      <c r="AU7" s="644"/>
    </row>
    <row r="8" spans="1:47" ht="13" x14ac:dyDescent="0.25">
      <c r="A8" s="639"/>
      <c r="B8" s="640"/>
      <c r="C8" s="640"/>
      <c r="D8" s="640"/>
      <c r="E8" s="640"/>
      <c r="F8" s="640"/>
      <c r="G8" s="640"/>
      <c r="H8" s="640"/>
      <c r="I8" s="640"/>
      <c r="J8" s="641"/>
      <c r="K8" s="641"/>
      <c r="L8" s="641"/>
      <c r="M8" s="641"/>
      <c r="N8" s="641"/>
      <c r="O8" s="641"/>
      <c r="P8" s="641"/>
      <c r="Q8" s="641"/>
      <c r="R8" s="641"/>
      <c r="S8" s="639"/>
      <c r="T8" s="639"/>
      <c r="U8" s="639"/>
      <c r="V8" s="639"/>
      <c r="W8" s="639"/>
      <c r="X8" s="639"/>
      <c r="Y8" s="639"/>
      <c r="Z8" s="645"/>
      <c r="AA8" s="639"/>
      <c r="AB8" s="639"/>
      <c r="AC8" s="639"/>
      <c r="AD8" s="639"/>
      <c r="AE8" s="639"/>
      <c r="AF8" s="639"/>
      <c r="AG8" s="639"/>
      <c r="AH8" s="639"/>
      <c r="AI8" s="639"/>
      <c r="AJ8" s="639"/>
      <c r="AK8" s="639"/>
      <c r="AL8" s="639"/>
      <c r="AM8" s="639"/>
      <c r="AN8" s="639"/>
      <c r="AO8" s="639"/>
      <c r="AP8" s="639"/>
      <c r="AQ8" s="639"/>
      <c r="AR8" s="639"/>
      <c r="AS8" s="639"/>
      <c r="AT8" s="639"/>
      <c r="AU8" s="646"/>
    </row>
    <row r="9" spans="1:47" ht="15.5" x14ac:dyDescent="0.25">
      <c r="A9" s="1436" t="s">
        <v>276</v>
      </c>
      <c r="B9" s="1436"/>
      <c r="C9" s="1436"/>
      <c r="D9" s="1436"/>
      <c r="E9" s="1436"/>
      <c r="F9" s="1436"/>
      <c r="G9" s="1436"/>
      <c r="H9" s="1436"/>
      <c r="I9" s="647"/>
      <c r="J9" s="647"/>
      <c r="K9" s="647"/>
      <c r="L9" s="647"/>
      <c r="M9" s="1437" t="s">
        <v>277</v>
      </c>
      <c r="N9" s="1437"/>
      <c r="O9" s="1437"/>
      <c r="P9" s="1437"/>
      <c r="Q9" s="1437"/>
      <c r="R9" s="1437"/>
      <c r="S9" s="1437"/>
      <c r="V9" s="1435" t="s">
        <v>278</v>
      </c>
      <c r="W9" s="1435"/>
      <c r="X9" s="1435"/>
      <c r="Y9" s="649"/>
      <c r="Z9" s="650"/>
      <c r="AA9" s="1435" t="s">
        <v>279</v>
      </c>
      <c r="AB9" s="1435"/>
      <c r="AC9" s="1435"/>
      <c r="AD9" s="1435"/>
      <c r="AE9" s="1435"/>
      <c r="AF9" s="1435"/>
      <c r="AG9" s="649"/>
      <c r="AH9" s="1435" t="s">
        <v>280</v>
      </c>
      <c r="AI9" s="1435"/>
      <c r="AJ9" s="1435"/>
      <c r="AK9" s="1435"/>
      <c r="AL9" s="1435"/>
      <c r="AM9" s="1435"/>
      <c r="AN9" s="639"/>
      <c r="AO9" s="1435" t="s">
        <v>281</v>
      </c>
      <c r="AP9" s="1435"/>
      <c r="AQ9" s="1435"/>
      <c r="AR9" s="1435"/>
      <c r="AS9" s="1435"/>
      <c r="AT9" s="1435"/>
      <c r="AU9" s="651"/>
    </row>
    <row r="10" spans="1:47" ht="13" x14ac:dyDescent="0.25">
      <c r="A10" s="639"/>
      <c r="B10" s="630"/>
      <c r="C10" s="637"/>
      <c r="D10" s="637"/>
      <c r="E10" s="140"/>
      <c r="F10" s="140"/>
      <c r="G10" s="140"/>
      <c r="H10" s="140"/>
      <c r="I10" s="140"/>
      <c r="J10" s="140"/>
      <c r="K10" s="639"/>
      <c r="L10" s="639"/>
      <c r="M10" s="1437"/>
      <c r="N10" s="1437"/>
      <c r="O10" s="1437"/>
      <c r="P10" s="1437"/>
      <c r="Q10" s="1437"/>
      <c r="R10" s="1437"/>
      <c r="S10" s="1437"/>
      <c r="V10" s="1435"/>
      <c r="W10" s="1435"/>
      <c r="X10" s="1435"/>
      <c r="Y10" s="639"/>
      <c r="Z10" s="645"/>
      <c r="AA10" s="1435"/>
      <c r="AB10" s="1435"/>
      <c r="AC10" s="1435"/>
      <c r="AD10" s="1435"/>
      <c r="AE10" s="1435"/>
      <c r="AF10" s="1435"/>
      <c r="AG10" s="639"/>
      <c r="AH10" s="1435"/>
      <c r="AI10" s="1435"/>
      <c r="AJ10" s="1435"/>
      <c r="AK10" s="1435"/>
      <c r="AL10" s="1435"/>
      <c r="AM10" s="1435"/>
      <c r="AN10" s="639"/>
      <c r="AO10" s="1435"/>
      <c r="AP10" s="1435"/>
      <c r="AQ10" s="1435"/>
      <c r="AR10" s="1435"/>
      <c r="AS10" s="1435"/>
      <c r="AT10" s="1435"/>
      <c r="AU10" s="651"/>
    </row>
    <row r="11" spans="1:47" ht="13" x14ac:dyDescent="0.25">
      <c r="J11" s="652" t="s">
        <v>42</v>
      </c>
      <c r="K11" s="653">
        <v>4.4999999999999998E-2</v>
      </c>
      <c r="Z11" s="654"/>
      <c r="AU11" s="651"/>
    </row>
    <row r="12" spans="1:47" ht="13.5" thickBot="1" x14ac:dyDescent="0.3">
      <c r="M12" s="1440"/>
      <c r="N12" s="1440"/>
      <c r="O12" s="1440"/>
      <c r="P12" s="1440"/>
      <c r="Q12" s="1440"/>
      <c r="R12" s="1440"/>
      <c r="Z12" s="654"/>
      <c r="AU12" s="651"/>
    </row>
    <row r="13" spans="1:47" ht="15.75" customHeight="1" thickBot="1" x14ac:dyDescent="0.3">
      <c r="A13" s="1441" t="s">
        <v>140</v>
      </c>
      <c r="B13" s="1442"/>
      <c r="C13" s="1445" t="s">
        <v>141</v>
      </c>
      <c r="D13" s="1445" t="s">
        <v>142</v>
      </c>
      <c r="E13" s="1426" t="s">
        <v>143</v>
      </c>
      <c r="F13" s="1426" t="s">
        <v>22</v>
      </c>
      <c r="G13" s="1428" t="s">
        <v>386</v>
      </c>
      <c r="H13" s="1429"/>
      <c r="I13" s="1429"/>
      <c r="J13" s="1430"/>
      <c r="K13" s="1431" t="s">
        <v>382</v>
      </c>
      <c r="L13" s="655"/>
      <c r="M13" s="1433" t="s">
        <v>144</v>
      </c>
      <c r="N13" s="1434"/>
      <c r="O13" s="1416" t="s">
        <v>145</v>
      </c>
      <c r="P13" s="1417"/>
      <c r="Q13" s="1416" t="s">
        <v>146</v>
      </c>
      <c r="R13" s="1417"/>
      <c r="S13" s="1418" t="s">
        <v>147</v>
      </c>
      <c r="V13" s="1420" t="s">
        <v>61</v>
      </c>
      <c r="W13" s="1422" t="s">
        <v>62</v>
      </c>
      <c r="X13" s="1424" t="s">
        <v>383</v>
      </c>
      <c r="Z13" s="654"/>
      <c r="AA13" s="1438" t="s">
        <v>144</v>
      </c>
      <c r="AB13" s="1439"/>
      <c r="AC13" s="1400" t="s">
        <v>145</v>
      </c>
      <c r="AD13" s="1401"/>
      <c r="AE13" s="1402" t="s">
        <v>146</v>
      </c>
      <c r="AF13" s="1403"/>
      <c r="AH13" s="1404" t="s">
        <v>144</v>
      </c>
      <c r="AI13" s="1405"/>
      <c r="AJ13" s="1406" t="s">
        <v>145</v>
      </c>
      <c r="AK13" s="1407"/>
      <c r="AL13" s="1408" t="s">
        <v>146</v>
      </c>
      <c r="AM13" s="1409"/>
      <c r="AO13" s="1404" t="s">
        <v>144</v>
      </c>
      <c r="AP13" s="1405"/>
      <c r="AQ13" s="1406" t="s">
        <v>145</v>
      </c>
      <c r="AR13" s="1407"/>
      <c r="AS13" s="1408" t="s">
        <v>146</v>
      </c>
      <c r="AT13" s="1409"/>
      <c r="AU13" s="651"/>
    </row>
    <row r="14" spans="1:47" ht="46.5" customHeight="1" thickBot="1" x14ac:dyDescent="0.3">
      <c r="A14" s="1443"/>
      <c r="B14" s="1444"/>
      <c r="C14" s="1446"/>
      <c r="D14" s="1446"/>
      <c r="E14" s="1427"/>
      <c r="F14" s="1427"/>
      <c r="G14" s="656" t="s">
        <v>148</v>
      </c>
      <c r="H14" s="656" t="s">
        <v>149</v>
      </c>
      <c r="I14" s="657" t="s">
        <v>150</v>
      </c>
      <c r="J14" s="658" t="s">
        <v>381</v>
      </c>
      <c r="K14" s="1432"/>
      <c r="L14" s="655"/>
      <c r="M14" s="659" t="s">
        <v>151</v>
      </c>
      <c r="N14" s="660" t="s">
        <v>152</v>
      </c>
      <c r="O14" s="659" t="s">
        <v>151</v>
      </c>
      <c r="P14" s="661" t="s">
        <v>152</v>
      </c>
      <c r="Q14" s="662" t="s">
        <v>151</v>
      </c>
      <c r="R14" s="663" t="s">
        <v>152</v>
      </c>
      <c r="S14" s="1419"/>
      <c r="T14" s="664"/>
      <c r="V14" s="1421"/>
      <c r="W14" s="1423"/>
      <c r="X14" s="1425"/>
      <c r="Z14" s="654"/>
      <c r="AA14" s="665" t="s">
        <v>151</v>
      </c>
      <c r="AB14" s="666" t="s">
        <v>152</v>
      </c>
      <c r="AC14" s="667" t="s">
        <v>151</v>
      </c>
      <c r="AD14" s="668" t="s">
        <v>152</v>
      </c>
      <c r="AE14" s="669" t="s">
        <v>151</v>
      </c>
      <c r="AF14" s="670" t="s">
        <v>152</v>
      </c>
      <c r="AH14" s="671" t="s">
        <v>151</v>
      </c>
      <c r="AI14" s="672" t="s">
        <v>152</v>
      </c>
      <c r="AJ14" s="673" t="s">
        <v>151</v>
      </c>
      <c r="AK14" s="674" t="s">
        <v>152</v>
      </c>
      <c r="AL14" s="675" t="s">
        <v>151</v>
      </c>
      <c r="AM14" s="676" t="s">
        <v>152</v>
      </c>
      <c r="AO14" s="1410" t="s">
        <v>153</v>
      </c>
      <c r="AP14" s="1411"/>
      <c r="AQ14" s="1412" t="s">
        <v>153</v>
      </c>
      <c r="AR14" s="1413"/>
      <c r="AS14" s="1414" t="s">
        <v>154</v>
      </c>
      <c r="AT14" s="1415"/>
      <c r="AU14" s="651"/>
    </row>
    <row r="15" spans="1:47" ht="15.75" customHeight="1" thickBot="1" x14ac:dyDescent="0.3">
      <c r="A15" s="1395" t="s">
        <v>155</v>
      </c>
      <c r="B15" s="1386" t="s">
        <v>156</v>
      </c>
      <c r="C15" s="677" t="s">
        <v>474</v>
      </c>
      <c r="D15" s="678" t="s">
        <v>355</v>
      </c>
      <c r="E15" s="679" t="s">
        <v>356</v>
      </c>
      <c r="F15" s="680" t="s">
        <v>475</v>
      </c>
      <c r="G15" s="351">
        <v>11286000</v>
      </c>
      <c r="H15" s="351">
        <v>389000</v>
      </c>
      <c r="I15" s="352">
        <v>196000</v>
      </c>
      <c r="J15" s="681">
        <f>SUM(G15:I15)</f>
        <v>11871000</v>
      </c>
      <c r="K15" s="682">
        <f>+((G15*(1+$K$11))+H15+I15)</f>
        <v>12378870</v>
      </c>
      <c r="L15" s="655"/>
      <c r="M15" s="1060">
        <v>0.52</v>
      </c>
      <c r="N15" s="683">
        <f t="shared" ref="N15:N61" si="0">+$K15*M15</f>
        <v>6437012.4000000004</v>
      </c>
      <c r="O15" s="1060">
        <v>0.24</v>
      </c>
      <c r="P15" s="684">
        <f t="shared" ref="P15:P61" si="1">+$K15*O15</f>
        <v>2970928.8</v>
      </c>
      <c r="Q15" s="1064">
        <v>0.24</v>
      </c>
      <c r="R15" s="683">
        <f t="shared" ref="R15:R61" si="2">+$K15*Q15</f>
        <v>2970928.8</v>
      </c>
      <c r="S15" s="685">
        <f>+M15+O15+Q15</f>
        <v>1</v>
      </c>
      <c r="T15" s="664"/>
      <c r="V15" s="686"/>
      <c r="W15" s="687" t="s">
        <v>69</v>
      </c>
      <c r="X15" s="688">
        <f>SUM(X16,X20)</f>
        <v>63175166</v>
      </c>
      <c r="Z15" s="654"/>
      <c r="AA15" s="689">
        <f>+M62</f>
        <v>0.57552624908498984</v>
      </c>
      <c r="AB15" s="690">
        <f t="shared" ref="AB15:AF15" si="3">+N62</f>
        <v>49406649.399999999</v>
      </c>
      <c r="AC15" s="689">
        <f t="shared" si="3"/>
        <v>0.22000966148234677</v>
      </c>
      <c r="AD15" s="691">
        <f t="shared" si="3"/>
        <v>18886958.199999999</v>
      </c>
      <c r="AE15" s="692">
        <f t="shared" si="3"/>
        <v>0.20446408943266339</v>
      </c>
      <c r="AF15" s="691">
        <f t="shared" si="3"/>
        <v>17552432.399999999</v>
      </c>
      <c r="AH15" s="693">
        <f>+AA15</f>
        <v>0.57552624908498984</v>
      </c>
      <c r="AI15" s="694">
        <f>+AH15*X80</f>
        <v>59349909.933085293</v>
      </c>
      <c r="AJ15" s="695">
        <f>+AC15</f>
        <v>0.22000966148234677</v>
      </c>
      <c r="AK15" s="694">
        <f>+AJ15*X80</f>
        <v>22688024.41964313</v>
      </c>
      <c r="AL15" s="696">
        <f>+AE15</f>
        <v>0.20446408943266339</v>
      </c>
      <c r="AM15" s="697">
        <f>+AL15*X80</f>
        <v>21084920.647271581</v>
      </c>
      <c r="AO15" s="1398">
        <f>+AI15+AB15+K72</f>
        <v>139898784.3330853</v>
      </c>
      <c r="AP15" s="1399"/>
      <c r="AQ15" s="1398">
        <f>+AK15+AD15+K83</f>
        <v>41574982.619643129</v>
      </c>
      <c r="AR15" s="1399"/>
      <c r="AS15" s="1398">
        <f>+AM15+AF15+K91</f>
        <v>38637353.04727158</v>
      </c>
      <c r="AT15" s="1399"/>
      <c r="AU15" s="651"/>
    </row>
    <row r="16" spans="1:47" ht="15" customHeight="1" x14ac:dyDescent="0.25">
      <c r="A16" s="1396"/>
      <c r="B16" s="1387"/>
      <c r="C16" s="698" t="s">
        <v>353</v>
      </c>
      <c r="D16" s="699" t="s">
        <v>354</v>
      </c>
      <c r="E16" s="700" t="s">
        <v>476</v>
      </c>
      <c r="F16" s="700" t="s">
        <v>475</v>
      </c>
      <c r="G16" s="564">
        <v>12595000</v>
      </c>
      <c r="H16" s="564">
        <v>389000</v>
      </c>
      <c r="I16" s="565">
        <v>185000</v>
      </c>
      <c r="J16" s="701">
        <f t="shared" ref="J16:J39" si="4">SUM(G16:I16)</f>
        <v>13169000</v>
      </c>
      <c r="K16" s="567">
        <f t="shared" ref="K16:K61" si="5">+((G16*(1+$K$11))+H16+I16)</f>
        <v>13735775</v>
      </c>
      <c r="L16" s="655"/>
      <c r="M16" s="1061">
        <v>0.77</v>
      </c>
      <c r="N16" s="702">
        <f t="shared" si="0"/>
        <v>10576546.75</v>
      </c>
      <c r="O16" s="1061">
        <v>0.12</v>
      </c>
      <c r="P16" s="703">
        <f t="shared" si="1"/>
        <v>1648293</v>
      </c>
      <c r="Q16" s="1065">
        <v>0.11</v>
      </c>
      <c r="R16" s="702">
        <f t="shared" si="2"/>
        <v>1510935.25</v>
      </c>
      <c r="S16" s="704">
        <f t="shared" ref="S16:S61" si="6">+M16+O16+Q16</f>
        <v>1</v>
      </c>
      <c r="T16" s="664"/>
      <c r="V16" s="705"/>
      <c r="W16" s="706" t="s">
        <v>70</v>
      </c>
      <c r="X16" s="707">
        <f>SUM(X17:X19)</f>
        <v>32866953</v>
      </c>
      <c r="Z16" s="654"/>
      <c r="AU16" s="651"/>
    </row>
    <row r="17" spans="1:47" ht="15" customHeight="1" x14ac:dyDescent="0.25">
      <c r="A17" s="1396"/>
      <c r="B17" s="1387"/>
      <c r="C17" s="698" t="s">
        <v>357</v>
      </c>
      <c r="D17" s="699" t="s">
        <v>477</v>
      </c>
      <c r="E17" s="700" t="s">
        <v>358</v>
      </c>
      <c r="F17" s="711" t="s">
        <v>475</v>
      </c>
      <c r="G17" s="564">
        <v>14632000</v>
      </c>
      <c r="H17" s="564">
        <v>389000</v>
      </c>
      <c r="I17" s="565">
        <v>185000</v>
      </c>
      <c r="J17" s="701">
        <f t="shared" ref="J17:J18" si="7">SUM(G17:I17)</f>
        <v>15206000</v>
      </c>
      <c r="K17" s="567">
        <f t="shared" si="5"/>
        <v>15864439.999999998</v>
      </c>
      <c r="L17" s="655"/>
      <c r="M17" s="1061">
        <v>0.47</v>
      </c>
      <c r="N17" s="702">
        <f t="shared" ref="N17:N18" si="8">+$K17*M17</f>
        <v>7456286.7999999989</v>
      </c>
      <c r="O17" s="1061">
        <v>0.35</v>
      </c>
      <c r="P17" s="703">
        <f t="shared" ref="P17:P18" si="9">+$K17*O17</f>
        <v>5552553.9999999991</v>
      </c>
      <c r="Q17" s="1065">
        <v>0.18</v>
      </c>
      <c r="R17" s="702">
        <f t="shared" ref="R17:R18" si="10">+$K17*Q17</f>
        <v>2855599.1999999997</v>
      </c>
      <c r="S17" s="704">
        <f t="shared" si="6"/>
        <v>1</v>
      </c>
      <c r="T17" s="664"/>
      <c r="V17" s="708">
        <v>53103050000000</v>
      </c>
      <c r="W17" s="709" t="s">
        <v>72</v>
      </c>
      <c r="X17" s="710">
        <v>0</v>
      </c>
      <c r="Z17" s="654"/>
      <c r="AU17" s="651"/>
    </row>
    <row r="18" spans="1:47" ht="15.75" customHeight="1" thickBot="1" x14ac:dyDescent="0.3">
      <c r="A18" s="1396"/>
      <c r="B18" s="1387"/>
      <c r="C18" s="698" t="s">
        <v>478</v>
      </c>
      <c r="D18" s="699" t="s">
        <v>359</v>
      </c>
      <c r="E18" s="700" t="s">
        <v>360</v>
      </c>
      <c r="F18" s="711" t="s">
        <v>475</v>
      </c>
      <c r="G18" s="564">
        <v>16685000</v>
      </c>
      <c r="H18" s="564">
        <v>217000</v>
      </c>
      <c r="I18" s="565">
        <v>185000</v>
      </c>
      <c r="J18" s="701">
        <f t="shared" si="7"/>
        <v>17087000</v>
      </c>
      <c r="K18" s="567">
        <f t="shared" si="5"/>
        <v>17837825</v>
      </c>
      <c r="L18" s="655"/>
      <c r="M18" s="1061">
        <v>0.61</v>
      </c>
      <c r="N18" s="702">
        <f t="shared" si="8"/>
        <v>10881073.25</v>
      </c>
      <c r="O18" s="1061">
        <v>0.08</v>
      </c>
      <c r="P18" s="703">
        <f t="shared" si="9"/>
        <v>1427026</v>
      </c>
      <c r="Q18" s="1065">
        <v>0.31</v>
      </c>
      <c r="R18" s="702">
        <f t="shared" si="10"/>
        <v>5529725.75</v>
      </c>
      <c r="S18" s="704">
        <f t="shared" si="6"/>
        <v>1</v>
      </c>
      <c r="T18" s="664"/>
      <c r="V18" s="708">
        <v>53103060000000</v>
      </c>
      <c r="W18" s="709" t="s">
        <v>73</v>
      </c>
      <c r="X18" s="710">
        <v>0</v>
      </c>
      <c r="Z18" s="712"/>
      <c r="AA18" s="713"/>
      <c r="AB18" s="713"/>
      <c r="AC18" s="713"/>
      <c r="AD18" s="713"/>
      <c r="AE18" s="713"/>
      <c r="AF18" s="713"/>
      <c r="AG18" s="713"/>
      <c r="AH18" s="713"/>
      <c r="AI18" s="713"/>
      <c r="AJ18" s="713"/>
      <c r="AK18" s="713"/>
      <c r="AL18" s="713"/>
      <c r="AM18" s="713"/>
      <c r="AN18" s="713"/>
      <c r="AO18" s="713"/>
      <c r="AP18" s="713"/>
      <c r="AQ18" s="713"/>
      <c r="AR18" s="713"/>
      <c r="AS18" s="713"/>
      <c r="AT18" s="713"/>
      <c r="AU18" s="714"/>
    </row>
    <row r="19" spans="1:47" ht="15" customHeight="1" x14ac:dyDescent="0.25">
      <c r="A19" s="1396"/>
      <c r="B19" s="1387"/>
      <c r="C19" s="698"/>
      <c r="D19" s="699"/>
      <c r="E19" s="700"/>
      <c r="F19" s="711"/>
      <c r="G19" s="564"/>
      <c r="H19" s="564"/>
      <c r="I19" s="565"/>
      <c r="J19" s="701">
        <f t="shared" si="4"/>
        <v>0</v>
      </c>
      <c r="K19" s="567">
        <f t="shared" si="5"/>
        <v>0</v>
      </c>
      <c r="L19" s="655"/>
      <c r="M19" s="1061">
        <v>0</v>
      </c>
      <c r="N19" s="702">
        <f t="shared" si="0"/>
        <v>0</v>
      </c>
      <c r="O19" s="1061">
        <v>0</v>
      </c>
      <c r="P19" s="703">
        <f t="shared" si="1"/>
        <v>0</v>
      </c>
      <c r="Q19" s="1065">
        <v>0</v>
      </c>
      <c r="R19" s="702">
        <f t="shared" si="2"/>
        <v>0</v>
      </c>
      <c r="S19" s="704">
        <f t="shared" si="6"/>
        <v>0</v>
      </c>
      <c r="V19" s="708">
        <v>53103080010000</v>
      </c>
      <c r="W19" s="709" t="s">
        <v>74</v>
      </c>
      <c r="X19" s="1051">
        <v>32866953</v>
      </c>
    </row>
    <row r="20" spans="1:47" ht="15" customHeight="1" x14ac:dyDescent="0.25">
      <c r="A20" s="1396"/>
      <c r="B20" s="1387"/>
      <c r="C20" s="698"/>
      <c r="D20" s="699"/>
      <c r="E20" s="700"/>
      <c r="F20" s="711"/>
      <c r="G20" s="564"/>
      <c r="H20" s="564"/>
      <c r="I20" s="565"/>
      <c r="J20" s="701">
        <f t="shared" si="4"/>
        <v>0</v>
      </c>
      <c r="K20" s="567">
        <f t="shared" si="5"/>
        <v>0</v>
      </c>
      <c r="L20" s="655"/>
      <c r="M20" s="1061">
        <v>0</v>
      </c>
      <c r="N20" s="702">
        <f t="shared" si="0"/>
        <v>0</v>
      </c>
      <c r="O20" s="1061">
        <v>0</v>
      </c>
      <c r="P20" s="703">
        <f t="shared" si="1"/>
        <v>0</v>
      </c>
      <c r="Q20" s="1065">
        <v>0</v>
      </c>
      <c r="R20" s="702">
        <f t="shared" si="2"/>
        <v>0</v>
      </c>
      <c r="S20" s="704">
        <f t="shared" si="6"/>
        <v>0</v>
      </c>
      <c r="V20" s="705"/>
      <c r="W20" s="706" t="s">
        <v>77</v>
      </c>
      <c r="X20" s="715">
        <f>SUM(X21:X39)</f>
        <v>30308213</v>
      </c>
    </row>
    <row r="21" spans="1:47" ht="15" customHeight="1" x14ac:dyDescent="0.25">
      <c r="A21" s="1396"/>
      <c r="B21" s="1387"/>
      <c r="C21" s="698"/>
      <c r="D21" s="699"/>
      <c r="E21" s="700"/>
      <c r="F21" s="711"/>
      <c r="G21" s="564"/>
      <c r="H21" s="564"/>
      <c r="I21" s="565"/>
      <c r="J21" s="701">
        <f t="shared" si="4"/>
        <v>0</v>
      </c>
      <c r="K21" s="567">
        <f t="shared" si="5"/>
        <v>0</v>
      </c>
      <c r="L21" s="655"/>
      <c r="M21" s="1061">
        <v>0</v>
      </c>
      <c r="N21" s="702">
        <f t="shared" si="0"/>
        <v>0</v>
      </c>
      <c r="O21" s="1061">
        <v>0</v>
      </c>
      <c r="P21" s="703">
        <f t="shared" si="1"/>
        <v>0</v>
      </c>
      <c r="Q21" s="1065">
        <v>0</v>
      </c>
      <c r="R21" s="702">
        <f t="shared" si="2"/>
        <v>0</v>
      </c>
      <c r="S21" s="704">
        <f t="shared" si="6"/>
        <v>0</v>
      </c>
      <c r="V21" s="708">
        <v>53201010100000</v>
      </c>
      <c r="W21" s="709" t="s">
        <v>78</v>
      </c>
      <c r="X21" s="1052">
        <v>5772900</v>
      </c>
    </row>
    <row r="22" spans="1:47" ht="15" customHeight="1" x14ac:dyDescent="0.25">
      <c r="A22" s="1396"/>
      <c r="B22" s="1387"/>
      <c r="C22" s="698"/>
      <c r="D22" s="699"/>
      <c r="E22" s="700"/>
      <c r="F22" s="711"/>
      <c r="G22" s="564"/>
      <c r="H22" s="564"/>
      <c r="I22" s="565"/>
      <c r="J22" s="701">
        <f t="shared" si="4"/>
        <v>0</v>
      </c>
      <c r="K22" s="567">
        <f t="shared" si="5"/>
        <v>0</v>
      </c>
      <c r="L22" s="655"/>
      <c r="M22" s="1061">
        <v>0</v>
      </c>
      <c r="N22" s="702">
        <f t="shared" si="0"/>
        <v>0</v>
      </c>
      <c r="O22" s="1061">
        <v>0</v>
      </c>
      <c r="P22" s="703">
        <f t="shared" si="1"/>
        <v>0</v>
      </c>
      <c r="Q22" s="1065">
        <v>0</v>
      </c>
      <c r="R22" s="702">
        <f t="shared" si="2"/>
        <v>0</v>
      </c>
      <c r="S22" s="704">
        <f t="shared" si="6"/>
        <v>0</v>
      </c>
      <c r="V22" s="708">
        <v>53202010100000</v>
      </c>
      <c r="W22" s="709" t="s">
        <v>79</v>
      </c>
      <c r="X22" s="1052">
        <v>210000</v>
      </c>
    </row>
    <row r="23" spans="1:47" ht="15" customHeight="1" x14ac:dyDescent="0.25">
      <c r="A23" s="1396"/>
      <c r="B23" s="1387"/>
      <c r="C23" s="698"/>
      <c r="D23" s="699"/>
      <c r="E23" s="700"/>
      <c r="F23" s="711"/>
      <c r="G23" s="564"/>
      <c r="H23" s="564"/>
      <c r="I23" s="565"/>
      <c r="J23" s="701">
        <f t="shared" si="4"/>
        <v>0</v>
      </c>
      <c r="K23" s="567">
        <f t="shared" si="5"/>
        <v>0</v>
      </c>
      <c r="L23" s="655"/>
      <c r="M23" s="1061">
        <v>0</v>
      </c>
      <c r="N23" s="702">
        <f t="shared" si="0"/>
        <v>0</v>
      </c>
      <c r="O23" s="1061">
        <v>0</v>
      </c>
      <c r="P23" s="703">
        <f t="shared" si="1"/>
        <v>0</v>
      </c>
      <c r="Q23" s="1065">
        <v>0</v>
      </c>
      <c r="R23" s="702">
        <f t="shared" si="2"/>
        <v>0</v>
      </c>
      <c r="S23" s="704">
        <f t="shared" si="6"/>
        <v>0</v>
      </c>
      <c r="V23" s="708">
        <v>53203010100000</v>
      </c>
      <c r="W23" s="709" t="s">
        <v>80</v>
      </c>
      <c r="X23" s="1052">
        <v>0</v>
      </c>
    </row>
    <row r="24" spans="1:47" ht="15.75" customHeight="1" thickBot="1" x14ac:dyDescent="0.3">
      <c r="A24" s="1396"/>
      <c r="B24" s="1388"/>
      <c r="C24" s="716"/>
      <c r="D24" s="717"/>
      <c r="E24" s="718"/>
      <c r="F24" s="719"/>
      <c r="G24" s="354"/>
      <c r="H24" s="354"/>
      <c r="I24" s="720"/>
      <c r="J24" s="721">
        <f t="shared" si="4"/>
        <v>0</v>
      </c>
      <c r="K24" s="568">
        <f t="shared" si="5"/>
        <v>0</v>
      </c>
      <c r="L24" s="655"/>
      <c r="M24" s="1062">
        <v>0</v>
      </c>
      <c r="N24" s="722">
        <f t="shared" si="0"/>
        <v>0</v>
      </c>
      <c r="O24" s="1062">
        <v>0</v>
      </c>
      <c r="P24" s="723">
        <f t="shared" si="1"/>
        <v>0</v>
      </c>
      <c r="Q24" s="1066">
        <v>0</v>
      </c>
      <c r="R24" s="722">
        <f t="shared" si="2"/>
        <v>0</v>
      </c>
      <c r="S24" s="724">
        <f t="shared" si="6"/>
        <v>0</v>
      </c>
      <c r="V24" s="708">
        <v>53203030000000</v>
      </c>
      <c r="W24" s="709" t="s">
        <v>81</v>
      </c>
      <c r="X24" s="1052">
        <v>0</v>
      </c>
    </row>
    <row r="25" spans="1:47" ht="15" customHeight="1" x14ac:dyDescent="0.25">
      <c r="A25" s="1396"/>
      <c r="B25" s="1386" t="s">
        <v>157</v>
      </c>
      <c r="C25" s="677" t="s">
        <v>361</v>
      </c>
      <c r="D25" s="678" t="s">
        <v>479</v>
      </c>
      <c r="E25" s="679" t="s">
        <v>362</v>
      </c>
      <c r="F25" s="725" t="s">
        <v>480</v>
      </c>
      <c r="G25" s="351">
        <v>24514000</v>
      </c>
      <c r="H25" s="351">
        <v>217000</v>
      </c>
      <c r="I25" s="352">
        <v>195000</v>
      </c>
      <c r="J25" s="681">
        <f t="shared" si="4"/>
        <v>24926000</v>
      </c>
      <c r="K25" s="682">
        <f t="shared" si="5"/>
        <v>26029130</v>
      </c>
      <c r="L25" s="655"/>
      <c r="M25" s="726">
        <v>0.54</v>
      </c>
      <c r="N25" s="727">
        <f t="shared" si="0"/>
        <v>14055730.200000001</v>
      </c>
      <c r="O25" s="726">
        <v>0.28000000000000003</v>
      </c>
      <c r="P25" s="728">
        <f t="shared" si="1"/>
        <v>7288156.4000000004</v>
      </c>
      <c r="Q25" s="1067">
        <v>0.18</v>
      </c>
      <c r="R25" s="727">
        <f t="shared" si="2"/>
        <v>4685243.3999999994</v>
      </c>
      <c r="S25" s="685">
        <f t="shared" si="6"/>
        <v>1</v>
      </c>
      <c r="V25" s="708">
        <v>53204030000000</v>
      </c>
      <c r="W25" s="709" t="s">
        <v>82</v>
      </c>
      <c r="X25" s="1052">
        <v>0</v>
      </c>
    </row>
    <row r="26" spans="1:47" ht="15" customHeight="1" x14ac:dyDescent="0.25">
      <c r="A26" s="1396"/>
      <c r="B26" s="1387"/>
      <c r="C26" s="698"/>
      <c r="D26" s="699"/>
      <c r="E26" s="700"/>
      <c r="F26" s="711"/>
      <c r="G26" s="564"/>
      <c r="H26" s="564"/>
      <c r="I26" s="565"/>
      <c r="J26" s="701">
        <f t="shared" si="4"/>
        <v>0</v>
      </c>
      <c r="K26" s="567">
        <f t="shared" si="5"/>
        <v>0</v>
      </c>
      <c r="L26" s="655"/>
      <c r="M26" s="1061">
        <v>0</v>
      </c>
      <c r="N26" s="702">
        <f t="shared" si="0"/>
        <v>0</v>
      </c>
      <c r="O26" s="1061">
        <v>0</v>
      </c>
      <c r="P26" s="703">
        <f t="shared" si="1"/>
        <v>0</v>
      </c>
      <c r="Q26" s="1065">
        <v>0</v>
      </c>
      <c r="R26" s="702">
        <f t="shared" si="2"/>
        <v>0</v>
      </c>
      <c r="S26" s="704">
        <f t="shared" si="6"/>
        <v>0</v>
      </c>
      <c r="T26" s="664"/>
      <c r="V26" s="708">
        <v>53204100100001</v>
      </c>
      <c r="W26" s="709" t="s">
        <v>83</v>
      </c>
      <c r="X26" s="1052">
        <v>1298850</v>
      </c>
    </row>
    <row r="27" spans="1:47" ht="15" customHeight="1" x14ac:dyDescent="0.25">
      <c r="A27" s="1396"/>
      <c r="B27" s="1387"/>
      <c r="C27" s="698"/>
      <c r="D27" s="699"/>
      <c r="E27" s="700"/>
      <c r="F27" s="711"/>
      <c r="G27" s="564"/>
      <c r="H27" s="564"/>
      <c r="I27" s="565"/>
      <c r="J27" s="701">
        <f t="shared" si="4"/>
        <v>0</v>
      </c>
      <c r="K27" s="567">
        <f t="shared" si="5"/>
        <v>0</v>
      </c>
      <c r="L27" s="655"/>
      <c r="M27" s="1061">
        <v>0</v>
      </c>
      <c r="N27" s="702">
        <f t="shared" si="0"/>
        <v>0</v>
      </c>
      <c r="O27" s="1061">
        <v>0</v>
      </c>
      <c r="P27" s="703">
        <f t="shared" si="1"/>
        <v>0</v>
      </c>
      <c r="Q27" s="1065">
        <v>0</v>
      </c>
      <c r="R27" s="702">
        <f t="shared" si="2"/>
        <v>0</v>
      </c>
      <c r="S27" s="704">
        <f t="shared" si="6"/>
        <v>0</v>
      </c>
      <c r="T27" s="664"/>
      <c r="V27" s="708">
        <v>53204130100000</v>
      </c>
      <c r="W27" s="709" t="s">
        <v>84</v>
      </c>
      <c r="X27" s="1052">
        <v>0</v>
      </c>
    </row>
    <row r="28" spans="1:47" ht="15" customHeight="1" x14ac:dyDescent="0.25">
      <c r="A28" s="1396"/>
      <c r="B28" s="1387"/>
      <c r="C28" s="698"/>
      <c r="D28" s="699"/>
      <c r="E28" s="700"/>
      <c r="F28" s="711"/>
      <c r="G28" s="564"/>
      <c r="H28" s="564"/>
      <c r="I28" s="565"/>
      <c r="J28" s="701">
        <f t="shared" si="4"/>
        <v>0</v>
      </c>
      <c r="K28" s="567">
        <f t="shared" si="5"/>
        <v>0</v>
      </c>
      <c r="L28" s="655"/>
      <c r="M28" s="1061">
        <v>0</v>
      </c>
      <c r="N28" s="702">
        <f t="shared" si="0"/>
        <v>0</v>
      </c>
      <c r="O28" s="1061">
        <v>0</v>
      </c>
      <c r="P28" s="703">
        <f t="shared" si="1"/>
        <v>0</v>
      </c>
      <c r="Q28" s="1065">
        <v>0</v>
      </c>
      <c r="R28" s="702">
        <f t="shared" si="2"/>
        <v>0</v>
      </c>
      <c r="S28" s="704">
        <f t="shared" si="6"/>
        <v>0</v>
      </c>
      <c r="T28" s="664"/>
      <c r="V28" s="708">
        <v>53205010100000</v>
      </c>
      <c r="W28" s="709" t="s">
        <v>85</v>
      </c>
      <c r="X28" s="1052">
        <v>2077784</v>
      </c>
    </row>
    <row r="29" spans="1:47" ht="15" customHeight="1" x14ac:dyDescent="0.25">
      <c r="A29" s="1396"/>
      <c r="B29" s="1387"/>
      <c r="C29" s="698"/>
      <c r="D29" s="699"/>
      <c r="E29" s="700"/>
      <c r="F29" s="711"/>
      <c r="G29" s="564"/>
      <c r="H29" s="564"/>
      <c r="I29" s="565"/>
      <c r="J29" s="701">
        <f t="shared" si="4"/>
        <v>0</v>
      </c>
      <c r="K29" s="567">
        <f t="shared" si="5"/>
        <v>0</v>
      </c>
      <c r="L29" s="655"/>
      <c r="M29" s="1061">
        <v>0</v>
      </c>
      <c r="N29" s="702">
        <f t="shared" si="0"/>
        <v>0</v>
      </c>
      <c r="O29" s="1061">
        <v>0</v>
      </c>
      <c r="P29" s="703">
        <f t="shared" si="1"/>
        <v>0</v>
      </c>
      <c r="Q29" s="1065">
        <v>0</v>
      </c>
      <c r="R29" s="702">
        <f t="shared" si="2"/>
        <v>0</v>
      </c>
      <c r="S29" s="704">
        <f t="shared" si="6"/>
        <v>0</v>
      </c>
      <c r="T29" s="664"/>
      <c r="V29" s="708">
        <v>53205020100000</v>
      </c>
      <c r="W29" s="709" t="s">
        <v>86</v>
      </c>
      <c r="X29" s="1052">
        <v>3385582</v>
      </c>
    </row>
    <row r="30" spans="1:47" ht="15" customHeight="1" x14ac:dyDescent="0.25">
      <c r="A30" s="1396"/>
      <c r="B30" s="1387"/>
      <c r="C30" s="698"/>
      <c r="D30" s="699"/>
      <c r="E30" s="700"/>
      <c r="F30" s="711"/>
      <c r="G30" s="564"/>
      <c r="H30" s="564"/>
      <c r="I30" s="565"/>
      <c r="J30" s="701">
        <f t="shared" si="4"/>
        <v>0</v>
      </c>
      <c r="K30" s="567">
        <f t="shared" si="5"/>
        <v>0</v>
      </c>
      <c r="L30" s="655"/>
      <c r="M30" s="1061">
        <v>0</v>
      </c>
      <c r="N30" s="702">
        <f t="shared" si="0"/>
        <v>0</v>
      </c>
      <c r="O30" s="1061">
        <v>0</v>
      </c>
      <c r="P30" s="703">
        <f t="shared" si="1"/>
        <v>0</v>
      </c>
      <c r="Q30" s="1065">
        <v>0</v>
      </c>
      <c r="R30" s="702">
        <f t="shared" si="2"/>
        <v>0</v>
      </c>
      <c r="S30" s="704">
        <f t="shared" si="6"/>
        <v>0</v>
      </c>
      <c r="T30" s="664"/>
      <c r="V30" s="708">
        <v>53205030100000</v>
      </c>
      <c r="W30" s="709" t="s">
        <v>87</v>
      </c>
      <c r="X30" s="1052">
        <v>830575</v>
      </c>
    </row>
    <row r="31" spans="1:47" ht="15" customHeight="1" x14ac:dyDescent="0.25">
      <c r="A31" s="1396"/>
      <c r="B31" s="1387"/>
      <c r="C31" s="698"/>
      <c r="D31" s="699"/>
      <c r="E31" s="700"/>
      <c r="F31" s="711"/>
      <c r="G31" s="564"/>
      <c r="H31" s="564"/>
      <c r="I31" s="565"/>
      <c r="J31" s="701">
        <f t="shared" si="4"/>
        <v>0</v>
      </c>
      <c r="K31" s="567">
        <f t="shared" si="5"/>
        <v>0</v>
      </c>
      <c r="L31" s="655"/>
      <c r="M31" s="1061">
        <v>0</v>
      </c>
      <c r="N31" s="702">
        <f t="shared" si="0"/>
        <v>0</v>
      </c>
      <c r="O31" s="1061">
        <v>0</v>
      </c>
      <c r="P31" s="703">
        <f t="shared" si="1"/>
        <v>0</v>
      </c>
      <c r="Q31" s="1065">
        <v>0</v>
      </c>
      <c r="R31" s="702">
        <f t="shared" si="2"/>
        <v>0</v>
      </c>
      <c r="S31" s="704">
        <f t="shared" si="6"/>
        <v>0</v>
      </c>
      <c r="V31" s="708">
        <v>53205050100000</v>
      </c>
      <c r="W31" s="709" t="s">
        <v>88</v>
      </c>
      <c r="X31" s="1052">
        <v>525000</v>
      </c>
    </row>
    <row r="32" spans="1:47" ht="15" customHeight="1" x14ac:dyDescent="0.25">
      <c r="A32" s="1396"/>
      <c r="B32" s="1387"/>
      <c r="C32" s="698"/>
      <c r="D32" s="699"/>
      <c r="E32" s="700"/>
      <c r="F32" s="711"/>
      <c r="G32" s="564"/>
      <c r="H32" s="564"/>
      <c r="I32" s="565"/>
      <c r="J32" s="701">
        <f t="shared" si="4"/>
        <v>0</v>
      </c>
      <c r="K32" s="567">
        <f t="shared" si="5"/>
        <v>0</v>
      </c>
      <c r="L32" s="655"/>
      <c r="M32" s="1061">
        <v>0</v>
      </c>
      <c r="N32" s="702">
        <f t="shared" si="0"/>
        <v>0</v>
      </c>
      <c r="O32" s="1061">
        <v>0</v>
      </c>
      <c r="P32" s="703">
        <f t="shared" si="1"/>
        <v>0</v>
      </c>
      <c r="Q32" s="1065">
        <v>0</v>
      </c>
      <c r="R32" s="702">
        <f t="shared" si="2"/>
        <v>0</v>
      </c>
      <c r="S32" s="704">
        <f t="shared" si="6"/>
        <v>0</v>
      </c>
      <c r="V32" s="708">
        <v>53205060100000</v>
      </c>
      <c r="W32" s="709" t="s">
        <v>89</v>
      </c>
      <c r="X32" s="1052">
        <v>315000</v>
      </c>
    </row>
    <row r="33" spans="1:24" s="648" customFormat="1" ht="15" customHeight="1" x14ac:dyDescent="0.25">
      <c r="A33" s="1396"/>
      <c r="B33" s="1387"/>
      <c r="C33" s="698"/>
      <c r="D33" s="699"/>
      <c r="E33" s="700"/>
      <c r="F33" s="711"/>
      <c r="G33" s="564"/>
      <c r="H33" s="564"/>
      <c r="I33" s="565"/>
      <c r="J33" s="701">
        <f t="shared" si="4"/>
        <v>0</v>
      </c>
      <c r="K33" s="567">
        <f t="shared" si="5"/>
        <v>0</v>
      </c>
      <c r="L33" s="655"/>
      <c r="M33" s="1061">
        <v>0</v>
      </c>
      <c r="N33" s="702">
        <f t="shared" si="0"/>
        <v>0</v>
      </c>
      <c r="O33" s="1061">
        <v>0</v>
      </c>
      <c r="P33" s="703">
        <f t="shared" si="1"/>
        <v>0</v>
      </c>
      <c r="Q33" s="1065">
        <v>0</v>
      </c>
      <c r="R33" s="702">
        <f t="shared" si="2"/>
        <v>0</v>
      </c>
      <c r="S33" s="704">
        <f t="shared" si="6"/>
        <v>0</v>
      </c>
      <c r="V33" s="708">
        <v>53205070100000</v>
      </c>
      <c r="W33" s="709" t="s">
        <v>90</v>
      </c>
      <c r="X33" s="1052">
        <v>176400</v>
      </c>
    </row>
    <row r="34" spans="1:24" s="648" customFormat="1" ht="15.75" customHeight="1" thickBot="1" x14ac:dyDescent="0.3">
      <c r="A34" s="1396"/>
      <c r="B34" s="1388"/>
      <c r="C34" s="716"/>
      <c r="D34" s="717"/>
      <c r="E34" s="718"/>
      <c r="F34" s="719"/>
      <c r="G34" s="354"/>
      <c r="H34" s="354"/>
      <c r="I34" s="720"/>
      <c r="J34" s="721">
        <f t="shared" si="4"/>
        <v>0</v>
      </c>
      <c r="K34" s="568">
        <f t="shared" si="5"/>
        <v>0</v>
      </c>
      <c r="L34" s="655"/>
      <c r="M34" s="1062">
        <v>0</v>
      </c>
      <c r="N34" s="722">
        <f t="shared" si="0"/>
        <v>0</v>
      </c>
      <c r="O34" s="1062">
        <v>0</v>
      </c>
      <c r="P34" s="723">
        <f t="shared" si="1"/>
        <v>0</v>
      </c>
      <c r="Q34" s="1066">
        <v>0</v>
      </c>
      <c r="R34" s="722">
        <f t="shared" si="2"/>
        <v>0</v>
      </c>
      <c r="S34" s="724">
        <f t="shared" si="6"/>
        <v>0</v>
      </c>
      <c r="V34" s="708">
        <v>53208010100000</v>
      </c>
      <c r="W34" s="709" t="s">
        <v>91</v>
      </c>
      <c r="X34" s="1052">
        <v>4926038</v>
      </c>
    </row>
    <row r="35" spans="1:24" s="648" customFormat="1" ht="15" customHeight="1" x14ac:dyDescent="0.25">
      <c r="A35" s="1396"/>
      <c r="B35" s="1386" t="s">
        <v>158</v>
      </c>
      <c r="C35" s="677"/>
      <c r="D35" s="678"/>
      <c r="E35" s="679"/>
      <c r="F35" s="725"/>
      <c r="G35" s="351"/>
      <c r="H35" s="351"/>
      <c r="I35" s="352"/>
      <c r="J35" s="681">
        <f t="shared" si="4"/>
        <v>0</v>
      </c>
      <c r="K35" s="682">
        <f t="shared" si="5"/>
        <v>0</v>
      </c>
      <c r="L35" s="655"/>
      <c r="M35" s="726">
        <v>0</v>
      </c>
      <c r="N35" s="727">
        <f t="shared" si="0"/>
        <v>0</v>
      </c>
      <c r="O35" s="726">
        <v>0</v>
      </c>
      <c r="P35" s="728">
        <f t="shared" si="1"/>
        <v>0</v>
      </c>
      <c r="Q35" s="1067">
        <v>0</v>
      </c>
      <c r="R35" s="727">
        <f t="shared" si="2"/>
        <v>0</v>
      </c>
      <c r="S35" s="685">
        <f t="shared" si="6"/>
        <v>0</v>
      </c>
      <c r="V35" s="708">
        <v>53208070100001</v>
      </c>
      <c r="W35" s="709" t="s">
        <v>92</v>
      </c>
      <c r="X35" s="1052">
        <v>1386000</v>
      </c>
    </row>
    <row r="36" spans="1:24" s="648" customFormat="1" ht="15" customHeight="1" x14ac:dyDescent="0.25">
      <c r="A36" s="1396"/>
      <c r="B36" s="1387"/>
      <c r="C36" s="698"/>
      <c r="D36" s="699"/>
      <c r="E36" s="700"/>
      <c r="F36" s="711"/>
      <c r="G36" s="564"/>
      <c r="H36" s="564"/>
      <c r="I36" s="565"/>
      <c r="J36" s="701">
        <f t="shared" si="4"/>
        <v>0</v>
      </c>
      <c r="K36" s="567">
        <f t="shared" si="5"/>
        <v>0</v>
      </c>
      <c r="L36" s="655"/>
      <c r="M36" s="1061">
        <v>0</v>
      </c>
      <c r="N36" s="702">
        <f t="shared" si="0"/>
        <v>0</v>
      </c>
      <c r="O36" s="1061">
        <v>0</v>
      </c>
      <c r="P36" s="703">
        <f t="shared" si="1"/>
        <v>0</v>
      </c>
      <c r="Q36" s="1065">
        <v>0</v>
      </c>
      <c r="R36" s="702">
        <f t="shared" si="2"/>
        <v>0</v>
      </c>
      <c r="S36" s="704">
        <f t="shared" si="6"/>
        <v>0</v>
      </c>
      <c r="V36" s="708">
        <v>53208100100001</v>
      </c>
      <c r="W36" s="709" t="s">
        <v>93</v>
      </c>
      <c r="X36" s="1052">
        <v>0</v>
      </c>
    </row>
    <row r="37" spans="1:24" s="648" customFormat="1" ht="15" customHeight="1" x14ac:dyDescent="0.25">
      <c r="A37" s="1396"/>
      <c r="B37" s="1387"/>
      <c r="C37" s="698"/>
      <c r="D37" s="699"/>
      <c r="E37" s="700"/>
      <c r="F37" s="711"/>
      <c r="G37" s="564"/>
      <c r="H37" s="564"/>
      <c r="I37" s="565"/>
      <c r="J37" s="701">
        <f t="shared" si="4"/>
        <v>0</v>
      </c>
      <c r="K37" s="567">
        <f t="shared" si="5"/>
        <v>0</v>
      </c>
      <c r="L37" s="655"/>
      <c r="M37" s="1061">
        <v>0</v>
      </c>
      <c r="N37" s="702">
        <f t="shared" si="0"/>
        <v>0</v>
      </c>
      <c r="O37" s="1061">
        <v>0</v>
      </c>
      <c r="P37" s="703">
        <f t="shared" si="1"/>
        <v>0</v>
      </c>
      <c r="Q37" s="1065">
        <v>0</v>
      </c>
      <c r="R37" s="702">
        <f t="shared" si="2"/>
        <v>0</v>
      </c>
      <c r="S37" s="704">
        <f t="shared" si="6"/>
        <v>0</v>
      </c>
      <c r="V37" s="708">
        <v>53211030000000</v>
      </c>
      <c r="W37" s="709" t="s">
        <v>94</v>
      </c>
      <c r="X37" s="1052">
        <v>0</v>
      </c>
    </row>
    <row r="38" spans="1:24" s="648" customFormat="1" ht="15" customHeight="1" x14ac:dyDescent="0.25">
      <c r="A38" s="1396"/>
      <c r="B38" s="1387"/>
      <c r="C38" s="698"/>
      <c r="D38" s="699"/>
      <c r="E38" s="700"/>
      <c r="F38" s="711"/>
      <c r="G38" s="564"/>
      <c r="H38" s="564"/>
      <c r="I38" s="565"/>
      <c r="J38" s="701">
        <f t="shared" si="4"/>
        <v>0</v>
      </c>
      <c r="K38" s="567">
        <f t="shared" si="5"/>
        <v>0</v>
      </c>
      <c r="L38" s="655"/>
      <c r="M38" s="1061">
        <v>0</v>
      </c>
      <c r="N38" s="702">
        <f t="shared" si="0"/>
        <v>0</v>
      </c>
      <c r="O38" s="1061">
        <v>0</v>
      </c>
      <c r="P38" s="703">
        <f t="shared" si="1"/>
        <v>0</v>
      </c>
      <c r="Q38" s="1065">
        <v>0</v>
      </c>
      <c r="R38" s="702">
        <f t="shared" si="2"/>
        <v>0</v>
      </c>
      <c r="S38" s="704">
        <f t="shared" si="6"/>
        <v>0</v>
      </c>
      <c r="T38" s="664"/>
      <c r="U38" s="664"/>
      <c r="V38" s="708">
        <v>53212020100000</v>
      </c>
      <c r="W38" s="709" t="s">
        <v>95</v>
      </c>
      <c r="X38" s="1052">
        <v>9404084</v>
      </c>
    </row>
    <row r="39" spans="1:24" s="648" customFormat="1" ht="15.75" customHeight="1" thickBot="1" x14ac:dyDescent="0.3">
      <c r="A39" s="1396"/>
      <c r="B39" s="1388"/>
      <c r="C39" s="716"/>
      <c r="D39" s="717"/>
      <c r="E39" s="718"/>
      <c r="F39" s="719"/>
      <c r="G39" s="354"/>
      <c r="H39" s="354"/>
      <c r="I39" s="720"/>
      <c r="J39" s="721">
        <f t="shared" si="4"/>
        <v>0</v>
      </c>
      <c r="K39" s="568">
        <f t="shared" si="5"/>
        <v>0</v>
      </c>
      <c r="L39" s="655"/>
      <c r="M39" s="1062">
        <v>0</v>
      </c>
      <c r="N39" s="722">
        <f t="shared" si="0"/>
        <v>0</v>
      </c>
      <c r="O39" s="1062">
        <v>0</v>
      </c>
      <c r="P39" s="723">
        <f t="shared" si="1"/>
        <v>0</v>
      </c>
      <c r="Q39" s="1066">
        <v>0</v>
      </c>
      <c r="R39" s="722">
        <f t="shared" si="2"/>
        <v>0</v>
      </c>
      <c r="S39" s="724">
        <f t="shared" si="6"/>
        <v>0</v>
      </c>
      <c r="T39" s="664"/>
      <c r="U39" s="664"/>
      <c r="V39" s="708">
        <v>53214020000000</v>
      </c>
      <c r="W39" s="709" t="s">
        <v>96</v>
      </c>
      <c r="X39" s="1052">
        <v>0</v>
      </c>
    </row>
    <row r="40" spans="1:24" s="648" customFormat="1" ht="15" customHeight="1" x14ac:dyDescent="0.25">
      <c r="A40" s="1396"/>
      <c r="B40" s="1386" t="s">
        <v>295</v>
      </c>
      <c r="C40" s="729"/>
      <c r="D40" s="730"/>
      <c r="E40" s="731"/>
      <c r="F40" s="680"/>
      <c r="G40" s="564"/>
      <c r="H40" s="564"/>
      <c r="I40" s="564"/>
      <c r="J40" s="732">
        <f t="shared" ref="J40:J61" si="11">SUM(G40:I40)</f>
        <v>0</v>
      </c>
      <c r="K40" s="682">
        <f t="shared" si="5"/>
        <v>0</v>
      </c>
      <c r="L40" s="655"/>
      <c r="M40" s="726">
        <v>0</v>
      </c>
      <c r="N40" s="727">
        <f t="shared" si="0"/>
        <v>0</v>
      </c>
      <c r="O40" s="726">
        <v>0</v>
      </c>
      <c r="P40" s="728">
        <f t="shared" si="1"/>
        <v>0</v>
      </c>
      <c r="Q40" s="1067">
        <v>0</v>
      </c>
      <c r="R40" s="727">
        <f t="shared" si="2"/>
        <v>0</v>
      </c>
      <c r="S40" s="685">
        <f t="shared" si="6"/>
        <v>0</v>
      </c>
      <c r="T40" s="664"/>
      <c r="U40" s="664"/>
      <c r="V40" s="686"/>
      <c r="W40" s="687" t="s">
        <v>97</v>
      </c>
      <c r="X40" s="1049">
        <f>SUM(X41,X46,X49,X60,X70,X78)</f>
        <v>39947689</v>
      </c>
    </row>
    <row r="41" spans="1:24" s="648" customFormat="1" ht="15" customHeight="1" x14ac:dyDescent="0.25">
      <c r="A41" s="1396"/>
      <c r="B41" s="1387"/>
      <c r="C41" s="698"/>
      <c r="D41" s="699"/>
      <c r="E41" s="700"/>
      <c r="F41" s="700"/>
      <c r="G41" s="564"/>
      <c r="H41" s="564"/>
      <c r="I41" s="564"/>
      <c r="J41" s="733">
        <f t="shared" ref="J41:J48" si="12">SUM(G41:I41)</f>
        <v>0</v>
      </c>
      <c r="K41" s="567">
        <f t="shared" si="5"/>
        <v>0</v>
      </c>
      <c r="L41" s="655"/>
      <c r="M41" s="1061">
        <v>0</v>
      </c>
      <c r="N41" s="702">
        <f t="shared" si="0"/>
        <v>0</v>
      </c>
      <c r="O41" s="1061">
        <v>0</v>
      </c>
      <c r="P41" s="703">
        <f t="shared" si="1"/>
        <v>0</v>
      </c>
      <c r="Q41" s="1065">
        <v>0</v>
      </c>
      <c r="R41" s="702">
        <f t="shared" si="2"/>
        <v>0</v>
      </c>
      <c r="S41" s="704">
        <f t="shared" si="6"/>
        <v>0</v>
      </c>
      <c r="T41" s="664"/>
      <c r="U41" s="664"/>
      <c r="V41" s="705"/>
      <c r="W41" s="706" t="s">
        <v>98</v>
      </c>
      <c r="X41" s="707">
        <f>SUM(X42:X45)</f>
        <v>3362100</v>
      </c>
    </row>
    <row r="42" spans="1:24" s="648" customFormat="1" ht="15" customHeight="1" x14ac:dyDescent="0.25">
      <c r="A42" s="1396"/>
      <c r="B42" s="1387"/>
      <c r="C42" s="734"/>
      <c r="D42" s="735"/>
      <c r="E42" s="736"/>
      <c r="F42" s="737"/>
      <c r="G42" s="564"/>
      <c r="H42" s="564"/>
      <c r="I42" s="565"/>
      <c r="J42" s="733">
        <f t="shared" si="12"/>
        <v>0</v>
      </c>
      <c r="K42" s="567">
        <f t="shared" si="5"/>
        <v>0</v>
      </c>
      <c r="L42" s="655"/>
      <c r="M42" s="1061">
        <v>0</v>
      </c>
      <c r="N42" s="702">
        <f t="shared" si="0"/>
        <v>0</v>
      </c>
      <c r="O42" s="1061">
        <v>0</v>
      </c>
      <c r="P42" s="703">
        <f t="shared" si="1"/>
        <v>0</v>
      </c>
      <c r="Q42" s="1065">
        <v>0</v>
      </c>
      <c r="R42" s="702">
        <f t="shared" si="2"/>
        <v>0</v>
      </c>
      <c r="S42" s="704">
        <f t="shared" si="6"/>
        <v>0</v>
      </c>
      <c r="T42" s="664"/>
      <c r="U42" s="664"/>
      <c r="V42" s="708">
        <v>53202020100000</v>
      </c>
      <c r="W42" s="709" t="s">
        <v>99</v>
      </c>
      <c r="X42" s="1053">
        <v>1859550</v>
      </c>
    </row>
    <row r="43" spans="1:24" s="648" customFormat="1" ht="15" customHeight="1" x14ac:dyDescent="0.25">
      <c r="A43" s="1396"/>
      <c r="B43" s="1387"/>
      <c r="C43" s="734"/>
      <c r="D43" s="735"/>
      <c r="E43" s="736"/>
      <c r="F43" s="737"/>
      <c r="G43" s="564"/>
      <c r="H43" s="564"/>
      <c r="I43" s="565"/>
      <c r="J43" s="733">
        <f t="shared" si="12"/>
        <v>0</v>
      </c>
      <c r="K43" s="567">
        <f t="shared" si="5"/>
        <v>0</v>
      </c>
      <c r="L43" s="655"/>
      <c r="M43" s="1061">
        <v>0</v>
      </c>
      <c r="N43" s="702">
        <f t="shared" si="0"/>
        <v>0</v>
      </c>
      <c r="O43" s="1061">
        <v>0</v>
      </c>
      <c r="P43" s="703">
        <f t="shared" si="1"/>
        <v>0</v>
      </c>
      <c r="Q43" s="1065">
        <v>0</v>
      </c>
      <c r="R43" s="702">
        <f t="shared" si="2"/>
        <v>0</v>
      </c>
      <c r="S43" s="704">
        <f t="shared" si="6"/>
        <v>0</v>
      </c>
      <c r="T43" s="664"/>
      <c r="U43" s="664"/>
      <c r="V43" s="708">
        <v>53202030000000</v>
      </c>
      <c r="W43" s="709" t="s">
        <v>100</v>
      </c>
      <c r="X43" s="1053">
        <v>1030050</v>
      </c>
    </row>
    <row r="44" spans="1:24" s="648" customFormat="1" ht="15" customHeight="1" x14ac:dyDescent="0.25">
      <c r="A44" s="1396"/>
      <c r="B44" s="1387"/>
      <c r="C44" s="734"/>
      <c r="D44" s="735"/>
      <c r="E44" s="736"/>
      <c r="F44" s="737"/>
      <c r="G44" s="564"/>
      <c r="H44" s="564"/>
      <c r="I44" s="565"/>
      <c r="J44" s="733">
        <f t="shared" si="12"/>
        <v>0</v>
      </c>
      <c r="K44" s="567">
        <f t="shared" si="5"/>
        <v>0</v>
      </c>
      <c r="L44" s="655"/>
      <c r="M44" s="1061">
        <v>0</v>
      </c>
      <c r="N44" s="702">
        <f t="shared" si="0"/>
        <v>0</v>
      </c>
      <c r="O44" s="1061">
        <v>0</v>
      </c>
      <c r="P44" s="703">
        <f t="shared" si="1"/>
        <v>0</v>
      </c>
      <c r="Q44" s="1065">
        <v>0</v>
      </c>
      <c r="R44" s="702">
        <f t="shared" si="2"/>
        <v>0</v>
      </c>
      <c r="S44" s="704">
        <f t="shared" si="6"/>
        <v>0</v>
      </c>
      <c r="T44" s="664"/>
      <c r="U44" s="664"/>
      <c r="V44" s="708">
        <v>53211020000000</v>
      </c>
      <c r="W44" s="709" t="s">
        <v>101</v>
      </c>
      <c r="X44" s="1053">
        <v>472500</v>
      </c>
    </row>
    <row r="45" spans="1:24" s="648" customFormat="1" ht="15" customHeight="1" x14ac:dyDescent="0.25">
      <c r="A45" s="1396"/>
      <c r="B45" s="1387"/>
      <c r="C45" s="734"/>
      <c r="D45" s="735"/>
      <c r="E45" s="736"/>
      <c r="F45" s="737"/>
      <c r="G45" s="564"/>
      <c r="H45" s="564"/>
      <c r="I45" s="565"/>
      <c r="J45" s="733">
        <f t="shared" si="12"/>
        <v>0</v>
      </c>
      <c r="K45" s="567">
        <f t="shared" si="5"/>
        <v>0</v>
      </c>
      <c r="L45" s="655"/>
      <c r="M45" s="1061">
        <v>0</v>
      </c>
      <c r="N45" s="702">
        <f t="shared" si="0"/>
        <v>0</v>
      </c>
      <c r="O45" s="1061">
        <v>0</v>
      </c>
      <c r="P45" s="703">
        <f t="shared" si="1"/>
        <v>0</v>
      </c>
      <c r="Q45" s="1065">
        <v>0</v>
      </c>
      <c r="R45" s="702">
        <f t="shared" si="2"/>
        <v>0</v>
      </c>
      <c r="S45" s="704">
        <f t="shared" si="6"/>
        <v>0</v>
      </c>
      <c r="T45" s="664"/>
      <c r="U45" s="664"/>
      <c r="V45" s="708">
        <v>53101004030000</v>
      </c>
      <c r="W45" s="709" t="s">
        <v>102</v>
      </c>
      <c r="X45" s="1053">
        <v>0</v>
      </c>
    </row>
    <row r="46" spans="1:24" s="648" customFormat="1" ht="15" customHeight="1" x14ac:dyDescent="0.25">
      <c r="A46" s="1396"/>
      <c r="B46" s="1387"/>
      <c r="C46" s="734"/>
      <c r="D46" s="735"/>
      <c r="E46" s="736"/>
      <c r="F46" s="737"/>
      <c r="G46" s="564"/>
      <c r="H46" s="564"/>
      <c r="I46" s="565"/>
      <c r="J46" s="733">
        <f t="shared" si="12"/>
        <v>0</v>
      </c>
      <c r="K46" s="567">
        <f t="shared" si="5"/>
        <v>0</v>
      </c>
      <c r="L46" s="655"/>
      <c r="M46" s="1061">
        <v>0</v>
      </c>
      <c r="N46" s="702">
        <f t="shared" si="0"/>
        <v>0</v>
      </c>
      <c r="O46" s="1061">
        <v>0</v>
      </c>
      <c r="P46" s="703">
        <f t="shared" si="1"/>
        <v>0</v>
      </c>
      <c r="Q46" s="1065">
        <v>0</v>
      </c>
      <c r="R46" s="702">
        <f t="shared" si="2"/>
        <v>0</v>
      </c>
      <c r="S46" s="704">
        <f t="shared" si="6"/>
        <v>0</v>
      </c>
      <c r="T46" s="664"/>
      <c r="U46" s="664"/>
      <c r="V46" s="705"/>
      <c r="W46" s="706" t="s">
        <v>103</v>
      </c>
      <c r="X46" s="707">
        <f>SUM(X47:X48)</f>
        <v>0</v>
      </c>
    </row>
    <row r="47" spans="1:24" s="648" customFormat="1" ht="15" customHeight="1" x14ac:dyDescent="0.25">
      <c r="A47" s="1396"/>
      <c r="B47" s="1387"/>
      <c r="C47" s="734"/>
      <c r="D47" s="735"/>
      <c r="E47" s="736"/>
      <c r="F47" s="737"/>
      <c r="G47" s="564"/>
      <c r="H47" s="564"/>
      <c r="I47" s="565"/>
      <c r="J47" s="733">
        <f t="shared" si="12"/>
        <v>0</v>
      </c>
      <c r="K47" s="567">
        <f t="shared" si="5"/>
        <v>0</v>
      </c>
      <c r="L47" s="655"/>
      <c r="M47" s="1061">
        <v>0</v>
      </c>
      <c r="N47" s="702">
        <f t="shared" si="0"/>
        <v>0</v>
      </c>
      <c r="O47" s="1061">
        <v>0</v>
      </c>
      <c r="P47" s="703">
        <f t="shared" si="1"/>
        <v>0</v>
      </c>
      <c r="Q47" s="1065">
        <v>0</v>
      </c>
      <c r="R47" s="702">
        <f t="shared" si="2"/>
        <v>0</v>
      </c>
      <c r="S47" s="704">
        <f t="shared" si="6"/>
        <v>0</v>
      </c>
      <c r="T47" s="664"/>
      <c r="U47" s="664"/>
      <c r="V47" s="708">
        <v>53205080000000</v>
      </c>
      <c r="W47" s="709" t="s">
        <v>104</v>
      </c>
      <c r="X47" s="541">
        <v>0</v>
      </c>
    </row>
    <row r="48" spans="1:24" s="648" customFormat="1" ht="15" customHeight="1" x14ac:dyDescent="0.25">
      <c r="A48" s="1396"/>
      <c r="B48" s="1387"/>
      <c r="C48" s="734"/>
      <c r="D48" s="735"/>
      <c r="E48" s="736"/>
      <c r="F48" s="737"/>
      <c r="G48" s="564"/>
      <c r="H48" s="564"/>
      <c r="I48" s="565"/>
      <c r="J48" s="733">
        <f t="shared" si="12"/>
        <v>0</v>
      </c>
      <c r="K48" s="567">
        <f t="shared" si="5"/>
        <v>0</v>
      </c>
      <c r="L48" s="655"/>
      <c r="M48" s="1061">
        <v>0</v>
      </c>
      <c r="N48" s="702">
        <f t="shared" si="0"/>
        <v>0</v>
      </c>
      <c r="O48" s="1061">
        <v>0</v>
      </c>
      <c r="P48" s="703">
        <f t="shared" si="1"/>
        <v>0</v>
      </c>
      <c r="Q48" s="1065">
        <v>0</v>
      </c>
      <c r="R48" s="702">
        <f t="shared" si="2"/>
        <v>0</v>
      </c>
      <c r="S48" s="704">
        <f t="shared" si="6"/>
        <v>0</v>
      </c>
      <c r="T48" s="664"/>
      <c r="U48" s="664"/>
      <c r="V48" s="708">
        <v>53205990000000</v>
      </c>
      <c r="W48" s="709" t="s">
        <v>105</v>
      </c>
      <c r="X48" s="541">
        <v>0</v>
      </c>
    </row>
    <row r="49" spans="1:24" s="648" customFormat="1" ht="15" customHeight="1" x14ac:dyDescent="0.25">
      <c r="A49" s="1396"/>
      <c r="B49" s="1387"/>
      <c r="C49" s="734"/>
      <c r="D49" s="735"/>
      <c r="E49" s="736"/>
      <c r="F49" s="737"/>
      <c r="G49" s="564"/>
      <c r="H49" s="564"/>
      <c r="I49" s="565"/>
      <c r="J49" s="733">
        <f t="shared" si="11"/>
        <v>0</v>
      </c>
      <c r="K49" s="567">
        <f t="shared" si="5"/>
        <v>0</v>
      </c>
      <c r="L49" s="655"/>
      <c r="M49" s="1061">
        <v>0</v>
      </c>
      <c r="N49" s="702">
        <f t="shared" si="0"/>
        <v>0</v>
      </c>
      <c r="O49" s="1061">
        <v>0</v>
      </c>
      <c r="P49" s="703">
        <f t="shared" si="1"/>
        <v>0</v>
      </c>
      <c r="Q49" s="1065">
        <v>0</v>
      </c>
      <c r="R49" s="702">
        <f t="shared" si="2"/>
        <v>0</v>
      </c>
      <c r="S49" s="704">
        <f t="shared" si="6"/>
        <v>0</v>
      </c>
      <c r="T49" s="664"/>
      <c r="U49" s="664"/>
      <c r="V49" s="705"/>
      <c r="W49" s="706" t="s">
        <v>106</v>
      </c>
      <c r="X49" s="707">
        <f>SUM(X50:X59)</f>
        <v>23867989</v>
      </c>
    </row>
    <row r="50" spans="1:24" s="648" customFormat="1" ht="15" customHeight="1" x14ac:dyDescent="0.25">
      <c r="A50" s="1396"/>
      <c r="B50" s="1387"/>
      <c r="C50" s="734"/>
      <c r="D50" s="735"/>
      <c r="E50" s="736"/>
      <c r="F50" s="737"/>
      <c r="G50" s="564"/>
      <c r="H50" s="564"/>
      <c r="I50" s="565"/>
      <c r="J50" s="733">
        <f t="shared" ref="J50:J53" si="13">SUM(G50:I50)</f>
        <v>0</v>
      </c>
      <c r="K50" s="567">
        <f t="shared" si="5"/>
        <v>0</v>
      </c>
      <c r="L50" s="655"/>
      <c r="M50" s="1061">
        <v>0</v>
      </c>
      <c r="N50" s="702">
        <f t="shared" si="0"/>
        <v>0</v>
      </c>
      <c r="O50" s="1061">
        <v>0</v>
      </c>
      <c r="P50" s="703">
        <f t="shared" si="1"/>
        <v>0</v>
      </c>
      <c r="Q50" s="1065">
        <v>0</v>
      </c>
      <c r="R50" s="702">
        <f t="shared" si="2"/>
        <v>0</v>
      </c>
      <c r="S50" s="704">
        <f t="shared" si="6"/>
        <v>0</v>
      </c>
      <c r="T50" s="664"/>
      <c r="U50" s="664"/>
      <c r="V50" s="708">
        <v>53203010200000</v>
      </c>
      <c r="W50" s="709" t="s">
        <v>107</v>
      </c>
      <c r="X50" s="1057">
        <v>6931789</v>
      </c>
    </row>
    <row r="51" spans="1:24" s="648" customFormat="1" ht="15" customHeight="1" x14ac:dyDescent="0.25">
      <c r="A51" s="1396"/>
      <c r="B51" s="1387"/>
      <c r="C51" s="734"/>
      <c r="D51" s="735"/>
      <c r="E51" s="736"/>
      <c r="F51" s="737"/>
      <c r="G51" s="564"/>
      <c r="H51" s="564"/>
      <c r="I51" s="565"/>
      <c r="J51" s="733">
        <f t="shared" si="13"/>
        <v>0</v>
      </c>
      <c r="K51" s="567">
        <f t="shared" si="5"/>
        <v>0</v>
      </c>
      <c r="L51" s="655"/>
      <c r="M51" s="1061">
        <v>0</v>
      </c>
      <c r="N51" s="702">
        <f t="shared" si="0"/>
        <v>0</v>
      </c>
      <c r="O51" s="1061">
        <v>0</v>
      </c>
      <c r="P51" s="703">
        <f t="shared" si="1"/>
        <v>0</v>
      </c>
      <c r="Q51" s="1065">
        <v>0</v>
      </c>
      <c r="R51" s="702">
        <f t="shared" si="2"/>
        <v>0</v>
      </c>
      <c r="S51" s="704">
        <f t="shared" si="6"/>
        <v>0</v>
      </c>
      <c r="T51" s="664"/>
      <c r="U51" s="664"/>
      <c r="V51" s="708">
        <v>53204010000000</v>
      </c>
      <c r="W51" s="709" t="s">
        <v>108</v>
      </c>
      <c r="X51" s="1057">
        <v>4291200</v>
      </c>
    </row>
    <row r="52" spans="1:24" s="648" customFormat="1" ht="15" customHeight="1" x14ac:dyDescent="0.25">
      <c r="A52" s="1396"/>
      <c r="B52" s="1387"/>
      <c r="C52" s="734"/>
      <c r="D52" s="735"/>
      <c r="E52" s="736"/>
      <c r="F52" s="737"/>
      <c r="G52" s="564"/>
      <c r="H52" s="564"/>
      <c r="I52" s="565"/>
      <c r="J52" s="733">
        <f t="shared" si="13"/>
        <v>0</v>
      </c>
      <c r="K52" s="567">
        <f t="shared" si="5"/>
        <v>0</v>
      </c>
      <c r="L52" s="655"/>
      <c r="M52" s="1061">
        <v>0</v>
      </c>
      <c r="N52" s="702">
        <f t="shared" si="0"/>
        <v>0</v>
      </c>
      <c r="O52" s="1061">
        <v>0</v>
      </c>
      <c r="P52" s="703">
        <f t="shared" si="1"/>
        <v>0</v>
      </c>
      <c r="Q52" s="1065">
        <v>0</v>
      </c>
      <c r="R52" s="702">
        <f t="shared" si="2"/>
        <v>0</v>
      </c>
      <c r="S52" s="704">
        <f t="shared" si="6"/>
        <v>0</v>
      </c>
      <c r="T52" s="664"/>
      <c r="U52" s="664"/>
      <c r="V52" s="708">
        <v>53204040200000</v>
      </c>
      <c r="W52" s="709" t="s">
        <v>109</v>
      </c>
      <c r="X52" s="1057">
        <v>0</v>
      </c>
    </row>
    <row r="53" spans="1:24" s="648" customFormat="1" ht="15" customHeight="1" x14ac:dyDescent="0.25">
      <c r="A53" s="1396"/>
      <c r="B53" s="1387"/>
      <c r="C53" s="734"/>
      <c r="D53" s="735"/>
      <c r="E53" s="736"/>
      <c r="F53" s="737"/>
      <c r="G53" s="564"/>
      <c r="H53" s="564"/>
      <c r="I53" s="565"/>
      <c r="J53" s="733">
        <f t="shared" si="13"/>
        <v>0</v>
      </c>
      <c r="K53" s="567">
        <f t="shared" si="5"/>
        <v>0</v>
      </c>
      <c r="L53" s="655"/>
      <c r="M53" s="1061">
        <v>0</v>
      </c>
      <c r="N53" s="702">
        <f t="shared" si="0"/>
        <v>0</v>
      </c>
      <c r="O53" s="1061">
        <v>0</v>
      </c>
      <c r="P53" s="703">
        <f t="shared" si="1"/>
        <v>0</v>
      </c>
      <c r="Q53" s="1065">
        <v>0</v>
      </c>
      <c r="R53" s="702">
        <f t="shared" si="2"/>
        <v>0</v>
      </c>
      <c r="S53" s="704">
        <f t="shared" si="6"/>
        <v>0</v>
      </c>
      <c r="T53" s="664"/>
      <c r="U53" s="664"/>
      <c r="V53" s="708">
        <v>53204060000000</v>
      </c>
      <c r="W53" s="709" t="s">
        <v>110</v>
      </c>
      <c r="X53" s="1057">
        <v>0</v>
      </c>
    </row>
    <row r="54" spans="1:24" s="648" customFormat="1" ht="15" customHeight="1" x14ac:dyDescent="0.25">
      <c r="A54" s="1396"/>
      <c r="B54" s="1387"/>
      <c r="C54" s="734"/>
      <c r="D54" s="735"/>
      <c r="E54" s="736"/>
      <c r="F54" s="737"/>
      <c r="G54" s="564"/>
      <c r="H54" s="564"/>
      <c r="I54" s="565"/>
      <c r="J54" s="733">
        <f t="shared" si="11"/>
        <v>0</v>
      </c>
      <c r="K54" s="567">
        <f t="shared" si="5"/>
        <v>0</v>
      </c>
      <c r="L54" s="655"/>
      <c r="M54" s="1061">
        <v>0</v>
      </c>
      <c r="N54" s="702">
        <f t="shared" si="0"/>
        <v>0</v>
      </c>
      <c r="O54" s="1061">
        <v>0</v>
      </c>
      <c r="P54" s="703">
        <f t="shared" si="1"/>
        <v>0</v>
      </c>
      <c r="Q54" s="1065">
        <v>0</v>
      </c>
      <c r="R54" s="702">
        <f t="shared" si="2"/>
        <v>0</v>
      </c>
      <c r="S54" s="704">
        <f t="shared" si="6"/>
        <v>0</v>
      </c>
      <c r="T54" s="664"/>
      <c r="U54" s="664"/>
      <c r="V54" s="708">
        <v>53204070000000</v>
      </c>
      <c r="W54" s="709" t="s">
        <v>159</v>
      </c>
      <c r="X54" s="1057">
        <v>3321000</v>
      </c>
    </row>
    <row r="55" spans="1:24" s="648" customFormat="1" ht="15" customHeight="1" x14ac:dyDescent="0.25">
      <c r="A55" s="1396"/>
      <c r="B55" s="1387"/>
      <c r="C55" s="734"/>
      <c r="D55" s="735"/>
      <c r="E55" s="736"/>
      <c r="F55" s="737"/>
      <c r="G55" s="564"/>
      <c r="H55" s="564"/>
      <c r="I55" s="565"/>
      <c r="J55" s="733">
        <f t="shared" si="11"/>
        <v>0</v>
      </c>
      <c r="K55" s="567">
        <f t="shared" si="5"/>
        <v>0</v>
      </c>
      <c r="L55" s="655"/>
      <c r="M55" s="1061">
        <v>0</v>
      </c>
      <c r="N55" s="702">
        <f t="shared" si="0"/>
        <v>0</v>
      </c>
      <c r="O55" s="1061">
        <v>0</v>
      </c>
      <c r="P55" s="703">
        <f t="shared" si="1"/>
        <v>0</v>
      </c>
      <c r="Q55" s="1065">
        <v>0</v>
      </c>
      <c r="R55" s="702">
        <f t="shared" si="2"/>
        <v>0</v>
      </c>
      <c r="S55" s="704">
        <f t="shared" si="6"/>
        <v>0</v>
      </c>
      <c r="T55" s="664"/>
      <c r="U55" s="664"/>
      <c r="V55" s="708">
        <v>53204080000000</v>
      </c>
      <c r="W55" s="709" t="s">
        <v>112</v>
      </c>
      <c r="X55" s="1057">
        <v>0</v>
      </c>
    </row>
    <row r="56" spans="1:24" s="648" customFormat="1" ht="15" customHeight="1" x14ac:dyDescent="0.25">
      <c r="A56" s="1396"/>
      <c r="B56" s="1387"/>
      <c r="C56" s="734"/>
      <c r="D56" s="735"/>
      <c r="E56" s="736"/>
      <c r="F56" s="737"/>
      <c r="G56" s="564"/>
      <c r="H56" s="564"/>
      <c r="I56" s="565"/>
      <c r="J56" s="733">
        <f t="shared" si="11"/>
        <v>0</v>
      </c>
      <c r="K56" s="567">
        <f t="shared" si="5"/>
        <v>0</v>
      </c>
      <c r="L56" s="655"/>
      <c r="M56" s="1061">
        <v>0</v>
      </c>
      <c r="N56" s="702">
        <f t="shared" si="0"/>
        <v>0</v>
      </c>
      <c r="O56" s="1061">
        <v>0</v>
      </c>
      <c r="P56" s="703">
        <f t="shared" si="1"/>
        <v>0</v>
      </c>
      <c r="Q56" s="1065">
        <v>0</v>
      </c>
      <c r="R56" s="702">
        <f t="shared" si="2"/>
        <v>0</v>
      </c>
      <c r="S56" s="704">
        <f t="shared" si="6"/>
        <v>0</v>
      </c>
      <c r="T56" s="664"/>
      <c r="U56" s="664"/>
      <c r="V56" s="708">
        <v>53214010000000</v>
      </c>
      <c r="W56" s="709" t="s">
        <v>113</v>
      </c>
      <c r="X56" s="1057">
        <v>2866500</v>
      </c>
    </row>
    <row r="57" spans="1:24" s="648" customFormat="1" ht="15" customHeight="1" x14ac:dyDescent="0.25">
      <c r="A57" s="1396"/>
      <c r="B57" s="1387"/>
      <c r="C57" s="734"/>
      <c r="D57" s="735"/>
      <c r="E57" s="736"/>
      <c r="F57" s="737"/>
      <c r="G57" s="564"/>
      <c r="H57" s="564"/>
      <c r="I57" s="565"/>
      <c r="J57" s="733">
        <f t="shared" si="11"/>
        <v>0</v>
      </c>
      <c r="K57" s="567">
        <f t="shared" si="5"/>
        <v>0</v>
      </c>
      <c r="L57" s="655"/>
      <c r="M57" s="1061">
        <v>0</v>
      </c>
      <c r="N57" s="702">
        <f t="shared" si="0"/>
        <v>0</v>
      </c>
      <c r="O57" s="1061">
        <v>0</v>
      </c>
      <c r="P57" s="703">
        <f t="shared" si="1"/>
        <v>0</v>
      </c>
      <c r="Q57" s="1065">
        <v>0</v>
      </c>
      <c r="R57" s="702">
        <f t="shared" si="2"/>
        <v>0</v>
      </c>
      <c r="S57" s="704">
        <f t="shared" si="6"/>
        <v>0</v>
      </c>
      <c r="T57" s="664"/>
      <c r="U57" s="664"/>
      <c r="V57" s="708">
        <v>53214040000000</v>
      </c>
      <c r="W57" s="709" t="s">
        <v>114</v>
      </c>
      <c r="X57" s="1057">
        <v>6457500</v>
      </c>
    </row>
    <row r="58" spans="1:24" s="648" customFormat="1" ht="15" customHeight="1" x14ac:dyDescent="0.25">
      <c r="A58" s="1396"/>
      <c r="B58" s="1387"/>
      <c r="C58" s="734"/>
      <c r="D58" s="735"/>
      <c r="E58" s="736"/>
      <c r="F58" s="737"/>
      <c r="G58" s="564"/>
      <c r="H58" s="564"/>
      <c r="I58" s="565"/>
      <c r="J58" s="733">
        <f t="shared" si="11"/>
        <v>0</v>
      </c>
      <c r="K58" s="567">
        <f t="shared" si="5"/>
        <v>0</v>
      </c>
      <c r="L58" s="655"/>
      <c r="M58" s="1061">
        <v>0</v>
      </c>
      <c r="N58" s="702">
        <f t="shared" si="0"/>
        <v>0</v>
      </c>
      <c r="O58" s="1061">
        <v>0</v>
      </c>
      <c r="P58" s="703">
        <f t="shared" si="1"/>
        <v>0</v>
      </c>
      <c r="Q58" s="1065">
        <v>0</v>
      </c>
      <c r="R58" s="702">
        <f t="shared" si="2"/>
        <v>0</v>
      </c>
      <c r="S58" s="704">
        <f t="shared" si="6"/>
        <v>0</v>
      </c>
      <c r="T58" s="664"/>
      <c r="U58" s="664"/>
      <c r="V58" s="708">
        <v>55201010100004</v>
      </c>
      <c r="W58" s="709" t="s">
        <v>115</v>
      </c>
      <c r="X58" s="1057">
        <v>0</v>
      </c>
    </row>
    <row r="59" spans="1:24" s="648" customFormat="1" ht="15" customHeight="1" x14ac:dyDescent="0.25">
      <c r="A59" s="1396"/>
      <c r="B59" s="1387"/>
      <c r="C59" s="734"/>
      <c r="D59" s="735"/>
      <c r="E59" s="736"/>
      <c r="F59" s="737"/>
      <c r="G59" s="564"/>
      <c r="H59" s="564"/>
      <c r="I59" s="565"/>
      <c r="J59" s="733">
        <f t="shared" si="11"/>
        <v>0</v>
      </c>
      <c r="K59" s="567">
        <f t="shared" si="5"/>
        <v>0</v>
      </c>
      <c r="L59" s="655"/>
      <c r="M59" s="1061">
        <v>0</v>
      </c>
      <c r="N59" s="702">
        <f t="shared" si="0"/>
        <v>0</v>
      </c>
      <c r="O59" s="1061">
        <v>0</v>
      </c>
      <c r="P59" s="703">
        <f t="shared" si="1"/>
        <v>0</v>
      </c>
      <c r="Q59" s="1065">
        <v>0</v>
      </c>
      <c r="R59" s="702">
        <f t="shared" si="2"/>
        <v>0</v>
      </c>
      <c r="S59" s="704">
        <f t="shared" si="6"/>
        <v>0</v>
      </c>
      <c r="T59" s="664"/>
      <c r="U59" s="664"/>
      <c r="V59" s="708">
        <v>55201010100005</v>
      </c>
      <c r="W59" s="709" t="s">
        <v>116</v>
      </c>
      <c r="X59" s="1057">
        <v>0</v>
      </c>
    </row>
    <row r="60" spans="1:24" s="648" customFormat="1" ht="15" customHeight="1" x14ac:dyDescent="0.25">
      <c r="A60" s="1396"/>
      <c r="B60" s="1387"/>
      <c r="C60" s="734"/>
      <c r="D60" s="735"/>
      <c r="E60" s="736"/>
      <c r="F60" s="737"/>
      <c r="G60" s="564"/>
      <c r="H60" s="564"/>
      <c r="I60" s="565"/>
      <c r="J60" s="733">
        <f t="shared" si="11"/>
        <v>0</v>
      </c>
      <c r="K60" s="567">
        <f t="shared" si="5"/>
        <v>0</v>
      </c>
      <c r="L60" s="655"/>
      <c r="M60" s="1061">
        <v>0</v>
      </c>
      <c r="N60" s="702">
        <f t="shared" si="0"/>
        <v>0</v>
      </c>
      <c r="O60" s="1061">
        <v>0</v>
      </c>
      <c r="P60" s="703">
        <f t="shared" si="1"/>
        <v>0</v>
      </c>
      <c r="Q60" s="1065">
        <v>0</v>
      </c>
      <c r="R60" s="702">
        <f t="shared" si="2"/>
        <v>0</v>
      </c>
      <c r="S60" s="704">
        <f t="shared" si="6"/>
        <v>0</v>
      </c>
      <c r="T60" s="664"/>
      <c r="U60" s="664"/>
      <c r="V60" s="705"/>
      <c r="W60" s="706" t="s">
        <v>117</v>
      </c>
      <c r="X60" s="1050">
        <f>SUM(X61:X69)</f>
        <v>4969650</v>
      </c>
    </row>
    <row r="61" spans="1:24" s="648" customFormat="1" ht="15.75" customHeight="1" thickBot="1" x14ac:dyDescent="0.3">
      <c r="A61" s="1397"/>
      <c r="B61" s="1388"/>
      <c r="C61" s="716"/>
      <c r="D61" s="717"/>
      <c r="E61" s="718"/>
      <c r="F61" s="719"/>
      <c r="G61" s="354"/>
      <c r="H61" s="354"/>
      <c r="I61" s="720"/>
      <c r="J61" s="721">
        <f t="shared" si="11"/>
        <v>0</v>
      </c>
      <c r="K61" s="568">
        <f t="shared" si="5"/>
        <v>0</v>
      </c>
      <c r="L61" s="655"/>
      <c r="M61" s="1063">
        <v>0</v>
      </c>
      <c r="N61" s="738">
        <f t="shared" si="0"/>
        <v>0</v>
      </c>
      <c r="O61" s="1063">
        <v>0</v>
      </c>
      <c r="P61" s="739">
        <f t="shared" si="1"/>
        <v>0</v>
      </c>
      <c r="Q61" s="740">
        <v>0</v>
      </c>
      <c r="R61" s="738">
        <f t="shared" si="2"/>
        <v>0</v>
      </c>
      <c r="S61" s="724">
        <f t="shared" si="6"/>
        <v>0</v>
      </c>
      <c r="T61" s="664"/>
      <c r="U61" s="664"/>
      <c r="V61" s="708">
        <v>53207010000000</v>
      </c>
      <c r="W61" s="709" t="s">
        <v>118</v>
      </c>
      <c r="X61" s="1055">
        <v>0</v>
      </c>
    </row>
    <row r="62" spans="1:24" s="648" customFormat="1" ht="15" thickBot="1" x14ac:dyDescent="0.35">
      <c r="G62" s="741"/>
      <c r="K62" s="1045">
        <f>SUM(K15:K61)</f>
        <v>85846040</v>
      </c>
      <c r="L62" s="1046"/>
      <c r="M62" s="1059">
        <f>+N62/K62</f>
        <v>0.57552624908498984</v>
      </c>
      <c r="N62" s="1047">
        <f t="shared" ref="N62:R62" si="14">SUM(N15:N61)</f>
        <v>49406649.399999999</v>
      </c>
      <c r="O62" s="1059">
        <f>+P62/K62</f>
        <v>0.22000966148234677</v>
      </c>
      <c r="P62" s="1047">
        <f t="shared" si="14"/>
        <v>18886958.199999999</v>
      </c>
      <c r="Q62" s="1059">
        <f>+R62/K62</f>
        <v>0.20446408943266339</v>
      </c>
      <c r="R62" s="1047">
        <f t="shared" si="14"/>
        <v>17552432.399999999</v>
      </c>
      <c r="V62" s="708">
        <v>53207020000000</v>
      </c>
      <c r="W62" s="709" t="s">
        <v>119</v>
      </c>
      <c r="X62" s="1055">
        <v>0</v>
      </c>
    </row>
    <row r="63" spans="1:24" s="648" customFormat="1" ht="14.5" x14ac:dyDescent="0.25">
      <c r="K63" s="742">
        <v>1</v>
      </c>
      <c r="V63" s="708">
        <v>53208020000000</v>
      </c>
      <c r="W63" s="709" t="s">
        <v>120</v>
      </c>
      <c r="X63" s="1055">
        <v>0</v>
      </c>
    </row>
    <row r="64" spans="1:24" s="648" customFormat="1" ht="14.5" x14ac:dyDescent="0.25">
      <c r="V64" s="708">
        <v>53208990000000</v>
      </c>
      <c r="W64" s="709" t="s">
        <v>121</v>
      </c>
      <c r="X64" s="1055">
        <v>194250</v>
      </c>
    </row>
    <row r="65" spans="1:24" s="648" customFormat="1" ht="14.5" x14ac:dyDescent="0.25">
      <c r="G65" s="741"/>
      <c r="L65" s="655"/>
      <c r="V65" s="708">
        <v>53209010000000</v>
      </c>
      <c r="W65" s="709" t="s">
        <v>122</v>
      </c>
      <c r="X65" s="1055">
        <v>0</v>
      </c>
    </row>
    <row r="66" spans="1:24" s="648" customFormat="1" ht="15" thickBot="1" x14ac:dyDescent="0.3">
      <c r="L66" s="655"/>
      <c r="V66" s="708">
        <v>53209040000000</v>
      </c>
      <c r="W66" s="709" t="s">
        <v>123</v>
      </c>
      <c r="X66" s="1055">
        <v>0</v>
      </c>
    </row>
    <row r="67" spans="1:24" s="648" customFormat="1" ht="14.5" x14ac:dyDescent="0.25">
      <c r="A67" s="1389" t="s">
        <v>160</v>
      </c>
      <c r="B67" s="1392" t="s">
        <v>161</v>
      </c>
      <c r="C67" s="743" t="s">
        <v>363</v>
      </c>
      <c r="D67" s="744" t="s">
        <v>364</v>
      </c>
      <c r="E67" s="678" t="s">
        <v>365</v>
      </c>
      <c r="F67" s="725" t="s">
        <v>160</v>
      </c>
      <c r="G67" s="353">
        <v>29405000</v>
      </c>
      <c r="H67" s="351">
        <v>217000</v>
      </c>
      <c r="I67" s="352">
        <v>197000</v>
      </c>
      <c r="J67" s="1043">
        <f t="shared" ref="J67:J71" si="15">SUM(G67:I67)</f>
        <v>29819000</v>
      </c>
      <c r="K67" s="682">
        <f>+((G67*(1+$K$11))+H67+I67)</f>
        <v>31142224.999999996</v>
      </c>
      <c r="L67" s="655"/>
      <c r="V67" s="708">
        <v>53209050000000</v>
      </c>
      <c r="W67" s="709" t="s">
        <v>124</v>
      </c>
      <c r="X67" s="1055">
        <v>4775400</v>
      </c>
    </row>
    <row r="68" spans="1:24" s="648" customFormat="1" ht="14.5" x14ac:dyDescent="0.25">
      <c r="A68" s="1390"/>
      <c r="B68" s="1393"/>
      <c r="C68" s="746"/>
      <c r="D68" s="699"/>
      <c r="E68" s="700"/>
      <c r="F68" s="747"/>
      <c r="G68" s="564"/>
      <c r="H68" s="564"/>
      <c r="I68" s="566"/>
      <c r="J68" s="1044">
        <f t="shared" si="15"/>
        <v>0</v>
      </c>
      <c r="K68" s="749">
        <f t="shared" ref="K68:K71" si="16">+((G68*(1+$K$11))+H68+I68)</f>
        <v>0</v>
      </c>
      <c r="L68" s="655"/>
      <c r="V68" s="708">
        <v>53209990000000</v>
      </c>
      <c r="W68" s="709" t="s">
        <v>125</v>
      </c>
      <c r="X68" s="1055">
        <v>0</v>
      </c>
    </row>
    <row r="69" spans="1:24" s="648" customFormat="1" ht="14.5" x14ac:dyDescent="0.25">
      <c r="A69" s="1390"/>
      <c r="B69" s="1393"/>
      <c r="C69" s="750"/>
      <c r="D69" s="751"/>
      <c r="E69" s="752"/>
      <c r="F69" s="747"/>
      <c r="G69" s="564"/>
      <c r="H69" s="564"/>
      <c r="I69" s="566"/>
      <c r="J69" s="1044">
        <f t="shared" si="15"/>
        <v>0</v>
      </c>
      <c r="K69" s="749">
        <f t="shared" si="16"/>
        <v>0</v>
      </c>
      <c r="L69" s="655"/>
      <c r="P69" s="648" t="s">
        <v>162</v>
      </c>
      <c r="V69" s="708">
        <v>53210020100000</v>
      </c>
      <c r="W69" s="709" t="s">
        <v>126</v>
      </c>
      <c r="X69" s="1055">
        <v>0</v>
      </c>
    </row>
    <row r="70" spans="1:24" s="648" customFormat="1" ht="14.5" x14ac:dyDescent="0.25">
      <c r="A70" s="1390"/>
      <c r="B70" s="1393"/>
      <c r="C70" s="746"/>
      <c r="D70" s="699"/>
      <c r="E70" s="700"/>
      <c r="F70" s="711"/>
      <c r="G70" s="564"/>
      <c r="H70" s="564"/>
      <c r="I70" s="566"/>
      <c r="J70" s="1044">
        <f t="shared" si="15"/>
        <v>0</v>
      </c>
      <c r="K70" s="749">
        <f t="shared" si="16"/>
        <v>0</v>
      </c>
      <c r="L70" s="655"/>
      <c r="V70" s="705"/>
      <c r="W70" s="706" t="s">
        <v>127</v>
      </c>
      <c r="X70" s="707">
        <f>SUM(X71:X77)</f>
        <v>6198150</v>
      </c>
    </row>
    <row r="71" spans="1:24" s="648" customFormat="1" ht="15" thickBot="1" x14ac:dyDescent="0.3">
      <c r="A71" s="1391"/>
      <c r="B71" s="1394"/>
      <c r="C71" s="753"/>
      <c r="D71" s="717"/>
      <c r="E71" s="718"/>
      <c r="F71" s="719"/>
      <c r="G71" s="354"/>
      <c r="H71" s="354"/>
      <c r="I71" s="152"/>
      <c r="J71" s="754">
        <f t="shared" si="15"/>
        <v>0</v>
      </c>
      <c r="K71" s="755">
        <f t="shared" si="16"/>
        <v>0</v>
      </c>
      <c r="L71" s="655"/>
      <c r="M71" s="756"/>
      <c r="O71" s="756"/>
      <c r="Q71" s="756"/>
      <c r="V71" s="708">
        <v>53206030000000</v>
      </c>
      <c r="W71" s="709" t="s">
        <v>128</v>
      </c>
      <c r="X71" s="1056">
        <v>0</v>
      </c>
    </row>
    <row r="72" spans="1:24" s="648" customFormat="1" ht="15" thickBot="1" x14ac:dyDescent="0.3">
      <c r="C72" s="757"/>
      <c r="D72" s="757"/>
      <c r="E72" s="758"/>
      <c r="F72" s="758"/>
      <c r="G72" s="758"/>
      <c r="H72" s="758"/>
      <c r="I72" s="758"/>
      <c r="K72" s="1048">
        <f>SUM(K67:K71)</f>
        <v>31142224.999999996</v>
      </c>
      <c r="V72" s="708">
        <v>53206020000000</v>
      </c>
      <c r="W72" s="709" t="s">
        <v>292</v>
      </c>
      <c r="X72" s="1056">
        <v>5712000</v>
      </c>
    </row>
    <row r="73" spans="1:24" s="648" customFormat="1" ht="14.5" x14ac:dyDescent="0.25">
      <c r="C73" s="757"/>
      <c r="D73" s="757"/>
      <c r="E73" s="758"/>
      <c r="F73" s="758"/>
      <c r="G73" s="758"/>
      <c r="H73" s="758"/>
      <c r="I73" s="758"/>
      <c r="K73" s="760">
        <v>1</v>
      </c>
      <c r="V73" s="708">
        <v>53206060000000</v>
      </c>
      <c r="W73" s="709" t="s">
        <v>130</v>
      </c>
      <c r="X73" s="1056">
        <v>486150</v>
      </c>
    </row>
    <row r="74" spans="1:24" s="648" customFormat="1" ht="14.5" x14ac:dyDescent="0.25">
      <c r="C74" s="757"/>
      <c r="D74" s="757"/>
      <c r="E74" s="758"/>
      <c r="F74" s="758"/>
      <c r="G74" s="758"/>
      <c r="H74" s="758"/>
      <c r="I74" s="758"/>
      <c r="V74" s="708">
        <v>53206070000000</v>
      </c>
      <c r="W74" s="709" t="s">
        <v>131</v>
      </c>
      <c r="X74" s="1056">
        <v>0</v>
      </c>
    </row>
    <row r="75" spans="1:24" s="648" customFormat="1" ht="14.5" x14ac:dyDescent="0.25">
      <c r="C75" s="757"/>
      <c r="D75" s="757"/>
      <c r="E75" s="758"/>
      <c r="F75" s="758"/>
      <c r="G75" s="758"/>
      <c r="H75" s="758"/>
      <c r="I75" s="758"/>
      <c r="V75" s="708">
        <v>53206990000000</v>
      </c>
      <c r="W75" s="709" t="s">
        <v>132</v>
      </c>
      <c r="X75" s="1056">
        <v>0</v>
      </c>
    </row>
    <row r="76" spans="1:24" s="648" customFormat="1" ht="14.5" x14ac:dyDescent="0.25">
      <c r="C76" s="757"/>
      <c r="D76" s="757"/>
      <c r="E76" s="758"/>
      <c r="F76" s="758"/>
      <c r="G76" s="758"/>
      <c r="H76" s="758"/>
      <c r="I76" s="758"/>
      <c r="V76" s="708">
        <v>53208030000000</v>
      </c>
      <c r="W76" s="709" t="s">
        <v>133</v>
      </c>
      <c r="X76" s="1056">
        <v>0</v>
      </c>
    </row>
    <row r="77" spans="1:24" s="648" customFormat="1" ht="15" thickBot="1" x14ac:dyDescent="0.3">
      <c r="V77" s="708">
        <v>53212060000000</v>
      </c>
      <c r="W77" s="709" t="s">
        <v>134</v>
      </c>
      <c r="X77" s="1056">
        <v>0</v>
      </c>
    </row>
    <row r="78" spans="1:24" s="648" customFormat="1" ht="14.5" x14ac:dyDescent="0.25">
      <c r="A78" s="1389" t="s">
        <v>160</v>
      </c>
      <c r="B78" s="1392" t="s">
        <v>366</v>
      </c>
      <c r="C78" s="743"/>
      <c r="D78" s="744"/>
      <c r="E78" s="678"/>
      <c r="F78" s="725"/>
      <c r="G78" s="353"/>
      <c r="H78" s="351"/>
      <c r="I78" s="352"/>
      <c r="J78" s="745">
        <v>0</v>
      </c>
      <c r="K78" s="682">
        <f>+((G78*(1+$K$11))+H78+I78)</f>
        <v>0</v>
      </c>
      <c r="V78" s="705"/>
      <c r="W78" s="706" t="s">
        <v>135</v>
      </c>
      <c r="X78" s="1050">
        <f>SUM(X79:X79)</f>
        <v>1549800</v>
      </c>
    </row>
    <row r="79" spans="1:24" s="648" customFormat="1" ht="14.5" x14ac:dyDescent="0.25">
      <c r="A79" s="1390"/>
      <c r="B79" s="1393"/>
      <c r="C79" s="746"/>
      <c r="D79" s="699"/>
      <c r="E79" s="700"/>
      <c r="F79" s="747"/>
      <c r="G79" s="564"/>
      <c r="H79" s="564"/>
      <c r="I79" s="566"/>
      <c r="J79" s="748">
        <f t="shared" ref="J79:J82" si="17">SUM(G79:I79)</f>
        <v>0</v>
      </c>
      <c r="K79" s="749">
        <f t="shared" ref="K79:K82" si="18">+((G79*(1+$K$11))+H79+I79)</f>
        <v>0</v>
      </c>
      <c r="V79" s="708">
        <v>53204999000000</v>
      </c>
      <c r="W79" s="709" t="s">
        <v>137</v>
      </c>
      <c r="X79" s="1057">
        <v>1549800</v>
      </c>
    </row>
    <row r="80" spans="1:24" s="648" customFormat="1" ht="15" thickBot="1" x14ac:dyDescent="0.3">
      <c r="A80" s="1390"/>
      <c r="B80" s="1393"/>
      <c r="C80" s="750"/>
      <c r="D80" s="751"/>
      <c r="E80" s="752"/>
      <c r="F80" s="747"/>
      <c r="G80" s="564"/>
      <c r="H80" s="564"/>
      <c r="I80" s="566"/>
      <c r="J80" s="748">
        <f t="shared" si="17"/>
        <v>0</v>
      </c>
      <c r="K80" s="749">
        <f t="shared" si="18"/>
        <v>0</v>
      </c>
      <c r="V80" s="1054"/>
      <c r="W80" s="761" t="s">
        <v>163</v>
      </c>
      <c r="X80" s="1058">
        <f>+X40+X15</f>
        <v>103122855</v>
      </c>
    </row>
    <row r="81" spans="1:12" ht="14.5" x14ac:dyDescent="0.25">
      <c r="A81" s="1390"/>
      <c r="B81" s="1393"/>
      <c r="C81" s="746"/>
      <c r="D81" s="699"/>
      <c r="E81" s="700"/>
      <c r="F81" s="711"/>
      <c r="G81" s="564"/>
      <c r="H81" s="564"/>
      <c r="I81" s="566"/>
      <c r="J81" s="748">
        <f t="shared" si="17"/>
        <v>0</v>
      </c>
      <c r="K81" s="749">
        <f t="shared" si="18"/>
        <v>0</v>
      </c>
    </row>
    <row r="82" spans="1:12" ht="15" thickBot="1" x14ac:dyDescent="0.3">
      <c r="A82" s="1391"/>
      <c r="B82" s="1394"/>
      <c r="C82" s="753"/>
      <c r="D82" s="717"/>
      <c r="E82" s="718"/>
      <c r="F82" s="719"/>
      <c r="G82" s="354"/>
      <c r="H82" s="354"/>
      <c r="I82" s="152"/>
      <c r="J82" s="754">
        <f t="shared" si="17"/>
        <v>0</v>
      </c>
      <c r="K82" s="755">
        <f t="shared" si="18"/>
        <v>0</v>
      </c>
    </row>
    <row r="83" spans="1:12" ht="16" thickBot="1" x14ac:dyDescent="0.3">
      <c r="C83" s="757"/>
      <c r="D83" s="757"/>
      <c r="E83" s="758"/>
      <c r="F83" s="758"/>
      <c r="G83" s="758"/>
      <c r="H83" s="758"/>
      <c r="I83" s="758"/>
      <c r="K83" s="759">
        <f>SUM(K78:K82)</f>
        <v>0</v>
      </c>
    </row>
    <row r="84" spans="1:12" ht="13" x14ac:dyDescent="0.25">
      <c r="K84" s="760">
        <v>1</v>
      </c>
    </row>
    <row r="85" spans="1:12" ht="13" thickBot="1" x14ac:dyDescent="0.3"/>
    <row r="86" spans="1:12" ht="14.5" x14ac:dyDescent="0.25">
      <c r="A86" s="1389" t="s">
        <v>160</v>
      </c>
      <c r="B86" s="1392" t="s">
        <v>367</v>
      </c>
      <c r="C86" s="743"/>
      <c r="D86" s="744"/>
      <c r="E86" s="678"/>
      <c r="F86" s="725"/>
      <c r="G86" s="353"/>
      <c r="H86" s="351"/>
      <c r="I86" s="352"/>
      <c r="J86" s="745">
        <v>0</v>
      </c>
      <c r="K86" s="682">
        <f>+((G86*(1+$K$11))+H86+I86)</f>
        <v>0</v>
      </c>
    </row>
    <row r="87" spans="1:12" ht="14.5" x14ac:dyDescent="0.25">
      <c r="A87" s="1390"/>
      <c r="B87" s="1393"/>
      <c r="C87" s="746"/>
      <c r="D87" s="699"/>
      <c r="E87" s="700"/>
      <c r="F87" s="747"/>
      <c r="G87" s="564"/>
      <c r="H87" s="564"/>
      <c r="I87" s="566"/>
      <c r="J87" s="748">
        <f t="shared" ref="J87:J90" si="19">SUM(G87:I87)</f>
        <v>0</v>
      </c>
      <c r="K87" s="749">
        <f t="shared" ref="K87:K90" si="20">+((G87*(1+$K$11))+H87+I87)</f>
        <v>0</v>
      </c>
    </row>
    <row r="88" spans="1:12" ht="14.5" x14ac:dyDescent="0.25">
      <c r="A88" s="1390"/>
      <c r="B88" s="1393"/>
      <c r="C88" s="750"/>
      <c r="D88" s="751"/>
      <c r="E88" s="752"/>
      <c r="F88" s="747"/>
      <c r="G88" s="564"/>
      <c r="H88" s="564"/>
      <c r="I88" s="566"/>
      <c r="J88" s="748">
        <f t="shared" si="19"/>
        <v>0</v>
      </c>
      <c r="K88" s="749">
        <f t="shared" si="20"/>
        <v>0</v>
      </c>
    </row>
    <row r="89" spans="1:12" ht="14.5" x14ac:dyDescent="0.25">
      <c r="A89" s="1390"/>
      <c r="B89" s="1393"/>
      <c r="C89" s="746"/>
      <c r="D89" s="699"/>
      <c r="E89" s="700"/>
      <c r="F89" s="711"/>
      <c r="G89" s="564"/>
      <c r="H89" s="564"/>
      <c r="I89" s="566"/>
      <c r="J89" s="748">
        <f t="shared" si="19"/>
        <v>0</v>
      </c>
      <c r="K89" s="749">
        <f t="shared" si="20"/>
        <v>0</v>
      </c>
    </row>
    <row r="90" spans="1:12" ht="15" thickBot="1" x14ac:dyDescent="0.3">
      <c r="A90" s="1391"/>
      <c r="B90" s="1394"/>
      <c r="C90" s="753"/>
      <c r="D90" s="717"/>
      <c r="E90" s="718"/>
      <c r="F90" s="719"/>
      <c r="G90" s="354"/>
      <c r="H90" s="354"/>
      <c r="I90" s="152"/>
      <c r="J90" s="754">
        <f t="shared" si="19"/>
        <v>0</v>
      </c>
      <c r="K90" s="755">
        <f t="shared" si="20"/>
        <v>0</v>
      </c>
    </row>
    <row r="91" spans="1:12" ht="16" thickBot="1" x14ac:dyDescent="0.3">
      <c r="C91" s="757"/>
      <c r="D91" s="757"/>
      <c r="E91" s="758"/>
      <c r="F91" s="758"/>
      <c r="G91" s="758"/>
      <c r="H91" s="758"/>
      <c r="I91" s="758"/>
      <c r="K91" s="759">
        <f>SUM(K86:K90)</f>
        <v>0</v>
      </c>
    </row>
    <row r="92" spans="1:12" ht="13" x14ac:dyDescent="0.25">
      <c r="K92" s="760">
        <v>1</v>
      </c>
    </row>
    <row r="93" spans="1:12" s="648" customFormat="1" x14ac:dyDescent="0.25">
      <c r="L93" s="762"/>
    </row>
    <row r="101" spans="11:11" x14ac:dyDescent="0.25">
      <c r="K101" s="153"/>
    </row>
    <row r="103" spans="11:11" x14ac:dyDescent="0.25">
      <c r="K103" s="763"/>
    </row>
  </sheetData>
  <sheetProtection algorithmName="SHA-512" hashValue="eIrPXxffURdDiDCPGclzI02NH+y2XmjeUjEKTmSmUPeDgyPfBXkUfAU35+1QAIiIPVvtD/YtfB3x0bYU6AorHQ==" saltValue="PQxfnpfFmLCHTNhfIprWhQ==" spinCount="100000" sheet="1" objects="1" scenarios="1"/>
  <mergeCells count="47">
    <mergeCell ref="A78:A82"/>
    <mergeCell ref="B78:B82"/>
    <mergeCell ref="A86:A90"/>
    <mergeCell ref="B86:B90"/>
    <mergeCell ref="AO9:AT10"/>
    <mergeCell ref="A9:H9"/>
    <mergeCell ref="M9:S10"/>
    <mergeCell ref="V9:X10"/>
    <mergeCell ref="AA9:AF10"/>
    <mergeCell ref="AH9:AM10"/>
    <mergeCell ref="AA13:AB13"/>
    <mergeCell ref="M12:R12"/>
    <mergeCell ref="A13:B14"/>
    <mergeCell ref="C13:C14"/>
    <mergeCell ref="D13:D14"/>
    <mergeCell ref="E13:E14"/>
    <mergeCell ref="F13:F14"/>
    <mergeCell ref="G13:J13"/>
    <mergeCell ref="K13:K14"/>
    <mergeCell ref="M13:N13"/>
    <mergeCell ref="O13:P13"/>
    <mergeCell ref="Q13:R13"/>
    <mergeCell ref="S13:S14"/>
    <mergeCell ref="V13:V14"/>
    <mergeCell ref="W13:W14"/>
    <mergeCell ref="X13:X14"/>
    <mergeCell ref="AO15:AP15"/>
    <mergeCell ref="AQ15:AR15"/>
    <mergeCell ref="AS15:AT15"/>
    <mergeCell ref="AC13:AD13"/>
    <mergeCell ref="AE13:AF13"/>
    <mergeCell ref="AH13:AI13"/>
    <mergeCell ref="AJ13:AK13"/>
    <mergeCell ref="AL13:AM13"/>
    <mergeCell ref="AO13:AP13"/>
    <mergeCell ref="AQ13:AR13"/>
    <mergeCell ref="AS13:AT13"/>
    <mergeCell ref="AO14:AP14"/>
    <mergeCell ref="AQ14:AR14"/>
    <mergeCell ref="AS14:AT14"/>
    <mergeCell ref="B25:B34"/>
    <mergeCell ref="B35:B39"/>
    <mergeCell ref="B40:B61"/>
    <mergeCell ref="A67:A71"/>
    <mergeCell ref="B67:B71"/>
    <mergeCell ref="A15:A61"/>
    <mergeCell ref="B15:B24"/>
  </mergeCells>
  <conditionalFormatting sqref="S15:S61">
    <cfRule type="cellIs" dxfId="15" priority="1" operator="equal">
      <formula>1</formula>
    </cfRule>
  </conditionalFormatting>
  <hyperlinks>
    <hyperlink ref="A9:H9" location="'Índice Tablas'!A1" display="TABLA 5: REMUNERACIONES DEL PERSONAL LEY 18.712 ADMINISTRACION CENTRAL Y APOYO ADMINISTRATIVO ASISTENCIA RECREATIVA" xr:uid="{C25A7F4D-47EF-46A2-BDC1-424F8AE7C146}"/>
    <hyperlink ref="M9:S10" location="'Índice Tablas'!A1" display="TABLA 6: DISTRIBUCION COSTOS REMUNERACIONES ADMINISTRACION CENTRAL Y APOYO ADMINISTRATIVO A. RECREATIVA" xr:uid="{D7B044B1-1B71-41EE-B850-A0966A33F6AE}"/>
    <hyperlink ref="V9:X10" location="'Índice Tablas'!A1" display="TABLA 7: COSTOS DE OPERACION ADMINISTRACIÓN CENTRAL Y  APOYO ADMINISTRATIVO ASISTENCIA RECREATIVA" xr:uid="{31C6C27B-5FB6-47F4-B961-3B0349B78EF0}"/>
    <hyperlink ref="AA9:AF10" location="'Índice Tablas'!A1" display="TABLA 8: RESUMEN DISTRIBUCION COSTOS REMUNERACIONES ADMINISTRACION CENTRAL Y APOYO ADMINISTRATIVO A. RECREATIVA" xr:uid="{A126E95F-2CE1-40D3-BD80-6B4D9935D5DF}"/>
    <hyperlink ref="AH9:AM10" location="'Índice Tablas'!A1" display="TABLA 9: RESUMEN DISTRIBUCION COSTOS OPERACIÓN ADMINISTRACION CENTRAL  Y APOYO ADMINISTRATIVO A. RECREATIVA" xr:uid="{27A5A29A-F965-4372-98FD-7430D7C6BF47}"/>
    <hyperlink ref="AO9:AT10" location="'Índice Tablas'!A1" display="'Índice Tablas'!A1" xr:uid="{275CCF12-1A27-41E3-909B-AF35DFEDD442}"/>
  </hyperlinks>
  <pageMargins left="0.7" right="0.7" top="0.75" bottom="0.75" header="0.3" footer="0.3"/>
  <pageSetup paperSize="4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R38"/>
  <sheetViews>
    <sheetView showGridLines="0" zoomScale="80" zoomScaleNormal="80" workbookViewId="0">
      <selection activeCell="J43" sqref="J43"/>
    </sheetView>
  </sheetViews>
  <sheetFormatPr baseColWidth="10" defaultRowHeight="14.5" x14ac:dyDescent="0.35"/>
  <cols>
    <col min="1" max="1" width="39.453125" style="5" customWidth="1"/>
    <col min="2" max="2" width="47.1796875" style="5" customWidth="1"/>
    <col min="3" max="3" width="15.7265625" style="5" customWidth="1"/>
    <col min="4" max="4" width="14.1796875" style="5" bestFit="1" customWidth="1"/>
    <col min="5" max="18" width="14.1796875" style="5" customWidth="1"/>
  </cols>
  <sheetData>
    <row r="1" spans="1:18" x14ac:dyDescent="0.35">
      <c r="A1" s="2"/>
      <c r="B1" s="1"/>
      <c r="C1" s="2"/>
      <c r="D1" s="2"/>
      <c r="E1" s="2"/>
      <c r="F1" s="3"/>
      <c r="G1" s="2"/>
      <c r="H1" s="2"/>
      <c r="I1" s="2"/>
      <c r="J1" s="2"/>
      <c r="K1" s="2"/>
      <c r="L1" s="2"/>
      <c r="M1" s="2"/>
      <c r="N1" s="2"/>
      <c r="O1" s="2"/>
      <c r="P1" s="2"/>
      <c r="Q1" s="2"/>
      <c r="R1" s="2"/>
    </row>
    <row r="2" spans="1:18" x14ac:dyDescent="0.35">
      <c r="A2" s="2"/>
      <c r="B2" s="4"/>
      <c r="C2" s="2"/>
      <c r="D2" s="2"/>
      <c r="E2" s="2"/>
      <c r="F2" s="3" t="s">
        <v>164</v>
      </c>
      <c r="G2" s="2"/>
      <c r="H2" s="2"/>
      <c r="I2" s="2"/>
      <c r="J2" s="2"/>
      <c r="K2" s="2"/>
      <c r="L2" s="154"/>
      <c r="M2" s="2"/>
      <c r="N2" s="2"/>
      <c r="O2" s="2"/>
      <c r="P2" s="2"/>
      <c r="Q2" s="2"/>
      <c r="R2" s="2"/>
    </row>
    <row r="3" spans="1:18" x14ac:dyDescent="0.35">
      <c r="A3" s="2"/>
      <c r="C3" s="2"/>
      <c r="D3" s="2"/>
      <c r="E3" s="2"/>
      <c r="F3" s="2"/>
      <c r="G3" s="2"/>
      <c r="H3" s="2"/>
      <c r="I3" s="2"/>
      <c r="J3" s="2"/>
      <c r="K3" s="2"/>
      <c r="L3" s="2"/>
      <c r="M3" s="155"/>
      <c r="N3" s="2"/>
      <c r="O3" s="2"/>
      <c r="P3" s="2"/>
      <c r="Q3" s="2"/>
      <c r="R3" s="2"/>
    </row>
    <row r="4" spans="1:18" ht="15.5" x14ac:dyDescent="0.35">
      <c r="A4" s="2"/>
      <c r="C4" s="8"/>
      <c r="D4" s="2"/>
      <c r="E4" s="8" t="s">
        <v>1</v>
      </c>
      <c r="F4" s="1459" t="s">
        <v>2</v>
      </c>
      <c r="G4" s="1460"/>
      <c r="H4" s="2"/>
      <c r="I4" s="8"/>
      <c r="J4" s="8"/>
      <c r="K4" s="8"/>
      <c r="L4" s="8"/>
      <c r="M4" s="8"/>
      <c r="N4" s="8"/>
      <c r="O4" s="8"/>
      <c r="P4" s="8"/>
      <c r="Q4" s="8"/>
      <c r="R4" s="8"/>
    </row>
    <row r="5" spans="1:18" x14ac:dyDescent="0.35">
      <c r="A5" s="2"/>
      <c r="C5" s="8"/>
      <c r="D5" s="2"/>
      <c r="E5" s="8"/>
      <c r="F5" s="3"/>
      <c r="G5" s="3"/>
      <c r="H5" s="2"/>
      <c r="I5" s="8"/>
      <c r="J5" s="8"/>
      <c r="K5" s="8"/>
      <c r="L5" s="8"/>
      <c r="M5" s="8"/>
      <c r="N5" s="8"/>
      <c r="O5" s="8"/>
      <c r="P5" s="8"/>
      <c r="Q5" s="8"/>
      <c r="R5" s="8"/>
    </row>
    <row r="6" spans="1:18" ht="15.5" x14ac:dyDescent="0.35">
      <c r="A6" s="1193" t="s">
        <v>282</v>
      </c>
      <c r="B6" s="1193"/>
      <c r="C6" s="8"/>
      <c r="D6" s="2"/>
      <c r="E6" s="8"/>
      <c r="F6" s="3"/>
      <c r="G6" s="3"/>
      <c r="H6" s="8"/>
      <c r="I6" s="8"/>
      <c r="J6" s="8"/>
      <c r="K6" s="8"/>
      <c r="L6" s="8"/>
      <c r="M6" s="8"/>
      <c r="N6" s="8"/>
      <c r="O6" s="8"/>
      <c r="P6" s="8"/>
      <c r="Q6" s="8"/>
      <c r="R6" s="8"/>
    </row>
    <row r="7" spans="1:18" ht="15" thickBot="1" x14ac:dyDescent="0.4">
      <c r="A7" s="2"/>
      <c r="B7" s="3"/>
      <c r="C7" s="3"/>
      <c r="D7" s="3"/>
      <c r="E7" s="3"/>
      <c r="F7" s="3"/>
      <c r="G7" s="3"/>
      <c r="H7" s="3"/>
      <c r="I7" s="3"/>
      <c r="J7" s="3"/>
      <c r="K7" s="3"/>
      <c r="L7" s="3"/>
      <c r="M7" s="3"/>
      <c r="N7" s="3"/>
      <c r="O7" s="3"/>
      <c r="P7" s="3"/>
      <c r="Q7" s="156"/>
      <c r="R7" s="3"/>
    </row>
    <row r="8" spans="1:18" ht="15.5" x14ac:dyDescent="0.35">
      <c r="A8" s="1461" t="s">
        <v>4</v>
      </c>
      <c r="B8" s="1463" t="s">
        <v>23</v>
      </c>
      <c r="C8" s="1465" t="s">
        <v>376</v>
      </c>
      <c r="D8" s="1466"/>
      <c r="E8" s="1466"/>
      <c r="F8" s="1467"/>
      <c r="G8" s="1451" t="s">
        <v>300</v>
      </c>
      <c r="H8" s="1451"/>
      <c r="I8" s="1451"/>
      <c r="J8" s="1451"/>
      <c r="K8" s="1450" t="s">
        <v>165</v>
      </c>
      <c r="L8" s="1451"/>
      <c r="M8" s="1451"/>
      <c r="N8" s="1452"/>
      <c r="O8" s="1451" t="s">
        <v>166</v>
      </c>
      <c r="P8" s="1451"/>
      <c r="Q8" s="1451"/>
      <c r="R8" s="1452"/>
    </row>
    <row r="9" spans="1:18" ht="15" thickBot="1" x14ac:dyDescent="0.4">
      <c r="A9" s="1462" t="e">
        <f>NA()</f>
        <v>#N/A</v>
      </c>
      <c r="B9" s="1464" t="e">
        <f>NA()</f>
        <v>#N/A</v>
      </c>
      <c r="C9" s="260" t="s">
        <v>27</v>
      </c>
      <c r="D9" s="261" t="s">
        <v>167</v>
      </c>
      <c r="E9" s="261" t="s">
        <v>168</v>
      </c>
      <c r="F9" s="262" t="s">
        <v>169</v>
      </c>
      <c r="G9" s="159" t="s">
        <v>27</v>
      </c>
      <c r="H9" s="157" t="s">
        <v>167</v>
      </c>
      <c r="I9" s="157" t="s">
        <v>168</v>
      </c>
      <c r="J9" s="263" t="s">
        <v>169</v>
      </c>
      <c r="K9" s="264" t="s">
        <v>27</v>
      </c>
      <c r="L9" s="265" t="s">
        <v>167</v>
      </c>
      <c r="M9" s="265" t="s">
        <v>168</v>
      </c>
      <c r="N9" s="266" t="s">
        <v>169</v>
      </c>
      <c r="O9" s="159" t="s">
        <v>27</v>
      </c>
      <c r="P9" s="157" t="s">
        <v>167</v>
      </c>
      <c r="Q9" s="157" t="s">
        <v>168</v>
      </c>
      <c r="R9" s="158" t="s">
        <v>169</v>
      </c>
    </row>
    <row r="10" spans="1:18" x14ac:dyDescent="0.35">
      <c r="A10" s="1447" t="str">
        <f>+'B) Reajuste Tarifa y Ocupación'!A12</f>
        <v>C.H. OFICIALES "FARO EVANGELISTAS"</v>
      </c>
      <c r="B10" s="448" t="str">
        <f>+'B) Reajuste Tarifa y Ocupación'!B12</f>
        <v>SINGLE</v>
      </c>
      <c r="C10" s="449">
        <f>+'B) Reajuste Tarifa y Ocupación'!J12</f>
        <v>33100</v>
      </c>
      <c r="D10" s="450">
        <f>+'B) Reajuste Tarifa y Ocupación'!K12</f>
        <v>50800</v>
      </c>
      <c r="E10" s="450">
        <f>+'B) Reajuste Tarifa y Ocupación'!L12</f>
        <v>60500</v>
      </c>
      <c r="F10" s="451">
        <f>+'B) Reajuste Tarifa y Ocupación'!M12</f>
        <v>63300</v>
      </c>
      <c r="G10" s="452">
        <f>+'B) Reajuste Tarifa y Ocupación'!C12</f>
        <v>31600</v>
      </c>
      <c r="H10" s="453">
        <f>+'B) Reajuste Tarifa y Ocupación'!D12</f>
        <v>48600</v>
      </c>
      <c r="I10" s="453">
        <f>+'B) Reajuste Tarifa y Ocupación'!E12</f>
        <v>57800</v>
      </c>
      <c r="J10" s="454">
        <f>+'B) Reajuste Tarifa y Ocupación'!F12</f>
        <v>60500</v>
      </c>
      <c r="K10" s="455">
        <f t="shared" ref="K10:N14" si="0">C10-G10</f>
        <v>1500</v>
      </c>
      <c r="L10" s="456">
        <f t="shared" si="0"/>
        <v>2200</v>
      </c>
      <c r="M10" s="456">
        <f t="shared" si="0"/>
        <v>2700</v>
      </c>
      <c r="N10" s="457">
        <f t="shared" si="0"/>
        <v>2800</v>
      </c>
      <c r="O10" s="458">
        <f>+P10</f>
        <v>4.4999999999999998E-2</v>
      </c>
      <c r="P10" s="459">
        <f>+'B) Reajuste Tarifa y Ocupación'!G12</f>
        <v>4.4999999999999998E-2</v>
      </c>
      <c r="Q10" s="459">
        <f>+'B) Reajuste Tarifa y Ocupación'!H12</f>
        <v>4.4999999999999998E-2</v>
      </c>
      <c r="R10" s="460">
        <f>+'B) Reajuste Tarifa y Ocupación'!I12</f>
        <v>4.4999999999999998E-2</v>
      </c>
    </row>
    <row r="11" spans="1:18" x14ac:dyDescent="0.35">
      <c r="A11" s="1448"/>
      <c r="B11" s="461" t="str">
        <f>+'B) Reajuste Tarifa y Ocupación'!B13</f>
        <v>DOBLE - MATRIMONIAL</v>
      </c>
      <c r="C11" s="462">
        <f>+'B) Reajuste Tarifa y Ocupación'!J13</f>
        <v>43500</v>
      </c>
      <c r="D11" s="463">
        <f>+'B) Reajuste Tarifa y Ocupación'!K13</f>
        <v>66900</v>
      </c>
      <c r="E11" s="463">
        <f>+'B) Reajuste Tarifa y Ocupación'!L13</f>
        <v>79600</v>
      </c>
      <c r="F11" s="464">
        <f>+'B) Reajuste Tarifa y Ocupación'!M13</f>
        <v>83400</v>
      </c>
      <c r="G11" s="465">
        <f>+'B) Reajuste Tarifa y Ocupación'!C13</f>
        <v>41600</v>
      </c>
      <c r="H11" s="466">
        <f>+'B) Reajuste Tarifa y Ocupación'!D13</f>
        <v>64000</v>
      </c>
      <c r="I11" s="466">
        <f>+'B) Reajuste Tarifa y Ocupación'!E13</f>
        <v>76100</v>
      </c>
      <c r="J11" s="467">
        <f>+'B) Reajuste Tarifa y Ocupación'!F13</f>
        <v>79800</v>
      </c>
      <c r="K11" s="468">
        <f t="shared" si="0"/>
        <v>1900</v>
      </c>
      <c r="L11" s="469">
        <f t="shared" si="0"/>
        <v>2900</v>
      </c>
      <c r="M11" s="469">
        <f t="shared" si="0"/>
        <v>3500</v>
      </c>
      <c r="N11" s="470">
        <f t="shared" si="0"/>
        <v>3600</v>
      </c>
      <c r="O11" s="471">
        <f t="shared" ref="O11:O14" si="1">+P11</f>
        <v>4.4999999999999998E-2</v>
      </c>
      <c r="P11" s="472">
        <f>+'B) Reajuste Tarifa y Ocupación'!G13</f>
        <v>4.4999999999999998E-2</v>
      </c>
      <c r="Q11" s="472">
        <f>+'B) Reajuste Tarifa y Ocupación'!H13</f>
        <v>4.4999999999999998E-2</v>
      </c>
      <c r="R11" s="473">
        <f>+'B) Reajuste Tarifa y Ocupación'!I13</f>
        <v>4.4999999999999998E-2</v>
      </c>
    </row>
    <row r="12" spans="1:18" x14ac:dyDescent="0.35">
      <c r="A12" s="1448"/>
      <c r="B12" s="461" t="str">
        <f>+'B) Reajuste Tarifa y Ocupación'!B14</f>
        <v>TRIPLE</v>
      </c>
      <c r="C12" s="462">
        <f>+'B) Reajuste Tarifa y Ocupación'!J14</f>
        <v>54000</v>
      </c>
      <c r="D12" s="463">
        <f>+'B) Reajuste Tarifa y Ocupación'!K14</f>
        <v>83000</v>
      </c>
      <c r="E12" s="463">
        <f>+'B) Reajuste Tarifa y Ocupación'!L14</f>
        <v>98800</v>
      </c>
      <c r="F12" s="464">
        <f>+'B) Reajuste Tarifa y Ocupación'!M14</f>
        <v>103500</v>
      </c>
      <c r="G12" s="465">
        <f>+'B) Reajuste Tarifa y Ocupación'!C14</f>
        <v>51700</v>
      </c>
      <c r="H12" s="466">
        <f>+'B) Reajuste Tarifa y Ocupación'!D14</f>
        <v>79400</v>
      </c>
      <c r="I12" s="466">
        <f>+'B) Reajuste Tarifa y Ocupación'!E14</f>
        <v>94500</v>
      </c>
      <c r="J12" s="467">
        <f>+'B) Reajuste Tarifa y Ocupación'!F14</f>
        <v>99000</v>
      </c>
      <c r="K12" s="468">
        <f t="shared" si="0"/>
        <v>2300</v>
      </c>
      <c r="L12" s="469">
        <f t="shared" si="0"/>
        <v>3600</v>
      </c>
      <c r="M12" s="469">
        <f t="shared" si="0"/>
        <v>4300</v>
      </c>
      <c r="N12" s="474">
        <f t="shared" si="0"/>
        <v>4500</v>
      </c>
      <c r="O12" s="471">
        <f t="shared" si="1"/>
        <v>4.4999999999999998E-2</v>
      </c>
      <c r="P12" s="472">
        <f>+'B) Reajuste Tarifa y Ocupación'!G14</f>
        <v>4.4999999999999998E-2</v>
      </c>
      <c r="Q12" s="472">
        <f>+'B) Reajuste Tarifa y Ocupación'!H14</f>
        <v>4.4999999999999998E-2</v>
      </c>
      <c r="R12" s="473">
        <f>+'B) Reajuste Tarifa y Ocupación'!I14</f>
        <v>4.4999999999999998E-2</v>
      </c>
    </row>
    <row r="13" spans="1:18" x14ac:dyDescent="0.35">
      <c r="A13" s="1448"/>
      <c r="B13" s="461" t="str">
        <f>+'B) Reajuste Tarifa y Ocupación'!B15</f>
        <v>SUPERIOR MATRIMONIAL</v>
      </c>
      <c r="C13" s="462">
        <f>+'B) Reajuste Tarifa y Ocupación'!J15</f>
        <v>51900</v>
      </c>
      <c r="D13" s="463">
        <f>+'B) Reajuste Tarifa y Ocupación'!K15</f>
        <v>79700</v>
      </c>
      <c r="E13" s="463">
        <f>+'B) Reajuste Tarifa y Ocupación'!L15</f>
        <v>94700</v>
      </c>
      <c r="F13" s="464">
        <f>+'B) Reajuste Tarifa y Ocupación'!M15</f>
        <v>99300</v>
      </c>
      <c r="G13" s="465">
        <f>+'B) Reajuste Tarifa y Ocupación'!C15</f>
        <v>49600</v>
      </c>
      <c r="H13" s="466">
        <f>+'B) Reajuste Tarifa y Ocupación'!D15</f>
        <v>76200</v>
      </c>
      <c r="I13" s="466">
        <f>+'B) Reajuste Tarifa y Ocupación'!E15</f>
        <v>90600</v>
      </c>
      <c r="J13" s="467">
        <f>+'B) Reajuste Tarifa y Ocupación'!F15</f>
        <v>95000</v>
      </c>
      <c r="K13" s="468">
        <f t="shared" si="0"/>
        <v>2300</v>
      </c>
      <c r="L13" s="469">
        <f t="shared" si="0"/>
        <v>3500</v>
      </c>
      <c r="M13" s="469">
        <f t="shared" si="0"/>
        <v>4100</v>
      </c>
      <c r="N13" s="470">
        <f t="shared" si="0"/>
        <v>4300</v>
      </c>
      <c r="O13" s="471">
        <f t="shared" si="1"/>
        <v>4.4999999999999998E-2</v>
      </c>
      <c r="P13" s="472">
        <f>+'B) Reajuste Tarifa y Ocupación'!G15</f>
        <v>4.4999999999999998E-2</v>
      </c>
      <c r="Q13" s="472">
        <f>+'B) Reajuste Tarifa y Ocupación'!H15</f>
        <v>4.4999999999999998E-2</v>
      </c>
      <c r="R13" s="473">
        <f>+'B) Reajuste Tarifa y Ocupación'!I15</f>
        <v>4.4999999999999998E-2</v>
      </c>
    </row>
    <row r="14" spans="1:18" x14ac:dyDescent="0.35">
      <c r="A14" s="1448"/>
      <c r="B14" s="475" t="str">
        <f>+'B) Reajuste Tarifa y Ocupación'!B16</f>
        <v>CAMA ADICIONAL</v>
      </c>
      <c r="C14" s="462">
        <f>+'B) Reajuste Tarifa y Ocupación'!J16</f>
        <v>12800</v>
      </c>
      <c r="D14" s="463">
        <f>+'B) Reajuste Tarifa y Ocupación'!K16</f>
        <v>19600</v>
      </c>
      <c r="E14" s="463">
        <f>+'B) Reajuste Tarifa y Ocupación'!L16</f>
        <v>23400</v>
      </c>
      <c r="F14" s="464">
        <f>+'B) Reajuste Tarifa y Ocupación'!M16</f>
        <v>24500</v>
      </c>
      <c r="G14" s="465">
        <f>+'B) Reajuste Tarifa y Ocupación'!C16</f>
        <v>12200</v>
      </c>
      <c r="H14" s="466">
        <f>+'B) Reajuste Tarifa y Ocupación'!D16</f>
        <v>18700</v>
      </c>
      <c r="I14" s="466">
        <f>+'B) Reajuste Tarifa y Ocupación'!E16</f>
        <v>22300</v>
      </c>
      <c r="J14" s="467">
        <f>+'B) Reajuste Tarifa y Ocupación'!F16</f>
        <v>23400</v>
      </c>
      <c r="K14" s="468">
        <f t="shared" si="0"/>
        <v>600</v>
      </c>
      <c r="L14" s="469">
        <f t="shared" si="0"/>
        <v>900</v>
      </c>
      <c r="M14" s="469">
        <f t="shared" si="0"/>
        <v>1100</v>
      </c>
      <c r="N14" s="470">
        <f t="shared" si="0"/>
        <v>1100</v>
      </c>
      <c r="O14" s="471">
        <f t="shared" si="1"/>
        <v>4.4999999999999998E-2</v>
      </c>
      <c r="P14" s="476">
        <f>+'B) Reajuste Tarifa y Ocupación'!G16</f>
        <v>4.4999999999999998E-2</v>
      </c>
      <c r="Q14" s="476">
        <f>+'B) Reajuste Tarifa y Ocupación'!H16</f>
        <v>4.4999999999999998E-2</v>
      </c>
      <c r="R14" s="477">
        <f>+'B) Reajuste Tarifa y Ocupación'!I16</f>
        <v>4.4999999999999998E-2</v>
      </c>
    </row>
    <row r="15" spans="1:18" x14ac:dyDescent="0.35">
      <c r="A15" s="1448"/>
      <c r="B15" s="461" t="str">
        <f>+'B) Reajuste Tarifa y Ocupación'!B17</f>
        <v>Early check-in/Late check-out o uso por transito</v>
      </c>
      <c r="C15" s="478"/>
      <c r="D15" s="479"/>
      <c r="E15" s="479"/>
      <c r="F15" s="480"/>
      <c r="G15" s="481"/>
      <c r="H15" s="482"/>
      <c r="I15" s="482"/>
      <c r="J15" s="483"/>
      <c r="K15" s="484"/>
      <c r="L15" s="485"/>
      <c r="M15" s="485"/>
      <c r="N15" s="486"/>
      <c r="O15" s="1453"/>
      <c r="P15" s="1453"/>
      <c r="Q15" s="1453"/>
      <c r="R15" s="1454"/>
    </row>
    <row r="16" spans="1:18" x14ac:dyDescent="0.35">
      <c r="A16" s="1448"/>
      <c r="B16" s="487" t="str">
        <f>+'B) Reajuste Tarifa y Ocupación'!B18</f>
        <v>SINGLE</v>
      </c>
      <c r="C16" s="488"/>
      <c r="D16" s="463">
        <f>+'B) Reajuste Tarifa y Ocupación'!K18</f>
        <v>15300</v>
      </c>
      <c r="E16" s="463">
        <f>+'B) Reajuste Tarifa y Ocupación'!L18</f>
        <v>18200</v>
      </c>
      <c r="F16" s="464">
        <f>+'B) Reajuste Tarifa y Ocupación'!M18</f>
        <v>19000</v>
      </c>
      <c r="G16" s="489"/>
      <c r="H16" s="466">
        <f>+'B) Reajuste Tarifa y Ocupación'!D18</f>
        <v>14600</v>
      </c>
      <c r="I16" s="466">
        <f>+'B) Reajuste Tarifa y Ocupación'!E18</f>
        <v>17400</v>
      </c>
      <c r="J16" s="467">
        <f>+'B) Reajuste Tarifa y Ocupación'!F18</f>
        <v>18200</v>
      </c>
      <c r="K16" s="484"/>
      <c r="L16" s="469">
        <f t="shared" ref="L16:N31" si="2">D16-H16</f>
        <v>700</v>
      </c>
      <c r="M16" s="469">
        <f t="shared" si="2"/>
        <v>800</v>
      </c>
      <c r="N16" s="470">
        <f t="shared" si="2"/>
        <v>800</v>
      </c>
      <c r="O16" s="1455"/>
      <c r="P16" s="1455"/>
      <c r="Q16" s="1455"/>
      <c r="R16" s="1456"/>
    </row>
    <row r="17" spans="1:18" x14ac:dyDescent="0.35">
      <c r="A17" s="1448"/>
      <c r="B17" s="487" t="str">
        <f>+'B) Reajuste Tarifa y Ocupación'!B19</f>
        <v>DOBLE - MATRIMONIAL</v>
      </c>
      <c r="C17" s="488"/>
      <c r="D17" s="463">
        <f>+'B) Reajuste Tarifa y Ocupación'!K19</f>
        <v>20100</v>
      </c>
      <c r="E17" s="463">
        <f>+'B) Reajuste Tarifa y Ocupación'!L19</f>
        <v>23900</v>
      </c>
      <c r="F17" s="464">
        <f>+'B) Reajuste Tarifa y Ocupación'!M19</f>
        <v>25100</v>
      </c>
      <c r="G17" s="489"/>
      <c r="H17" s="466">
        <f>+'B) Reajuste Tarifa y Ocupación'!D19</f>
        <v>19200</v>
      </c>
      <c r="I17" s="466">
        <f>+'B) Reajuste Tarifa y Ocupación'!E19</f>
        <v>22900</v>
      </c>
      <c r="J17" s="467">
        <f>+'B) Reajuste Tarifa y Ocupación'!F19</f>
        <v>24000</v>
      </c>
      <c r="K17" s="484"/>
      <c r="L17" s="469">
        <f t="shared" si="2"/>
        <v>900</v>
      </c>
      <c r="M17" s="469">
        <f t="shared" si="2"/>
        <v>1000</v>
      </c>
      <c r="N17" s="470">
        <f t="shared" si="2"/>
        <v>1100</v>
      </c>
      <c r="O17" s="1455"/>
      <c r="P17" s="1455"/>
      <c r="Q17" s="1455"/>
      <c r="R17" s="1456"/>
    </row>
    <row r="18" spans="1:18" x14ac:dyDescent="0.35">
      <c r="A18" s="1448"/>
      <c r="B18" s="487" t="str">
        <f>+'B) Reajuste Tarifa y Ocupación'!B20</f>
        <v>TRIPLE</v>
      </c>
      <c r="C18" s="488"/>
      <c r="D18" s="463">
        <f>+'B) Reajuste Tarifa y Ocupación'!K20</f>
        <v>24900</v>
      </c>
      <c r="E18" s="463">
        <f>+'B) Reajuste Tarifa y Ocupación'!L20</f>
        <v>29700</v>
      </c>
      <c r="F18" s="464">
        <f>+'B) Reajuste Tarifa y Ocupación'!M20</f>
        <v>31100</v>
      </c>
      <c r="G18" s="489"/>
      <c r="H18" s="466">
        <f>+'B) Reajuste Tarifa y Ocupación'!D20</f>
        <v>23900</v>
      </c>
      <c r="I18" s="466">
        <f>+'B) Reajuste Tarifa y Ocupación'!E20</f>
        <v>28400</v>
      </c>
      <c r="J18" s="467">
        <f>+'B) Reajuste Tarifa y Ocupación'!F20</f>
        <v>29700</v>
      </c>
      <c r="K18" s="484"/>
      <c r="L18" s="469">
        <f t="shared" si="2"/>
        <v>1000</v>
      </c>
      <c r="M18" s="469">
        <f t="shared" si="2"/>
        <v>1300</v>
      </c>
      <c r="N18" s="470">
        <f t="shared" si="2"/>
        <v>1400</v>
      </c>
      <c r="O18" s="1455"/>
      <c r="P18" s="1455"/>
      <c r="Q18" s="1455"/>
      <c r="R18" s="1456"/>
    </row>
    <row r="19" spans="1:18" ht="15" thickBot="1" x14ac:dyDescent="0.4">
      <c r="A19" s="1449"/>
      <c r="B19" s="257" t="str">
        <f>+'B) Reajuste Tarifa y Ocupación'!B21</f>
        <v>SUPERIOR MATRIMONIAL</v>
      </c>
      <c r="C19" s="490"/>
      <c r="D19" s="253">
        <f>+'B) Reajuste Tarifa y Ocupación'!K21</f>
        <v>24000</v>
      </c>
      <c r="E19" s="253">
        <f>+'B) Reajuste Tarifa y Ocupación'!L21</f>
        <v>28500</v>
      </c>
      <c r="F19" s="160">
        <f>+'B) Reajuste Tarifa y Ocupación'!M21</f>
        <v>29800</v>
      </c>
      <c r="G19" s="491"/>
      <c r="H19" s="492">
        <f>+'B) Reajuste Tarifa y Ocupación'!D21</f>
        <v>22900</v>
      </c>
      <c r="I19" s="492">
        <f>+'B) Reajuste Tarifa y Ocupación'!E21</f>
        <v>27200</v>
      </c>
      <c r="J19" s="493">
        <f>+'B) Reajuste Tarifa y Ocupación'!F21</f>
        <v>28500</v>
      </c>
      <c r="K19" s="494"/>
      <c r="L19" s="495">
        <f t="shared" si="2"/>
        <v>1100</v>
      </c>
      <c r="M19" s="495">
        <f t="shared" si="2"/>
        <v>1300</v>
      </c>
      <c r="N19" s="496">
        <f t="shared" si="2"/>
        <v>1300</v>
      </c>
      <c r="O19" s="1457"/>
      <c r="P19" s="1457"/>
      <c r="Q19" s="1457"/>
      <c r="R19" s="1458"/>
    </row>
    <row r="20" spans="1:18" ht="16" thickBot="1" x14ac:dyDescent="0.4">
      <c r="A20" s="251" t="str">
        <f>+'B) Reajuste Tarifa y Ocupación'!A22</f>
        <v>CABAÑAS TORRES DEL PAINE</v>
      </c>
      <c r="B20" s="497" t="str">
        <f>+'B) Reajuste Tarifa y Ocupación'!B22</f>
        <v>CABAÑA (6 PERS.)</v>
      </c>
      <c r="C20" s="254">
        <f>+'B) Reajuste Tarifa y Ocupación'!J22</f>
        <v>63000</v>
      </c>
      <c r="D20" s="255">
        <f>+'B) Reajuste Tarifa y Ocupación'!K22</f>
        <v>96900</v>
      </c>
      <c r="E20" s="255">
        <f>+'B) Reajuste Tarifa y Ocupación'!L22</f>
        <v>144200</v>
      </c>
      <c r="F20" s="256">
        <f>+'B) Reajuste Tarifa y Ocupación'!M22</f>
        <v>230700</v>
      </c>
      <c r="G20" s="498">
        <f>+'B) Reajuste Tarifa y Ocupación'!C22</f>
        <v>60000</v>
      </c>
      <c r="H20" s="499">
        <f>+'B) Reajuste Tarifa y Ocupación'!D22</f>
        <v>92200</v>
      </c>
      <c r="I20" s="499">
        <f>+'B) Reajuste Tarifa y Ocupación'!E22</f>
        <v>109800</v>
      </c>
      <c r="J20" s="500">
        <f>+'B) Reajuste Tarifa y Ocupación'!F22</f>
        <v>188100</v>
      </c>
      <c r="K20" s="501">
        <f t="shared" ref="K20:K25" si="3">C20-G20</f>
        <v>3000</v>
      </c>
      <c r="L20" s="502">
        <f t="shared" si="2"/>
        <v>4700</v>
      </c>
      <c r="M20" s="502">
        <f t="shared" si="2"/>
        <v>34400</v>
      </c>
      <c r="N20" s="503">
        <f t="shared" si="2"/>
        <v>42600</v>
      </c>
      <c r="O20" s="504">
        <f t="shared" ref="O20:O31" si="4">+P20</f>
        <v>0.05</v>
      </c>
      <c r="P20" s="505">
        <f>+'B) Reajuste Tarifa y Ocupación'!G22</f>
        <v>0.05</v>
      </c>
      <c r="Q20" s="505">
        <f>+'B) Reajuste Tarifa y Ocupación'!H22</f>
        <v>0.313</v>
      </c>
      <c r="R20" s="505">
        <f>+'B) Reajuste Tarifa y Ocupación'!I22</f>
        <v>0.22600000000000001</v>
      </c>
    </row>
    <row r="21" spans="1:18" x14ac:dyDescent="0.35">
      <c r="A21" s="1447" t="str">
        <f>+'B) Reajuste Tarifa y Ocupación'!A23</f>
        <v>C.H. GENTE DE MAR "FARO DUNGENESS"</v>
      </c>
      <c r="B21" s="448" t="str">
        <f>+'B) Reajuste Tarifa y Ocupación'!B23</f>
        <v>SINGLE</v>
      </c>
      <c r="C21" s="306">
        <f>+'B) Reajuste Tarifa y Ocupación'!J23</f>
        <v>26900</v>
      </c>
      <c r="D21" s="278">
        <f>+'B) Reajuste Tarifa y Ocupación'!K23</f>
        <v>41300</v>
      </c>
      <c r="E21" s="278">
        <f>+'B) Reajuste Tarifa y Ocupación'!L23</f>
        <v>49200</v>
      </c>
      <c r="F21" s="1114">
        <f>+'B) Reajuste Tarifa y Ocupación'!M23</f>
        <v>51600</v>
      </c>
      <c r="G21" s="1119">
        <f>+'B) Reajuste Tarifa y Ocupación'!C23</f>
        <v>25700</v>
      </c>
      <c r="H21" s="1116">
        <f>+'B) Reajuste Tarifa y Ocupación'!D23</f>
        <v>39500</v>
      </c>
      <c r="I21" s="506">
        <f>+'B) Reajuste Tarifa y Ocupación'!E23</f>
        <v>47000</v>
      </c>
      <c r="J21" s="507">
        <f>+'B) Reajuste Tarifa y Ocupación'!F23</f>
        <v>49300</v>
      </c>
      <c r="K21" s="455">
        <f t="shared" si="3"/>
        <v>1200</v>
      </c>
      <c r="L21" s="456">
        <f t="shared" si="2"/>
        <v>1800</v>
      </c>
      <c r="M21" s="456">
        <f t="shared" si="2"/>
        <v>2200</v>
      </c>
      <c r="N21" s="457">
        <f t="shared" si="2"/>
        <v>2300</v>
      </c>
      <c r="O21" s="458">
        <f t="shared" si="4"/>
        <v>4.4999999999999998E-2</v>
      </c>
      <c r="P21" s="508">
        <f>+'B) Reajuste Tarifa y Ocupación'!G23</f>
        <v>4.4999999999999998E-2</v>
      </c>
      <c r="Q21" s="508">
        <f>+'B) Reajuste Tarifa y Ocupación'!H23</f>
        <v>4.4999999999999998E-2</v>
      </c>
      <c r="R21" s="509">
        <f>+'B) Reajuste Tarifa y Ocupación'!I23</f>
        <v>4.4999999999999998E-2</v>
      </c>
    </row>
    <row r="22" spans="1:18" x14ac:dyDescent="0.35">
      <c r="A22" s="1448"/>
      <c r="B22" s="461" t="str">
        <f>+'B) Reajuste Tarifa y Ocupación'!B24</f>
        <v>DOBLE - MATRIMONIAL</v>
      </c>
      <c r="C22" s="308">
        <f>+'B) Reajuste Tarifa y Ocupación'!J24</f>
        <v>36800</v>
      </c>
      <c r="D22" s="274">
        <f>+'B) Reajuste Tarifa y Ocupación'!K24</f>
        <v>56600</v>
      </c>
      <c r="E22" s="274">
        <f>+'B) Reajuste Tarifa y Ocupación'!L24</f>
        <v>67300</v>
      </c>
      <c r="F22" s="1115">
        <f>+'B) Reajuste Tarifa y Ocupación'!M24</f>
        <v>70600</v>
      </c>
      <c r="G22" s="1120">
        <f>+'B) Reajuste Tarifa y Ocupación'!C24</f>
        <v>35200</v>
      </c>
      <c r="H22" s="1117">
        <f>+'B) Reajuste Tarifa y Ocupación'!D24</f>
        <v>54100</v>
      </c>
      <c r="I22" s="466">
        <f>+'B) Reajuste Tarifa y Ocupación'!E24</f>
        <v>64400</v>
      </c>
      <c r="J22" s="467">
        <f>+'B) Reajuste Tarifa y Ocupación'!F24</f>
        <v>67500</v>
      </c>
      <c r="K22" s="468">
        <f t="shared" si="3"/>
        <v>1600</v>
      </c>
      <c r="L22" s="469">
        <f t="shared" si="2"/>
        <v>2500</v>
      </c>
      <c r="M22" s="469">
        <f t="shared" si="2"/>
        <v>2900</v>
      </c>
      <c r="N22" s="470">
        <f t="shared" si="2"/>
        <v>3100</v>
      </c>
      <c r="O22" s="471">
        <f t="shared" si="4"/>
        <v>4.4999999999999998E-2</v>
      </c>
      <c r="P22" s="472">
        <f>+'B) Reajuste Tarifa y Ocupación'!G24</f>
        <v>4.4999999999999998E-2</v>
      </c>
      <c r="Q22" s="472">
        <f>+'B) Reajuste Tarifa y Ocupación'!H24</f>
        <v>4.4999999999999998E-2</v>
      </c>
      <c r="R22" s="473">
        <f>+'B) Reajuste Tarifa y Ocupación'!I24</f>
        <v>4.4999999999999998E-2</v>
      </c>
    </row>
    <row r="23" spans="1:18" x14ac:dyDescent="0.35">
      <c r="A23" s="1448"/>
      <c r="B23" s="461" t="str">
        <f>+'B) Reajuste Tarifa y Ocupación'!B25</f>
        <v>TRIPLE</v>
      </c>
      <c r="C23" s="308">
        <f>+'B) Reajuste Tarifa y Ocupación'!J25</f>
        <v>46700</v>
      </c>
      <c r="D23" s="274">
        <f>+'B) Reajuste Tarifa y Ocupación'!K25</f>
        <v>71700</v>
      </c>
      <c r="E23" s="274">
        <f>+'B) Reajuste Tarifa y Ocupación'!L25</f>
        <v>85300</v>
      </c>
      <c r="F23" s="1115">
        <f>+'B) Reajuste Tarifa y Ocupación'!M25</f>
        <v>89400</v>
      </c>
      <c r="G23" s="1120">
        <f>+'B) Reajuste Tarifa y Ocupación'!C25</f>
        <v>44600</v>
      </c>
      <c r="H23" s="1117">
        <f>+'B) Reajuste Tarifa y Ocupación'!D25</f>
        <v>68600</v>
      </c>
      <c r="I23" s="466">
        <f>+'B) Reajuste Tarifa y Ocupación'!E25</f>
        <v>81600</v>
      </c>
      <c r="J23" s="467">
        <f>+'B) Reajuste Tarifa y Ocupación'!F25</f>
        <v>85500</v>
      </c>
      <c r="K23" s="468">
        <f t="shared" si="3"/>
        <v>2100</v>
      </c>
      <c r="L23" s="469">
        <f t="shared" si="2"/>
        <v>3100</v>
      </c>
      <c r="M23" s="469">
        <f t="shared" si="2"/>
        <v>3700</v>
      </c>
      <c r="N23" s="470">
        <f t="shared" si="2"/>
        <v>3900</v>
      </c>
      <c r="O23" s="471">
        <f t="shared" si="4"/>
        <v>4.4999999999999998E-2</v>
      </c>
      <c r="P23" s="472">
        <f>+'B) Reajuste Tarifa y Ocupación'!G25</f>
        <v>4.4999999999999998E-2</v>
      </c>
      <c r="Q23" s="472">
        <f>+'B) Reajuste Tarifa y Ocupación'!H25</f>
        <v>4.4999999999999998E-2</v>
      </c>
      <c r="R23" s="473">
        <f>+'B) Reajuste Tarifa y Ocupación'!I25</f>
        <v>4.4999999999999998E-2</v>
      </c>
    </row>
    <row r="24" spans="1:18" x14ac:dyDescent="0.35">
      <c r="A24" s="1448"/>
      <c r="B24" s="461" t="str">
        <f>+'B) Reajuste Tarifa y Ocupación'!B26</f>
        <v>CUADRUPLE</v>
      </c>
      <c r="C24" s="308">
        <f>+'B) Reajuste Tarifa y Ocupación'!J26</f>
        <v>56600</v>
      </c>
      <c r="D24" s="274">
        <f>+'B) Reajuste Tarifa y Ocupación'!K26</f>
        <v>87000</v>
      </c>
      <c r="E24" s="274">
        <f>+'B) Reajuste Tarifa y Ocupación'!L26</f>
        <v>103500</v>
      </c>
      <c r="F24" s="1115">
        <f>+'B) Reajuste Tarifa y Ocupación'!M26</f>
        <v>108400</v>
      </c>
      <c r="G24" s="1120">
        <f>+'B) Reajuste Tarifa y Ocupación'!C26</f>
        <v>54100</v>
      </c>
      <c r="H24" s="1117">
        <f>+'B) Reajuste Tarifa y Ocupación'!D26</f>
        <v>83200</v>
      </c>
      <c r="I24" s="466">
        <f>+'B) Reajuste Tarifa y Ocupación'!E26</f>
        <v>99000</v>
      </c>
      <c r="J24" s="467">
        <f>+'B) Reajuste Tarifa y Ocupación'!F26</f>
        <v>103700</v>
      </c>
      <c r="K24" s="468">
        <f t="shared" si="3"/>
        <v>2500</v>
      </c>
      <c r="L24" s="469">
        <f t="shared" si="2"/>
        <v>3800</v>
      </c>
      <c r="M24" s="469">
        <f t="shared" si="2"/>
        <v>4500</v>
      </c>
      <c r="N24" s="470">
        <f t="shared" si="2"/>
        <v>4700</v>
      </c>
      <c r="O24" s="471">
        <f t="shared" si="4"/>
        <v>4.4999999999999998E-2</v>
      </c>
      <c r="P24" s="472">
        <f>+'B) Reajuste Tarifa y Ocupación'!G26</f>
        <v>4.4999999999999998E-2</v>
      </c>
      <c r="Q24" s="472">
        <f>+'B) Reajuste Tarifa y Ocupación'!H26</f>
        <v>4.4999999999999998E-2</v>
      </c>
      <c r="R24" s="473">
        <f>+'B) Reajuste Tarifa y Ocupación'!I26</f>
        <v>4.4999999999999998E-2</v>
      </c>
    </row>
    <row r="25" spans="1:18" x14ac:dyDescent="0.35">
      <c r="A25" s="1448"/>
      <c r="B25" s="461" t="str">
        <f>+'B) Reajuste Tarifa y Ocupación'!B27</f>
        <v>CAMA / PERSONA ADICIONAL</v>
      </c>
      <c r="C25" s="308">
        <f>+'B) Reajuste Tarifa y Ocupación'!J27</f>
        <v>10300</v>
      </c>
      <c r="D25" s="274">
        <f>+'B) Reajuste Tarifa y Ocupación'!K27</f>
        <v>15700</v>
      </c>
      <c r="E25" s="274">
        <f>+'B) Reajuste Tarifa y Ocupación'!L27</f>
        <v>18700</v>
      </c>
      <c r="F25" s="1115">
        <f>+'B) Reajuste Tarifa y Ocupación'!M27</f>
        <v>19500</v>
      </c>
      <c r="G25" s="1120">
        <f>+'B) Reajuste Tarifa y Ocupación'!C27</f>
        <v>9800</v>
      </c>
      <c r="H25" s="1117">
        <f>+'B) Reajuste Tarifa y Ocupación'!D27</f>
        <v>15000</v>
      </c>
      <c r="I25" s="466">
        <f>+'B) Reajuste Tarifa y Ocupación'!E27</f>
        <v>17800</v>
      </c>
      <c r="J25" s="467">
        <f>+'B) Reajuste Tarifa y Ocupación'!F27</f>
        <v>18600</v>
      </c>
      <c r="K25" s="468">
        <f t="shared" si="3"/>
        <v>500</v>
      </c>
      <c r="L25" s="469">
        <f t="shared" si="2"/>
        <v>700</v>
      </c>
      <c r="M25" s="469">
        <f t="shared" si="2"/>
        <v>900</v>
      </c>
      <c r="N25" s="470">
        <f t="shared" si="2"/>
        <v>900</v>
      </c>
      <c r="O25" s="471">
        <f t="shared" si="4"/>
        <v>4.4999999999999998E-2</v>
      </c>
      <c r="P25" s="472">
        <f>+'B) Reajuste Tarifa y Ocupación'!G27</f>
        <v>4.4999999999999998E-2</v>
      </c>
      <c r="Q25" s="472">
        <f>+'B) Reajuste Tarifa y Ocupación'!H27</f>
        <v>4.4999999999999998E-2</v>
      </c>
      <c r="R25" s="473">
        <f>+'B) Reajuste Tarifa y Ocupación'!I27</f>
        <v>4.4999999999999998E-2</v>
      </c>
    </row>
    <row r="26" spans="1:18" x14ac:dyDescent="0.35">
      <c r="A26" s="1448"/>
      <c r="B26" s="461" t="s">
        <v>170</v>
      </c>
      <c r="C26" s="310"/>
      <c r="D26" s="276"/>
      <c r="E26" s="276"/>
      <c r="F26" s="311"/>
      <c r="G26" s="1118"/>
      <c r="H26" s="482"/>
      <c r="I26" s="482"/>
      <c r="J26" s="483"/>
      <c r="K26" s="484"/>
      <c r="L26" s="485"/>
      <c r="M26" s="485"/>
      <c r="N26" s="486"/>
      <c r="O26" s="1453"/>
      <c r="P26" s="1453"/>
      <c r="Q26" s="1453"/>
      <c r="R26" s="1454"/>
    </row>
    <row r="27" spans="1:18" x14ac:dyDescent="0.35">
      <c r="A27" s="1448"/>
      <c r="B27" s="487" t="str">
        <f>+'B) Reajuste Tarifa y Ocupación'!B29</f>
        <v>SINGLE</v>
      </c>
      <c r="C27" s="510"/>
      <c r="D27" s="274">
        <f>+'B) Reajuste Tarifa y Ocupación'!K29</f>
        <v>12400</v>
      </c>
      <c r="E27" s="274">
        <f>+'B) Reajuste Tarifa y Ocupación'!L29</f>
        <v>14800</v>
      </c>
      <c r="F27" s="309">
        <f>+'B) Reajuste Tarifa y Ocupación'!M29</f>
        <v>15500</v>
      </c>
      <c r="G27" s="489"/>
      <c r="H27" s="466">
        <f>+'B) Reajuste Tarifa y Ocupación'!D29</f>
        <v>11900</v>
      </c>
      <c r="I27" s="466">
        <f>+'B) Reajuste Tarifa y Ocupación'!E29</f>
        <v>14100</v>
      </c>
      <c r="J27" s="467">
        <f>+'B) Reajuste Tarifa y Ocupación'!F29</f>
        <v>14800</v>
      </c>
      <c r="K27" s="484"/>
      <c r="L27" s="469">
        <f t="shared" si="2"/>
        <v>500</v>
      </c>
      <c r="M27" s="469">
        <f t="shared" si="2"/>
        <v>700</v>
      </c>
      <c r="N27" s="470">
        <f t="shared" si="2"/>
        <v>700</v>
      </c>
      <c r="O27" s="1455"/>
      <c r="P27" s="1455"/>
      <c r="Q27" s="1455"/>
      <c r="R27" s="1456"/>
    </row>
    <row r="28" spans="1:18" x14ac:dyDescent="0.35">
      <c r="A28" s="1448"/>
      <c r="B28" s="487" t="str">
        <f>+'B) Reajuste Tarifa y Ocupación'!B30</f>
        <v>DOBLE - MATRIMONIAL</v>
      </c>
      <c r="C28" s="510"/>
      <c r="D28" s="274">
        <f>+'B) Reajuste Tarifa y Ocupación'!K30</f>
        <v>17000</v>
      </c>
      <c r="E28" s="274">
        <f>+'B) Reajuste Tarifa y Ocupación'!L30</f>
        <v>20200</v>
      </c>
      <c r="F28" s="309">
        <f>+'B) Reajuste Tarifa y Ocupación'!M30</f>
        <v>21200</v>
      </c>
      <c r="G28" s="489"/>
      <c r="H28" s="466">
        <f>+'B) Reajuste Tarifa y Ocupación'!D30</f>
        <v>16300</v>
      </c>
      <c r="I28" s="466">
        <f>+'B) Reajuste Tarifa y Ocupación'!E30</f>
        <v>19400</v>
      </c>
      <c r="J28" s="467">
        <f>+'B) Reajuste Tarifa y Ocupación'!F30</f>
        <v>20300</v>
      </c>
      <c r="K28" s="484"/>
      <c r="L28" s="469">
        <f t="shared" si="2"/>
        <v>700</v>
      </c>
      <c r="M28" s="469">
        <f t="shared" si="2"/>
        <v>800</v>
      </c>
      <c r="N28" s="470">
        <f t="shared" si="2"/>
        <v>900</v>
      </c>
      <c r="O28" s="1455"/>
      <c r="P28" s="1455"/>
      <c r="Q28" s="1455"/>
      <c r="R28" s="1456"/>
    </row>
    <row r="29" spans="1:18" x14ac:dyDescent="0.35">
      <c r="A29" s="1448"/>
      <c r="B29" s="487" t="str">
        <f>+'B) Reajuste Tarifa y Ocupación'!B31</f>
        <v>TRIPLE</v>
      </c>
      <c r="C29" s="510"/>
      <c r="D29" s="274">
        <f>+'B) Reajuste Tarifa y Ocupación'!K31</f>
        <v>21600</v>
      </c>
      <c r="E29" s="274">
        <f>+'B) Reajuste Tarifa y Ocupación'!L31</f>
        <v>25600</v>
      </c>
      <c r="F29" s="309">
        <f>+'B) Reajuste Tarifa y Ocupación'!M31</f>
        <v>26900</v>
      </c>
      <c r="G29" s="489"/>
      <c r="H29" s="466">
        <f>+'B) Reajuste Tarifa y Ocupación'!D31</f>
        <v>20600</v>
      </c>
      <c r="I29" s="466">
        <f>+'B) Reajuste Tarifa y Ocupación'!E31</f>
        <v>24500</v>
      </c>
      <c r="J29" s="467">
        <f>+'B) Reajuste Tarifa y Ocupación'!F31</f>
        <v>25700</v>
      </c>
      <c r="K29" s="484"/>
      <c r="L29" s="469">
        <f t="shared" si="2"/>
        <v>1000</v>
      </c>
      <c r="M29" s="469">
        <f t="shared" si="2"/>
        <v>1100</v>
      </c>
      <c r="N29" s="470">
        <f t="shared" si="2"/>
        <v>1200</v>
      </c>
      <c r="O29" s="1455"/>
      <c r="P29" s="1455"/>
      <c r="Q29" s="1455"/>
      <c r="R29" s="1456"/>
    </row>
    <row r="30" spans="1:18" ht="15" thickBot="1" x14ac:dyDescent="0.4">
      <c r="A30" s="1449"/>
      <c r="B30" s="257" t="str">
        <f>+'B) Reajuste Tarifa y Ocupación'!B32</f>
        <v>CUADRUPLE</v>
      </c>
      <c r="C30" s="490"/>
      <c r="D30" s="253">
        <f>+'B) Reajuste Tarifa y Ocupación'!K32</f>
        <v>26100</v>
      </c>
      <c r="E30" s="253">
        <f>+'B) Reajuste Tarifa y Ocupación'!L32</f>
        <v>31100</v>
      </c>
      <c r="F30" s="160">
        <f>+'B) Reajuste Tarifa y Ocupación'!M32</f>
        <v>32600</v>
      </c>
      <c r="G30" s="491"/>
      <c r="H30" s="492">
        <f>+'B) Reajuste Tarifa y Ocupación'!D32</f>
        <v>25000</v>
      </c>
      <c r="I30" s="492">
        <f>+'B) Reajuste Tarifa y Ocupación'!E32</f>
        <v>29700</v>
      </c>
      <c r="J30" s="493">
        <f>+'B) Reajuste Tarifa y Ocupación'!F32</f>
        <v>31200</v>
      </c>
      <c r="K30" s="494"/>
      <c r="L30" s="495">
        <f t="shared" si="2"/>
        <v>1100</v>
      </c>
      <c r="M30" s="495">
        <f t="shared" si="2"/>
        <v>1400</v>
      </c>
      <c r="N30" s="496">
        <f t="shared" si="2"/>
        <v>1400</v>
      </c>
      <c r="O30" s="1457"/>
      <c r="P30" s="1457"/>
      <c r="Q30" s="1457"/>
      <c r="R30" s="1458"/>
    </row>
    <row r="31" spans="1:18" ht="16" thickBot="1" x14ac:dyDescent="0.4">
      <c r="A31" s="585" t="str">
        <f>+'B) Reajuste Tarifa y Ocupación'!A33</f>
        <v>CABAÑAS RIO SAN JUAN</v>
      </c>
      <c r="B31" s="448" t="str">
        <f>+'B) Reajuste Tarifa y Ocupación'!B33</f>
        <v>CABAÑA (6 PERS.)</v>
      </c>
      <c r="C31" s="511">
        <f>+'B) Reajuste Tarifa y Ocupación'!J33</f>
        <v>33000</v>
      </c>
      <c r="D31" s="512">
        <f>+'B) Reajuste Tarifa y Ocupación'!K33</f>
        <v>50700</v>
      </c>
      <c r="E31" s="512">
        <f>+'B) Reajuste Tarifa y Ocupación'!L33</f>
        <v>75500</v>
      </c>
      <c r="F31" s="513">
        <f>+'B) Reajuste Tarifa y Ocupación'!M33</f>
        <v>120700</v>
      </c>
      <c r="G31" s="514">
        <f>+'B) Reajuste Tarifa y Ocupación'!C33</f>
        <v>29500</v>
      </c>
      <c r="H31" s="506">
        <f>+'B) Reajuste Tarifa y Ocupación'!D33</f>
        <v>45300</v>
      </c>
      <c r="I31" s="506">
        <f>+'B) Reajuste Tarifa y Ocupación'!E33</f>
        <v>53900</v>
      </c>
      <c r="J31" s="507">
        <f>+'B) Reajuste Tarifa y Ocupación'!F33</f>
        <v>56500</v>
      </c>
      <c r="K31" s="455">
        <f>C31-G31</f>
        <v>3500</v>
      </c>
      <c r="L31" s="456">
        <f t="shared" si="2"/>
        <v>5400</v>
      </c>
      <c r="M31" s="456">
        <f t="shared" si="2"/>
        <v>21600</v>
      </c>
      <c r="N31" s="457">
        <f t="shared" si="2"/>
        <v>64200</v>
      </c>
      <c r="O31" s="459">
        <f t="shared" si="4"/>
        <v>0.11700000000000001</v>
      </c>
      <c r="P31" s="459">
        <f>+'B) Reajuste Tarifa y Ocupación'!G33</f>
        <v>0.11700000000000001</v>
      </c>
      <c r="Q31" s="459">
        <f>+'B) Reajuste Tarifa y Ocupación'!H33</f>
        <v>0.4</v>
      </c>
      <c r="R31" s="460">
        <f>+'B) Reajuste Tarifa y Ocupación'!I33</f>
        <v>1.135</v>
      </c>
    </row>
    <row r="32" spans="1:18" x14ac:dyDescent="0.35">
      <c r="A32" s="1447" t="str">
        <f>+'B) Reajuste Tarifa y Ocupación'!A34</f>
        <v>CENTRO RECREATIVO</v>
      </c>
      <c r="B32" s="448" t="str">
        <f>+'B) Reajuste Tarifa y Ocupación'!B34</f>
        <v>QUINCHO 20 PERS.</v>
      </c>
      <c r="C32" s="1126">
        <f>'B) Reajuste Tarifa y Ocupación'!J34</f>
        <v>28900</v>
      </c>
      <c r="D32" s="512">
        <f>+'B) Reajuste Tarifa y Ocupación'!K34</f>
        <v>44400</v>
      </c>
      <c r="E32" s="512">
        <f>+'B) Reajuste Tarifa y Ocupación'!L34</f>
        <v>68600</v>
      </c>
      <c r="F32" s="513">
        <f>+'B) Reajuste Tarifa y Ocupación'!M34</f>
        <v>109700</v>
      </c>
      <c r="G32" s="518"/>
      <c r="H32" s="506">
        <f>+'B) Reajuste Tarifa y Ocupación'!D34</f>
        <v>42400</v>
      </c>
      <c r="I32" s="506">
        <f>+'B) Reajuste Tarifa y Ocupación'!E34</f>
        <v>50400</v>
      </c>
      <c r="J32" s="507">
        <f>+'B) Reajuste Tarifa y Ocupación'!F34</f>
        <v>52800</v>
      </c>
      <c r="K32" s="519"/>
      <c r="L32" s="520">
        <f t="shared" ref="L32:N35" si="5">D32-H32</f>
        <v>2000</v>
      </c>
      <c r="M32" s="520">
        <f t="shared" si="5"/>
        <v>18200</v>
      </c>
      <c r="N32" s="521">
        <f t="shared" si="5"/>
        <v>56900</v>
      </c>
      <c r="O32" s="522"/>
      <c r="P32" s="508">
        <f>+'B) Reajuste Tarifa y Ocupación'!G34</f>
        <v>4.4999999999999998E-2</v>
      </c>
      <c r="Q32" s="508">
        <f>+'B) Reajuste Tarifa y Ocupación'!H34</f>
        <v>4.4999999999999998E-2</v>
      </c>
      <c r="R32" s="509">
        <f>+'B) Reajuste Tarifa y Ocupación'!I34</f>
        <v>4.4999999999999998E-2</v>
      </c>
    </row>
    <row r="33" spans="1:18" x14ac:dyDescent="0.35">
      <c r="A33" s="1448"/>
      <c r="B33" s="461" t="str">
        <f>+'B) Reajuste Tarifa y Ocupación'!B35</f>
        <v>QUINCHO 40 PERS.</v>
      </c>
      <c r="C33" s="1127">
        <f>'B) Reajuste Tarifa y Ocupación'!J35</f>
        <v>45200</v>
      </c>
      <c r="D33" s="463">
        <f>+'B) Reajuste Tarifa y Ocupación'!K35</f>
        <v>69500</v>
      </c>
      <c r="E33" s="463">
        <f>+'B) Reajuste Tarifa y Ocupación'!L35</f>
        <v>103000</v>
      </c>
      <c r="F33" s="464">
        <f>+'B) Reajuste Tarifa y Ocupación'!M35</f>
        <v>164700</v>
      </c>
      <c r="G33" s="489"/>
      <c r="H33" s="466">
        <f>+'B) Reajuste Tarifa y Ocupación'!D35</f>
        <v>66500</v>
      </c>
      <c r="I33" s="466">
        <f>+'B) Reajuste Tarifa y Ocupación'!E35</f>
        <v>79100</v>
      </c>
      <c r="J33" s="467">
        <f>+'B) Reajuste Tarifa y Ocupación'!F35</f>
        <v>82900</v>
      </c>
      <c r="K33" s="484"/>
      <c r="L33" s="523">
        <f t="shared" si="5"/>
        <v>3000</v>
      </c>
      <c r="M33" s="523">
        <f t="shared" si="5"/>
        <v>23900</v>
      </c>
      <c r="N33" s="474">
        <f t="shared" si="5"/>
        <v>81800</v>
      </c>
      <c r="O33" s="524"/>
      <c r="P33" s="472">
        <f>+'B) Reajuste Tarifa y Ocupación'!G35</f>
        <v>4.4999999999999998E-2</v>
      </c>
      <c r="Q33" s="472">
        <f>+'B) Reajuste Tarifa y Ocupación'!H35</f>
        <v>4.4999999999999998E-2</v>
      </c>
      <c r="R33" s="473">
        <f>+'B) Reajuste Tarifa y Ocupación'!I35</f>
        <v>4.4999999999999998E-2</v>
      </c>
    </row>
    <row r="34" spans="1:18" ht="15" thickBot="1" x14ac:dyDescent="0.4">
      <c r="A34" s="1449"/>
      <c r="B34" s="258" t="str">
        <f>+'B) Reajuste Tarifa y Ocupación'!B36</f>
        <v>QUINCHO 80 PERS.</v>
      </c>
      <c r="C34" s="1128">
        <f>'B) Reajuste Tarifa y Ocupación'!J36</f>
        <v>69900</v>
      </c>
      <c r="D34" s="253">
        <f>+'B) Reajuste Tarifa y Ocupación'!K36</f>
        <v>107400</v>
      </c>
      <c r="E34" s="253">
        <f>+'B) Reajuste Tarifa y Ocupación'!L36</f>
        <v>171500</v>
      </c>
      <c r="F34" s="160">
        <f>+'B) Reajuste Tarifa y Ocupación'!M36</f>
        <v>274500</v>
      </c>
      <c r="G34" s="491"/>
      <c r="H34" s="492">
        <f>+'B) Reajuste Tarifa y Ocupación'!D36</f>
        <v>102700</v>
      </c>
      <c r="I34" s="492">
        <f>+'B) Reajuste Tarifa y Ocupación'!E36</f>
        <v>122300</v>
      </c>
      <c r="J34" s="493">
        <f>+'B) Reajuste Tarifa y Ocupación'!F36</f>
        <v>128100</v>
      </c>
      <c r="K34" s="494"/>
      <c r="L34" s="525">
        <f t="shared" si="5"/>
        <v>4700</v>
      </c>
      <c r="M34" s="525">
        <f t="shared" si="5"/>
        <v>49200</v>
      </c>
      <c r="N34" s="526">
        <f t="shared" si="5"/>
        <v>146400</v>
      </c>
      <c r="O34" s="515"/>
      <c r="P34" s="516">
        <f>+'B) Reajuste Tarifa y Ocupación'!G36</f>
        <v>4.4999999999999998E-2</v>
      </c>
      <c r="Q34" s="516">
        <f>+'B) Reajuste Tarifa y Ocupación'!H36</f>
        <v>4.4999999999999998E-2</v>
      </c>
      <c r="R34" s="517">
        <f>+'B) Reajuste Tarifa y Ocupación'!I36</f>
        <v>4.4999999999999998E-2</v>
      </c>
    </row>
    <row r="35" spans="1:18" ht="31.5" thickBot="1" x14ac:dyDescent="0.4">
      <c r="A35" s="252" t="str">
        <f>+'B) Reajuste Tarifa y Ocupación'!A37</f>
        <v>SALA EVENTOS - QUINCHO BERMUDEZ</v>
      </c>
      <c r="B35" s="259" t="str">
        <f>+'B) Reajuste Tarifa y Ocupación'!B37</f>
        <v>SALA - QUINCHO 40 PERS.</v>
      </c>
      <c r="C35" s="1129">
        <f>'B) Reajuste Tarifa y Ocupación'!J37</f>
        <v>38000</v>
      </c>
      <c r="D35" s="255">
        <f>+'B) Reajuste Tarifa y Ocupación'!K37</f>
        <v>58400</v>
      </c>
      <c r="E35" s="527"/>
      <c r="F35" s="528"/>
      <c r="G35" s="529"/>
      <c r="H35" s="530">
        <f>+'B) Reajuste Tarifa y Ocupación'!D37</f>
        <v>54400</v>
      </c>
      <c r="I35" s="531"/>
      <c r="J35" s="532"/>
      <c r="K35" s="533"/>
      <c r="L35" s="534">
        <f t="shared" si="5"/>
        <v>4000</v>
      </c>
      <c r="M35" s="535"/>
      <c r="N35" s="536"/>
      <c r="O35" s="537"/>
      <c r="P35" s="538">
        <f>+'B) Reajuste Tarifa y Ocupación'!G37</f>
        <v>7.1999999999999995E-2</v>
      </c>
      <c r="Q35" s="535"/>
      <c r="R35" s="536"/>
    </row>
    <row r="36" spans="1:18" x14ac:dyDescent="0.35">
      <c r="C36" s="1170" t="s">
        <v>538</v>
      </c>
    </row>
    <row r="37" spans="1:18" x14ac:dyDescent="0.35">
      <c r="C37" s="1171" t="s">
        <v>546</v>
      </c>
    </row>
    <row r="38" spans="1:18" ht="15" thickBot="1" x14ac:dyDescent="0.4">
      <c r="C38" s="1172" t="s">
        <v>537</v>
      </c>
    </row>
  </sheetData>
  <sheetProtection algorithmName="SHA-512" hashValue="o8ZaErdPdS1ZE2ZPXAf0f9tNO2q/ctoMX3xMVRnASCzAF9Y+EUg+3xg5i2/gBlodwRT1MTs5UbPYhLwofmR63A==" saltValue="4L/n4h+hx2G+UsSKDR2ltg==" spinCount="100000" sheet="1" objects="1" scenarios="1"/>
  <mergeCells count="13">
    <mergeCell ref="F4:G4"/>
    <mergeCell ref="A6:B6"/>
    <mergeCell ref="A8:A9"/>
    <mergeCell ref="B8:B9"/>
    <mergeCell ref="C8:F8"/>
    <mergeCell ref="G8:J8"/>
    <mergeCell ref="A32:A34"/>
    <mergeCell ref="K8:N8"/>
    <mergeCell ref="O8:R8"/>
    <mergeCell ref="A10:A19"/>
    <mergeCell ref="O15:R19"/>
    <mergeCell ref="A21:A30"/>
    <mergeCell ref="O26:R30"/>
  </mergeCells>
  <pageMargins left="0.7" right="0.7" top="0.75" bottom="0.75" header="0.3" footer="0.3"/>
  <pageSetup paperSize="41"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Q168"/>
  <sheetViews>
    <sheetView showGridLines="0" topLeftCell="H145" zoomScale="70" zoomScaleNormal="70" workbookViewId="0">
      <selection activeCell="P155" sqref="P155"/>
    </sheetView>
  </sheetViews>
  <sheetFormatPr baseColWidth="10" defaultRowHeight="14.5" x14ac:dyDescent="0.35"/>
  <cols>
    <col min="1" max="1" width="7.1796875" style="144" customWidth="1"/>
    <col min="2" max="3" width="31.7265625" style="144" customWidth="1"/>
    <col min="4" max="4" width="28" style="144" customWidth="1"/>
    <col min="5" max="5" width="27.54296875" style="144" customWidth="1"/>
    <col min="6" max="6" width="41" style="144" customWidth="1"/>
    <col min="7" max="7" width="24.81640625" style="144" customWidth="1"/>
    <col min="8" max="9" width="19" style="144" customWidth="1"/>
    <col min="10" max="10" width="15.453125" style="144" customWidth="1"/>
    <col min="11" max="11" width="15.1796875" style="144" customWidth="1"/>
    <col min="12" max="12" width="50.1796875" style="144" bestFit="1" customWidth="1"/>
    <col min="13" max="13" width="25.81640625" style="144" customWidth="1"/>
    <col min="14" max="14" width="16.1796875" style="144" customWidth="1"/>
    <col min="15" max="15" width="17.1796875" style="144" customWidth="1"/>
    <col min="16" max="16" width="14.81640625" style="144" customWidth="1"/>
    <col min="17" max="17" width="17.7265625" style="144" customWidth="1"/>
  </cols>
  <sheetData>
    <row r="1" spans="1:17" x14ac:dyDescent="0.35">
      <c r="A1" s="2"/>
      <c r="B1" s="2"/>
      <c r="C1" s="2"/>
      <c r="D1" s="2"/>
      <c r="E1" s="2"/>
      <c r="F1" s="3"/>
      <c r="G1" s="3"/>
      <c r="H1" s="3"/>
      <c r="I1" s="3"/>
      <c r="J1" s="3"/>
      <c r="K1" s="3"/>
      <c r="L1" s="2"/>
      <c r="M1" s="2"/>
      <c r="N1" s="2"/>
      <c r="O1" s="2"/>
      <c r="P1" s="2"/>
      <c r="Q1" s="2"/>
    </row>
    <row r="2" spans="1:17" x14ac:dyDescent="0.35">
      <c r="A2" s="2"/>
      <c r="B2" s="2"/>
      <c r="C2" s="2"/>
      <c r="D2" s="2"/>
      <c r="E2" s="2"/>
      <c r="F2" s="3" t="s">
        <v>171</v>
      </c>
      <c r="G2" s="3"/>
      <c r="H2" s="3"/>
      <c r="I2" s="3"/>
      <c r="J2" s="3"/>
      <c r="K2" s="3"/>
      <c r="L2" s="2"/>
      <c r="M2" s="2"/>
      <c r="N2" s="2"/>
      <c r="O2" s="2"/>
      <c r="P2" s="2"/>
      <c r="Q2" s="2"/>
    </row>
    <row r="3" spans="1:17" x14ac:dyDescent="0.35">
      <c r="A3" s="2"/>
      <c r="B3" s="6"/>
      <c r="C3" s="6"/>
      <c r="D3" s="2"/>
      <c r="E3" s="2"/>
      <c r="F3" s="2"/>
      <c r="G3" s="2"/>
      <c r="H3" s="2"/>
      <c r="I3" s="2"/>
      <c r="J3" s="2"/>
      <c r="K3" s="2"/>
      <c r="L3" s="2"/>
      <c r="M3" s="2"/>
      <c r="N3" s="2"/>
      <c r="O3" s="2"/>
      <c r="P3" s="2"/>
      <c r="Q3" s="2"/>
    </row>
    <row r="4" spans="1:17" ht="15.5" x14ac:dyDescent="0.35">
      <c r="A4" s="2"/>
      <c r="B4" s="6"/>
      <c r="C4" s="6"/>
      <c r="D4" s="2"/>
      <c r="E4" s="161" t="s">
        <v>1</v>
      </c>
      <c r="F4" s="162" t="s">
        <v>2</v>
      </c>
      <c r="G4" s="163"/>
      <c r="H4" s="164"/>
      <c r="I4" s="164"/>
      <c r="J4" s="164"/>
      <c r="K4" s="164"/>
      <c r="L4" s="2"/>
      <c r="M4" s="2"/>
      <c r="N4" s="2"/>
      <c r="O4" s="7"/>
      <c r="P4" s="2"/>
      <c r="Q4" s="2"/>
    </row>
    <row r="5" spans="1:17" x14ac:dyDescent="0.35">
      <c r="A5" s="2"/>
      <c r="B5" s="6"/>
      <c r="C5" s="6"/>
      <c r="D5" s="2"/>
      <c r="E5" s="8"/>
      <c r="F5" s="3"/>
      <c r="G5" s="3"/>
      <c r="H5" s="3"/>
      <c r="I5" s="3"/>
      <c r="J5" s="3"/>
      <c r="K5" s="3"/>
      <c r="L5" s="2"/>
      <c r="M5" s="2"/>
      <c r="N5" s="2"/>
      <c r="O5" s="7"/>
      <c r="P5" s="2"/>
      <c r="Q5" s="2"/>
    </row>
    <row r="6" spans="1:17" x14ac:dyDescent="0.35">
      <c r="A6" s="2"/>
      <c r="B6" s="6"/>
      <c r="C6" s="6"/>
      <c r="D6" s="2"/>
      <c r="E6" s="2"/>
      <c r="F6" s="2"/>
      <c r="G6" s="2"/>
      <c r="H6" s="2"/>
      <c r="I6" s="2"/>
      <c r="J6" s="2"/>
      <c r="K6" s="2"/>
      <c r="L6" s="2"/>
      <c r="M6" s="2"/>
      <c r="N6" s="2"/>
      <c r="O6" s="2"/>
      <c r="P6" s="2"/>
      <c r="Q6" s="2"/>
    </row>
    <row r="7" spans="1:17" ht="15.5" x14ac:dyDescent="0.35">
      <c r="A7" s="2"/>
      <c r="B7" s="1482" t="s">
        <v>284</v>
      </c>
      <c r="C7" s="1482"/>
      <c r="D7" s="1482"/>
      <c r="E7" s="1482"/>
      <c r="F7" s="1482"/>
      <c r="G7" s="165"/>
      <c r="H7" s="165"/>
      <c r="I7" s="165"/>
      <c r="J7" s="165"/>
      <c r="K7" s="165"/>
      <c r="L7" s="166" t="s">
        <v>42</v>
      </c>
      <c r="M7" s="167">
        <v>4.4999999999999998E-2</v>
      </c>
      <c r="N7" s="2"/>
      <c r="O7" s="62"/>
      <c r="P7" s="2"/>
      <c r="Q7" s="2"/>
    </row>
    <row r="8" spans="1:17" ht="15" thickBot="1" x14ac:dyDescent="0.4">
      <c r="L8" s="166" t="s">
        <v>294</v>
      </c>
      <c r="M8" s="167">
        <v>0</v>
      </c>
    </row>
    <row r="9" spans="1:17" x14ac:dyDescent="0.35">
      <c r="B9" s="1483" t="s">
        <v>4</v>
      </c>
      <c r="C9" s="1485" t="s">
        <v>172</v>
      </c>
      <c r="D9" s="1487" t="s">
        <v>141</v>
      </c>
      <c r="E9" s="1489" t="s">
        <v>142</v>
      </c>
      <c r="F9" s="1474" t="s">
        <v>143</v>
      </c>
      <c r="G9" s="1474" t="s">
        <v>22</v>
      </c>
      <c r="H9" s="1474" t="s">
        <v>301</v>
      </c>
      <c r="I9" s="1474" t="s">
        <v>387</v>
      </c>
      <c r="J9" s="1474" t="s">
        <v>149</v>
      </c>
      <c r="K9" s="1476" t="s">
        <v>150</v>
      </c>
      <c r="L9" s="1478" t="s">
        <v>382</v>
      </c>
      <c r="M9" s="1480" t="s">
        <v>173</v>
      </c>
      <c r="P9" s="168"/>
      <c r="Q9" s="168"/>
    </row>
    <row r="10" spans="1:17" ht="24" customHeight="1" thickBot="1" x14ac:dyDescent="0.4">
      <c r="B10" s="1484"/>
      <c r="C10" s="1486"/>
      <c r="D10" s="1488"/>
      <c r="E10" s="1490"/>
      <c r="F10" s="1475"/>
      <c r="G10" s="1475"/>
      <c r="H10" s="1475"/>
      <c r="I10" s="1475"/>
      <c r="J10" s="1475"/>
      <c r="K10" s="1477"/>
      <c r="L10" s="1479"/>
      <c r="M10" s="1481"/>
      <c r="N10"/>
      <c r="O10" s="169"/>
      <c r="P10" s="169"/>
      <c r="Q10" s="170"/>
    </row>
    <row r="11" spans="1:17" x14ac:dyDescent="0.35">
      <c r="A11"/>
      <c r="B11" s="1469" t="str">
        <f>+'B) Reajuste Tarifa y Ocupación'!A12</f>
        <v>C.H. OFICIALES "FARO EVANGELISTAS"</v>
      </c>
      <c r="C11" s="1469" t="s">
        <v>174</v>
      </c>
      <c r="D11" s="1025" t="s">
        <v>314</v>
      </c>
      <c r="E11" s="1026" t="s">
        <v>315</v>
      </c>
      <c r="F11" s="1026" t="s">
        <v>316</v>
      </c>
      <c r="G11" s="343"/>
      <c r="H11" s="347">
        <v>8730000</v>
      </c>
      <c r="I11" s="443">
        <f>+H11*(1+$M$7)</f>
        <v>9122850</v>
      </c>
      <c r="J11" s="1027">
        <v>386476</v>
      </c>
      <c r="K11" s="347">
        <v>172472</v>
      </c>
      <c r="L11" s="348">
        <f>I11*(1+$M$8)+J11+K11</f>
        <v>9681798</v>
      </c>
      <c r="M11" s="1472">
        <f>SUM(L11:L38)</f>
        <v>122878770.40000001</v>
      </c>
      <c r="N11"/>
      <c r="O11" s="174"/>
      <c r="P11" s="174"/>
      <c r="Q11" s="175"/>
    </row>
    <row r="12" spans="1:17" x14ac:dyDescent="0.35">
      <c r="A12"/>
      <c r="B12" s="1469"/>
      <c r="C12" s="1469"/>
      <c r="D12" s="1028" t="s">
        <v>322</v>
      </c>
      <c r="E12" s="1029" t="s">
        <v>323</v>
      </c>
      <c r="F12" s="1029" t="s">
        <v>316</v>
      </c>
      <c r="G12" s="1030"/>
      <c r="H12" s="1031">
        <v>8401000</v>
      </c>
      <c r="I12" s="1042">
        <f t="shared" ref="I11:I21" si="0">+H12*(1+$M$7)</f>
        <v>8779045</v>
      </c>
      <c r="J12" s="1032">
        <v>386476</v>
      </c>
      <c r="K12" s="1031">
        <v>172472</v>
      </c>
      <c r="L12" s="417">
        <f t="shared" ref="L12:L75" si="1">I12*(1+$M$8)+J12+K12</f>
        <v>9337993</v>
      </c>
      <c r="M12" s="1472"/>
      <c r="N12"/>
    </row>
    <row r="13" spans="1:17" x14ac:dyDescent="0.35">
      <c r="A13"/>
      <c r="B13" s="1469"/>
      <c r="C13" s="1469"/>
      <c r="D13" s="1028" t="s">
        <v>324</v>
      </c>
      <c r="E13" s="1029" t="s">
        <v>325</v>
      </c>
      <c r="F13" s="1029" t="s">
        <v>316</v>
      </c>
      <c r="G13" s="1030"/>
      <c r="H13" s="1031">
        <v>9196000</v>
      </c>
      <c r="I13" s="1042">
        <f t="shared" si="0"/>
        <v>9609820</v>
      </c>
      <c r="J13" s="1032">
        <v>386476</v>
      </c>
      <c r="K13" s="1031">
        <v>172472</v>
      </c>
      <c r="L13" s="417">
        <f t="shared" si="1"/>
        <v>10168768</v>
      </c>
      <c r="M13" s="1472"/>
      <c r="N13"/>
    </row>
    <row r="14" spans="1:17" x14ac:dyDescent="0.35">
      <c r="A14"/>
      <c r="B14" s="1469"/>
      <c r="C14" s="1469"/>
      <c r="D14" s="1028" t="s">
        <v>328</v>
      </c>
      <c r="E14" s="1029" t="s">
        <v>329</v>
      </c>
      <c r="F14" s="1029" t="s">
        <v>316</v>
      </c>
      <c r="G14" s="1030"/>
      <c r="H14" s="1031">
        <v>9183000</v>
      </c>
      <c r="I14" s="1042">
        <f t="shared" si="0"/>
        <v>9596235</v>
      </c>
      <c r="J14" s="1032">
        <v>386476</v>
      </c>
      <c r="K14" s="1031">
        <v>172472</v>
      </c>
      <c r="L14" s="417">
        <f t="shared" si="1"/>
        <v>10155183</v>
      </c>
      <c r="M14" s="1472"/>
      <c r="N14" s="813"/>
    </row>
    <row r="15" spans="1:17" x14ac:dyDescent="0.35">
      <c r="A15"/>
      <c r="B15" s="1469"/>
      <c r="C15" s="1469"/>
      <c r="D15" s="1028" t="s">
        <v>317</v>
      </c>
      <c r="E15" s="1029" t="s">
        <v>318</v>
      </c>
      <c r="F15" s="1029" t="s">
        <v>550</v>
      </c>
      <c r="G15" s="1189">
        <v>0.7</v>
      </c>
      <c r="H15" s="1031">
        <v>6748000</v>
      </c>
      <c r="I15" s="1042">
        <f t="shared" si="0"/>
        <v>7051659.9999999991</v>
      </c>
      <c r="J15" s="1032">
        <v>272000</v>
      </c>
      <c r="K15" s="1031">
        <f>172472*0.7</f>
        <v>120730.4</v>
      </c>
      <c r="L15" s="417">
        <f t="shared" si="1"/>
        <v>7444390.3999999994</v>
      </c>
      <c r="M15" s="1472"/>
      <c r="N15" s="813"/>
    </row>
    <row r="16" spans="1:17" x14ac:dyDescent="0.35">
      <c r="A16"/>
      <c r="B16" s="1469"/>
      <c r="C16" s="1469"/>
      <c r="D16" s="1028" t="s">
        <v>320</v>
      </c>
      <c r="E16" s="1029" t="s">
        <v>321</v>
      </c>
      <c r="F16" s="1029" t="s">
        <v>319</v>
      </c>
      <c r="G16" s="1030"/>
      <c r="H16" s="1031">
        <v>10321000</v>
      </c>
      <c r="I16" s="1042">
        <f t="shared" si="0"/>
        <v>10785445</v>
      </c>
      <c r="J16" s="1032">
        <v>386476</v>
      </c>
      <c r="K16" s="1031">
        <v>172472</v>
      </c>
      <c r="L16" s="417">
        <f t="shared" si="1"/>
        <v>11344393</v>
      </c>
      <c r="M16" s="1472"/>
      <c r="N16" s="813"/>
    </row>
    <row r="17" spans="1:17" x14ac:dyDescent="0.35">
      <c r="A17"/>
      <c r="B17" s="1469"/>
      <c r="C17" s="1469"/>
      <c r="D17" s="1028" t="s">
        <v>326</v>
      </c>
      <c r="E17" s="1029" t="s">
        <v>327</v>
      </c>
      <c r="F17" s="1029" t="s">
        <v>319</v>
      </c>
      <c r="G17" s="1030"/>
      <c r="H17" s="1031">
        <v>9844000</v>
      </c>
      <c r="I17" s="1042">
        <f t="shared" si="0"/>
        <v>10286980</v>
      </c>
      <c r="J17" s="1032">
        <v>386476</v>
      </c>
      <c r="K17" s="1031">
        <v>172472</v>
      </c>
      <c r="L17" s="417">
        <f t="shared" si="1"/>
        <v>10845928</v>
      </c>
      <c r="M17" s="1472"/>
      <c r="N17"/>
    </row>
    <row r="18" spans="1:17" x14ac:dyDescent="0.35">
      <c r="A18"/>
      <c r="B18" s="1469"/>
      <c r="C18" s="1469"/>
      <c r="D18" s="1028" t="s">
        <v>481</v>
      </c>
      <c r="E18" s="1029" t="s">
        <v>482</v>
      </c>
      <c r="F18" s="1029" t="s">
        <v>319</v>
      </c>
      <c r="G18" s="1030"/>
      <c r="H18" s="1031">
        <v>9367000</v>
      </c>
      <c r="I18" s="1042">
        <f t="shared" si="0"/>
        <v>9788515</v>
      </c>
      <c r="J18" s="1032">
        <v>386476</v>
      </c>
      <c r="K18" s="1031">
        <v>172472</v>
      </c>
      <c r="L18" s="417">
        <f t="shared" si="1"/>
        <v>10347463</v>
      </c>
      <c r="M18" s="1472"/>
      <c r="N18"/>
    </row>
    <row r="19" spans="1:17" x14ac:dyDescent="0.35">
      <c r="A19"/>
      <c r="B19" s="1469"/>
      <c r="C19" s="1469"/>
      <c r="D19" s="1028" t="s">
        <v>348</v>
      </c>
      <c r="E19" s="1029" t="s">
        <v>349</v>
      </c>
      <c r="F19" s="1029" t="s">
        <v>549</v>
      </c>
      <c r="G19" s="1030" t="s">
        <v>548</v>
      </c>
      <c r="H19" s="1031">
        <v>10028000</v>
      </c>
      <c r="I19" s="1042">
        <f t="shared" si="0"/>
        <v>10479260</v>
      </c>
      <c r="J19" s="1032">
        <v>386476</v>
      </c>
      <c r="K19" s="1031">
        <v>172472</v>
      </c>
      <c r="L19" s="417">
        <f t="shared" si="1"/>
        <v>11038208</v>
      </c>
      <c r="M19" s="1472"/>
      <c r="N19" s="937"/>
    </row>
    <row r="20" spans="1:17" x14ac:dyDescent="0.35">
      <c r="A20"/>
      <c r="B20" s="1469"/>
      <c r="C20" s="1469"/>
      <c r="D20" s="1028" t="s">
        <v>333</v>
      </c>
      <c r="E20" s="1029" t="s">
        <v>334</v>
      </c>
      <c r="F20" s="1029" t="s">
        <v>335</v>
      </c>
      <c r="G20" s="1030"/>
      <c r="H20" s="1031">
        <v>10578000</v>
      </c>
      <c r="I20" s="1042">
        <f t="shared" si="0"/>
        <v>11054010</v>
      </c>
      <c r="J20" s="1032">
        <v>386476</v>
      </c>
      <c r="K20" s="1031">
        <v>172472</v>
      </c>
      <c r="L20" s="417">
        <f t="shared" si="1"/>
        <v>11612958</v>
      </c>
      <c r="M20" s="1472"/>
      <c r="N20"/>
    </row>
    <row r="21" spans="1:17" x14ac:dyDescent="0.35">
      <c r="A21"/>
      <c r="B21" s="1469"/>
      <c r="C21" s="1469"/>
      <c r="D21" s="1033" t="s">
        <v>330</v>
      </c>
      <c r="E21" s="1034" t="s">
        <v>331</v>
      </c>
      <c r="F21" s="1029" t="s">
        <v>332</v>
      </c>
      <c r="G21" s="1030"/>
      <c r="H21" s="1031">
        <v>19701000</v>
      </c>
      <c r="I21" s="1042">
        <f t="shared" si="0"/>
        <v>20587545</v>
      </c>
      <c r="J21" s="1032">
        <f>57331+85604</f>
        <v>142935</v>
      </c>
      <c r="K21" s="1035">
        <f>85604*2</f>
        <v>171208</v>
      </c>
      <c r="L21" s="417">
        <f t="shared" si="1"/>
        <v>20901688</v>
      </c>
      <c r="M21" s="1472"/>
      <c r="N21"/>
    </row>
    <row r="22" spans="1:17" x14ac:dyDescent="0.35">
      <c r="A22"/>
      <c r="B22" s="1469"/>
      <c r="C22" s="1469"/>
      <c r="D22" s="1028"/>
      <c r="E22" s="1029"/>
      <c r="F22" s="1029"/>
      <c r="G22" s="1036"/>
      <c r="H22" s="1037"/>
      <c r="I22" s="1042"/>
      <c r="J22" s="1032"/>
      <c r="K22" s="1031"/>
      <c r="L22" s="417">
        <f t="shared" si="1"/>
        <v>0</v>
      </c>
      <c r="M22" s="1472"/>
      <c r="N22"/>
    </row>
    <row r="23" spans="1:17" x14ac:dyDescent="0.35">
      <c r="A23"/>
      <c r="B23" s="1469"/>
      <c r="C23" s="1469"/>
      <c r="D23" s="176"/>
      <c r="E23" s="177"/>
      <c r="F23" s="177"/>
      <c r="G23" s="178"/>
      <c r="H23" s="439"/>
      <c r="I23" s="444"/>
      <c r="J23" s="441"/>
      <c r="K23" s="419"/>
      <c r="L23" s="417">
        <f t="shared" si="1"/>
        <v>0</v>
      </c>
      <c r="M23" s="1472"/>
      <c r="N23"/>
    </row>
    <row r="24" spans="1:17" ht="15" thickBot="1" x14ac:dyDescent="0.4">
      <c r="A24"/>
      <c r="B24" s="1469"/>
      <c r="C24" s="1470"/>
      <c r="D24" s="180"/>
      <c r="E24" s="149"/>
      <c r="F24" s="149"/>
      <c r="G24" s="181"/>
      <c r="H24" s="151"/>
      <c r="I24" s="445"/>
      <c r="J24" s="442"/>
      <c r="K24" s="151"/>
      <c r="L24" s="418">
        <f t="shared" si="1"/>
        <v>0</v>
      </c>
      <c r="M24" s="1472"/>
      <c r="N24"/>
      <c r="O24" s="174"/>
      <c r="P24" s="174"/>
      <c r="Q24" s="170"/>
    </row>
    <row r="25" spans="1:17" x14ac:dyDescent="0.35">
      <c r="A25"/>
      <c r="B25" s="1469"/>
      <c r="C25" s="1468" t="s">
        <v>175</v>
      </c>
      <c r="D25" s="179"/>
      <c r="E25" s="182"/>
      <c r="F25" s="147"/>
      <c r="G25" s="183"/>
      <c r="H25" s="352"/>
      <c r="I25" s="443"/>
      <c r="J25" s="446"/>
      <c r="K25" s="352"/>
      <c r="L25" s="348">
        <f t="shared" si="1"/>
        <v>0</v>
      </c>
      <c r="M25" s="1472"/>
      <c r="N25"/>
      <c r="O25" s="174"/>
      <c r="P25" s="174"/>
      <c r="Q25" s="170"/>
    </row>
    <row r="26" spans="1:17" x14ac:dyDescent="0.35">
      <c r="A26"/>
      <c r="B26" s="1469"/>
      <c r="C26" s="1469"/>
      <c r="D26" s="558"/>
      <c r="E26" s="557"/>
      <c r="F26" s="557"/>
      <c r="G26" s="559"/>
      <c r="H26" s="422"/>
      <c r="I26" s="444"/>
      <c r="J26" s="440"/>
      <c r="K26" s="422"/>
      <c r="L26" s="417">
        <f t="shared" si="1"/>
        <v>0</v>
      </c>
      <c r="M26" s="1472"/>
      <c r="N26"/>
      <c r="O26" s="174"/>
      <c r="P26" s="174"/>
      <c r="Q26" s="170"/>
    </row>
    <row r="27" spans="1:17" x14ac:dyDescent="0.35">
      <c r="A27"/>
      <c r="B27" s="1469"/>
      <c r="C27" s="1469"/>
      <c r="D27" s="558"/>
      <c r="E27" s="557"/>
      <c r="F27" s="557"/>
      <c r="G27" s="559"/>
      <c r="H27" s="422"/>
      <c r="I27" s="444"/>
      <c r="J27" s="440"/>
      <c r="K27" s="422"/>
      <c r="L27" s="417">
        <f t="shared" si="1"/>
        <v>0</v>
      </c>
      <c r="M27" s="1472"/>
      <c r="N27"/>
      <c r="O27" s="174"/>
      <c r="P27" s="174"/>
      <c r="Q27" s="170"/>
    </row>
    <row r="28" spans="1:17" x14ac:dyDescent="0.35">
      <c r="A28"/>
      <c r="B28" s="1469"/>
      <c r="C28" s="1469"/>
      <c r="D28" s="558"/>
      <c r="E28" s="557"/>
      <c r="F28" s="557"/>
      <c r="G28" s="559"/>
      <c r="H28" s="422"/>
      <c r="I28" s="444"/>
      <c r="J28" s="440"/>
      <c r="K28" s="422"/>
      <c r="L28" s="417">
        <f t="shared" si="1"/>
        <v>0</v>
      </c>
      <c r="M28" s="1472"/>
      <c r="N28"/>
      <c r="O28" s="174"/>
      <c r="P28" s="174"/>
      <c r="Q28" s="170"/>
    </row>
    <row r="29" spans="1:17" x14ac:dyDescent="0.35">
      <c r="A29"/>
      <c r="B29" s="1469"/>
      <c r="C29" s="1469"/>
      <c r="D29" s="558"/>
      <c r="E29" s="557"/>
      <c r="F29" s="557"/>
      <c r="G29" s="559"/>
      <c r="H29" s="422"/>
      <c r="I29" s="444"/>
      <c r="J29" s="440"/>
      <c r="K29" s="422"/>
      <c r="L29" s="417">
        <f t="shared" si="1"/>
        <v>0</v>
      </c>
      <c r="M29" s="1472"/>
      <c r="N29"/>
      <c r="O29" s="174"/>
      <c r="P29" s="174"/>
      <c r="Q29" s="170"/>
    </row>
    <row r="30" spans="1:17" x14ac:dyDescent="0.35">
      <c r="A30"/>
      <c r="B30" s="1469"/>
      <c r="C30" s="1469"/>
      <c r="D30" s="558"/>
      <c r="E30" s="557"/>
      <c r="F30" s="557"/>
      <c r="G30" s="559"/>
      <c r="H30" s="422"/>
      <c r="I30" s="444"/>
      <c r="J30" s="440"/>
      <c r="K30" s="422"/>
      <c r="L30" s="417">
        <f t="shared" si="1"/>
        <v>0</v>
      </c>
      <c r="M30" s="1472"/>
      <c r="N30"/>
      <c r="O30" s="174"/>
      <c r="P30" s="174"/>
      <c r="Q30" s="170"/>
    </row>
    <row r="31" spans="1:17" x14ac:dyDescent="0.35">
      <c r="A31"/>
      <c r="B31" s="1469"/>
      <c r="C31" s="1469"/>
      <c r="D31" s="558"/>
      <c r="E31" s="557"/>
      <c r="F31" s="557"/>
      <c r="G31" s="559"/>
      <c r="H31" s="422"/>
      <c r="I31" s="444"/>
      <c r="J31" s="440"/>
      <c r="K31" s="422"/>
      <c r="L31" s="417">
        <f t="shared" si="1"/>
        <v>0</v>
      </c>
      <c r="M31" s="1472"/>
      <c r="N31"/>
      <c r="O31" s="174"/>
      <c r="P31" s="174"/>
      <c r="Q31" s="170"/>
    </row>
    <row r="32" spans="1:17" x14ac:dyDescent="0.35">
      <c r="A32"/>
      <c r="B32" s="1469"/>
      <c r="C32" s="1469"/>
      <c r="D32" s="558"/>
      <c r="E32" s="557"/>
      <c r="F32" s="557"/>
      <c r="G32" s="559"/>
      <c r="H32" s="422"/>
      <c r="I32" s="444"/>
      <c r="J32" s="440"/>
      <c r="K32" s="422"/>
      <c r="L32" s="417">
        <f t="shared" si="1"/>
        <v>0</v>
      </c>
      <c r="M32" s="1472"/>
      <c r="N32"/>
      <c r="O32" s="174"/>
      <c r="P32" s="174"/>
      <c r="Q32" s="170"/>
    </row>
    <row r="33" spans="1:17" x14ac:dyDescent="0.35">
      <c r="A33"/>
      <c r="B33" s="1469"/>
      <c r="C33" s="1469"/>
      <c r="D33" s="558"/>
      <c r="E33" s="557"/>
      <c r="F33" s="557"/>
      <c r="G33" s="559"/>
      <c r="H33" s="422"/>
      <c r="I33" s="444"/>
      <c r="J33" s="440"/>
      <c r="K33" s="422"/>
      <c r="L33" s="417">
        <f t="shared" si="1"/>
        <v>0</v>
      </c>
      <c r="M33" s="1472"/>
      <c r="N33"/>
      <c r="O33" s="174"/>
      <c r="P33" s="174"/>
      <c r="Q33" s="170"/>
    </row>
    <row r="34" spans="1:17" x14ac:dyDescent="0.35">
      <c r="A34"/>
      <c r="B34" s="1469"/>
      <c r="C34" s="1469"/>
      <c r="D34" s="176"/>
      <c r="E34" s="148"/>
      <c r="F34" s="148"/>
      <c r="G34" s="184"/>
      <c r="H34" s="439"/>
      <c r="I34" s="444"/>
      <c r="J34" s="441"/>
      <c r="K34" s="419"/>
      <c r="L34" s="417">
        <f t="shared" si="1"/>
        <v>0</v>
      </c>
      <c r="M34" s="1472"/>
      <c r="N34"/>
      <c r="O34" s="174"/>
      <c r="P34" s="174"/>
      <c r="Q34" s="170"/>
    </row>
    <row r="35" spans="1:17" x14ac:dyDescent="0.35">
      <c r="A35"/>
      <c r="B35" s="1469"/>
      <c r="C35" s="1469"/>
      <c r="D35" s="176"/>
      <c r="E35" s="148"/>
      <c r="F35" s="148"/>
      <c r="G35" s="184"/>
      <c r="H35" s="439"/>
      <c r="I35" s="444"/>
      <c r="J35" s="441"/>
      <c r="K35" s="419"/>
      <c r="L35" s="417">
        <f t="shared" si="1"/>
        <v>0</v>
      </c>
      <c r="M35" s="1472"/>
      <c r="N35"/>
      <c r="O35" s="174"/>
      <c r="P35" s="174"/>
      <c r="Q35" s="170"/>
    </row>
    <row r="36" spans="1:17" x14ac:dyDescent="0.35">
      <c r="A36"/>
      <c r="B36" s="1469"/>
      <c r="C36" s="1469"/>
      <c r="D36" s="176"/>
      <c r="E36" s="148"/>
      <c r="F36" s="148"/>
      <c r="G36" s="184"/>
      <c r="H36" s="439"/>
      <c r="I36" s="444"/>
      <c r="J36" s="441"/>
      <c r="K36" s="419"/>
      <c r="L36" s="417">
        <f t="shared" si="1"/>
        <v>0</v>
      </c>
      <c r="M36" s="1472"/>
      <c r="N36"/>
      <c r="O36" s="174"/>
      <c r="P36" s="174"/>
      <c r="Q36" s="170"/>
    </row>
    <row r="37" spans="1:17" x14ac:dyDescent="0.35">
      <c r="A37"/>
      <c r="B37" s="1469"/>
      <c r="C37" s="1469"/>
      <c r="D37" s="179"/>
      <c r="E37" s="148"/>
      <c r="F37" s="148"/>
      <c r="G37" s="184"/>
      <c r="H37" s="439"/>
      <c r="I37" s="444"/>
      <c r="J37" s="441"/>
      <c r="K37" s="419"/>
      <c r="L37" s="417">
        <f t="shared" si="1"/>
        <v>0</v>
      </c>
      <c r="M37" s="1472"/>
      <c r="N37"/>
      <c r="O37" s="174"/>
      <c r="P37" s="174"/>
      <c r="Q37" s="170"/>
    </row>
    <row r="38" spans="1:17" ht="15" thickBot="1" x14ac:dyDescent="0.4">
      <c r="B38" s="1470"/>
      <c r="C38" s="1470"/>
      <c r="D38" s="185"/>
      <c r="E38" s="149"/>
      <c r="F38" s="149"/>
      <c r="G38" s="186"/>
      <c r="H38" s="151"/>
      <c r="I38" s="445"/>
      <c r="J38" s="442"/>
      <c r="K38" s="151"/>
      <c r="L38" s="418">
        <f t="shared" si="1"/>
        <v>0</v>
      </c>
      <c r="M38" s="1473"/>
      <c r="N38"/>
      <c r="O38" s="174"/>
      <c r="P38" s="174"/>
      <c r="Q38" s="174"/>
    </row>
    <row r="39" spans="1:17" x14ac:dyDescent="0.35">
      <c r="B39" s="1469" t="str">
        <f>+'B) Reajuste Tarifa y Ocupación'!A22</f>
        <v>CABAÑAS TORRES DEL PAINE</v>
      </c>
      <c r="C39" s="1469" t="s">
        <v>174</v>
      </c>
      <c r="D39" s="171"/>
      <c r="E39" s="172"/>
      <c r="F39" s="172"/>
      <c r="G39" s="173"/>
      <c r="H39" s="420"/>
      <c r="I39" s="443"/>
      <c r="J39" s="447"/>
      <c r="K39" s="420"/>
      <c r="L39" s="348">
        <f t="shared" si="1"/>
        <v>0</v>
      </c>
      <c r="M39" s="1472">
        <f>SUM(L39:L52)</f>
        <v>0</v>
      </c>
      <c r="N39"/>
      <c r="O39" s="174"/>
      <c r="P39" s="174"/>
      <c r="Q39" s="175"/>
    </row>
    <row r="40" spans="1:17" x14ac:dyDescent="0.35">
      <c r="B40" s="1469"/>
      <c r="C40" s="1469"/>
      <c r="D40" s="176"/>
      <c r="E40" s="148"/>
      <c r="F40" s="148"/>
      <c r="G40" s="184"/>
      <c r="H40" s="439"/>
      <c r="I40" s="444"/>
      <c r="J40" s="441"/>
      <c r="K40" s="421"/>
      <c r="L40" s="417">
        <f t="shared" si="1"/>
        <v>0</v>
      </c>
      <c r="M40" s="1472"/>
      <c r="N40"/>
      <c r="O40" s="174"/>
      <c r="P40" s="174"/>
      <c r="Q40" s="170"/>
    </row>
    <row r="41" spans="1:17" x14ac:dyDescent="0.35">
      <c r="B41" s="1469"/>
      <c r="C41" s="1469"/>
      <c r="D41" s="176"/>
      <c r="E41" s="148"/>
      <c r="F41" s="148"/>
      <c r="G41" s="184"/>
      <c r="H41" s="439"/>
      <c r="I41" s="444"/>
      <c r="J41" s="441"/>
      <c r="K41" s="421"/>
      <c r="L41" s="417">
        <f t="shared" si="1"/>
        <v>0</v>
      </c>
      <c r="M41" s="1472"/>
      <c r="N41"/>
      <c r="O41" s="174"/>
      <c r="P41" s="174"/>
      <c r="Q41" s="170"/>
    </row>
    <row r="42" spans="1:17" x14ac:dyDescent="0.35">
      <c r="B42" s="1469"/>
      <c r="C42" s="1469"/>
      <c r="D42" s="176"/>
      <c r="E42" s="148"/>
      <c r="F42" s="148"/>
      <c r="G42" s="184"/>
      <c r="H42" s="439"/>
      <c r="I42" s="444"/>
      <c r="J42" s="441"/>
      <c r="K42" s="421"/>
      <c r="L42" s="417">
        <f t="shared" si="1"/>
        <v>0</v>
      </c>
      <c r="M42" s="1472"/>
      <c r="N42"/>
      <c r="O42" s="174"/>
      <c r="P42" s="174"/>
      <c r="Q42" s="170"/>
    </row>
    <row r="43" spans="1:17" x14ac:dyDescent="0.35">
      <c r="B43" s="1469"/>
      <c r="C43" s="1469"/>
      <c r="D43" s="176"/>
      <c r="E43" s="148"/>
      <c r="F43" s="148"/>
      <c r="G43" s="184"/>
      <c r="H43" s="439"/>
      <c r="I43" s="444"/>
      <c r="J43" s="441"/>
      <c r="K43" s="421"/>
      <c r="L43" s="417">
        <f t="shared" si="1"/>
        <v>0</v>
      </c>
      <c r="M43" s="1472"/>
      <c r="N43"/>
      <c r="O43" s="174"/>
      <c r="P43" s="174"/>
      <c r="Q43" s="170"/>
    </row>
    <row r="44" spans="1:17" x14ac:dyDescent="0.35">
      <c r="B44" s="1469"/>
      <c r="C44" s="1469"/>
      <c r="D44" s="176"/>
      <c r="E44" s="148"/>
      <c r="F44" s="148"/>
      <c r="G44" s="184"/>
      <c r="H44" s="439"/>
      <c r="I44" s="444"/>
      <c r="J44" s="441"/>
      <c r="K44" s="421"/>
      <c r="L44" s="417">
        <f t="shared" si="1"/>
        <v>0</v>
      </c>
      <c r="M44" s="1472"/>
      <c r="N44"/>
      <c r="O44" s="174"/>
      <c r="P44" s="174"/>
      <c r="Q44" s="170"/>
    </row>
    <row r="45" spans="1:17" x14ac:dyDescent="0.35">
      <c r="B45" s="1469"/>
      <c r="C45" s="1469"/>
      <c r="D45" s="176"/>
      <c r="E45" s="148"/>
      <c r="F45" s="148"/>
      <c r="G45" s="184"/>
      <c r="H45" s="439"/>
      <c r="I45" s="444"/>
      <c r="J45" s="441"/>
      <c r="K45" s="421"/>
      <c r="L45" s="417">
        <f t="shared" si="1"/>
        <v>0</v>
      </c>
      <c r="M45" s="1472"/>
      <c r="N45"/>
      <c r="O45" s="174"/>
      <c r="P45" s="174"/>
      <c r="Q45" s="170"/>
    </row>
    <row r="46" spans="1:17" x14ac:dyDescent="0.35">
      <c r="B46" s="1469"/>
      <c r="C46" s="1469"/>
      <c r="D46" s="176"/>
      <c r="E46" s="148"/>
      <c r="F46" s="148"/>
      <c r="G46" s="184"/>
      <c r="H46" s="439"/>
      <c r="I46" s="444"/>
      <c r="J46" s="441"/>
      <c r="K46" s="421"/>
      <c r="L46" s="417">
        <f t="shared" si="1"/>
        <v>0</v>
      </c>
      <c r="M46" s="1472"/>
      <c r="N46"/>
      <c r="O46" s="174"/>
      <c r="P46" s="174"/>
      <c r="Q46" s="170"/>
    </row>
    <row r="47" spans="1:17" x14ac:dyDescent="0.35">
      <c r="B47" s="1469"/>
      <c r="C47" s="1469"/>
      <c r="D47" s="176"/>
      <c r="E47" s="148"/>
      <c r="F47" s="148"/>
      <c r="G47" s="184"/>
      <c r="H47" s="439"/>
      <c r="I47" s="444"/>
      <c r="J47" s="441"/>
      <c r="K47" s="421"/>
      <c r="L47" s="417">
        <f t="shared" si="1"/>
        <v>0</v>
      </c>
      <c r="M47" s="1472"/>
      <c r="N47"/>
      <c r="O47" s="174"/>
      <c r="P47" s="174"/>
      <c r="Q47" s="170"/>
    </row>
    <row r="48" spans="1:17" x14ac:dyDescent="0.35">
      <c r="B48" s="1469"/>
      <c r="C48" s="1469"/>
      <c r="D48" s="176"/>
      <c r="E48" s="148"/>
      <c r="F48" s="148"/>
      <c r="G48" s="184"/>
      <c r="H48" s="439"/>
      <c r="I48" s="444"/>
      <c r="J48" s="441"/>
      <c r="K48" s="421"/>
      <c r="L48" s="417">
        <f t="shared" si="1"/>
        <v>0</v>
      </c>
      <c r="M48" s="1472"/>
      <c r="N48"/>
      <c r="O48" s="174"/>
      <c r="P48" s="174"/>
      <c r="Q48" s="170"/>
    </row>
    <row r="49" spans="2:17" x14ac:dyDescent="0.35">
      <c r="B49" s="1469"/>
      <c r="C49" s="1469"/>
      <c r="D49" s="176"/>
      <c r="E49" s="148"/>
      <c r="F49" s="148"/>
      <c r="G49" s="184"/>
      <c r="H49" s="439"/>
      <c r="I49" s="444"/>
      <c r="J49" s="441"/>
      <c r="K49" s="421"/>
      <c r="L49" s="417">
        <f t="shared" si="1"/>
        <v>0</v>
      </c>
      <c r="M49" s="1472"/>
      <c r="N49"/>
      <c r="O49" s="174"/>
      <c r="P49" s="174"/>
      <c r="Q49" s="170"/>
    </row>
    <row r="50" spans="2:17" x14ac:dyDescent="0.35">
      <c r="B50" s="1469"/>
      <c r="C50" s="1469"/>
      <c r="D50" s="176"/>
      <c r="E50" s="148"/>
      <c r="F50" s="148"/>
      <c r="G50" s="184"/>
      <c r="H50" s="439"/>
      <c r="I50" s="444"/>
      <c r="J50" s="441"/>
      <c r="K50" s="421"/>
      <c r="L50" s="417">
        <f t="shared" si="1"/>
        <v>0</v>
      </c>
      <c r="M50" s="1472"/>
      <c r="N50"/>
      <c r="O50" s="174"/>
      <c r="P50" s="174"/>
      <c r="Q50" s="170"/>
    </row>
    <row r="51" spans="2:17" x14ac:dyDescent="0.35">
      <c r="B51" s="1469"/>
      <c r="C51" s="1469"/>
      <c r="D51" s="176"/>
      <c r="E51" s="148"/>
      <c r="F51" s="148"/>
      <c r="G51" s="184"/>
      <c r="H51" s="439"/>
      <c r="I51" s="444"/>
      <c r="J51" s="441"/>
      <c r="K51" s="421"/>
      <c r="L51" s="417">
        <f t="shared" si="1"/>
        <v>0</v>
      </c>
      <c r="M51" s="1472"/>
      <c r="N51"/>
      <c r="O51" s="174"/>
      <c r="P51" s="174"/>
      <c r="Q51" s="170"/>
    </row>
    <row r="52" spans="2:17" ht="15" thickBot="1" x14ac:dyDescent="0.4">
      <c r="B52" s="1469"/>
      <c r="C52" s="1470"/>
      <c r="D52" s="150"/>
      <c r="E52" s="149"/>
      <c r="F52" s="149"/>
      <c r="G52" s="186"/>
      <c r="H52" s="151"/>
      <c r="I52" s="445"/>
      <c r="J52" s="442"/>
      <c r="K52" s="151"/>
      <c r="L52" s="418">
        <f t="shared" si="1"/>
        <v>0</v>
      </c>
      <c r="M52" s="1472"/>
      <c r="N52"/>
    </row>
    <row r="53" spans="2:17" x14ac:dyDescent="0.35">
      <c r="B53" s="1468" t="str">
        <f>+'B) Reajuste Tarifa y Ocupación'!A23</f>
        <v>C.H. GENTE DE MAR "FARO DUNGENESS"</v>
      </c>
      <c r="C53" s="1469" t="s">
        <v>174</v>
      </c>
      <c r="D53" s="1033" t="s">
        <v>344</v>
      </c>
      <c r="E53" s="1034" t="s">
        <v>345</v>
      </c>
      <c r="F53" s="1034" t="s">
        <v>316</v>
      </c>
      <c r="G53" s="1036"/>
      <c r="H53" s="1037">
        <v>9936000</v>
      </c>
      <c r="I53" s="443">
        <f t="shared" ref="I53:I60" si="2">+H53*(1+$M$7)</f>
        <v>10383120</v>
      </c>
      <c r="J53" s="1027">
        <v>386476</v>
      </c>
      <c r="K53" s="347">
        <v>172472</v>
      </c>
      <c r="L53" s="348">
        <f t="shared" si="1"/>
        <v>10942068</v>
      </c>
      <c r="M53" s="1471">
        <f>SUM(L53:L80)</f>
        <v>83669610.400000006</v>
      </c>
      <c r="N53"/>
    </row>
    <row r="54" spans="2:17" x14ac:dyDescent="0.35">
      <c r="B54" s="1469"/>
      <c r="C54" s="1469"/>
      <c r="D54" s="1033" t="s">
        <v>346</v>
      </c>
      <c r="E54" s="1034" t="s">
        <v>347</v>
      </c>
      <c r="F54" s="1034" t="s">
        <v>316</v>
      </c>
      <c r="G54" s="1036"/>
      <c r="H54" s="1037">
        <v>8473000</v>
      </c>
      <c r="I54" s="1042">
        <f t="shared" si="2"/>
        <v>8854285</v>
      </c>
      <c r="J54" s="1032">
        <v>386476</v>
      </c>
      <c r="K54" s="1031">
        <v>172472</v>
      </c>
      <c r="L54" s="417">
        <f t="shared" si="1"/>
        <v>9413233</v>
      </c>
      <c r="M54" s="1472"/>
      <c r="N54"/>
    </row>
    <row r="55" spans="2:17" x14ac:dyDescent="0.35">
      <c r="B55" s="1469"/>
      <c r="C55" s="1469"/>
      <c r="D55" s="1033" t="s">
        <v>336</v>
      </c>
      <c r="E55" s="1034" t="s">
        <v>337</v>
      </c>
      <c r="F55" s="1034" t="s">
        <v>319</v>
      </c>
      <c r="G55" s="1036"/>
      <c r="H55" s="1037">
        <v>9864000</v>
      </c>
      <c r="I55" s="1042">
        <f t="shared" si="2"/>
        <v>10307880</v>
      </c>
      <c r="J55" s="1032">
        <v>386476</v>
      </c>
      <c r="K55" s="1031">
        <v>172472</v>
      </c>
      <c r="L55" s="417">
        <f t="shared" si="1"/>
        <v>10866828</v>
      </c>
      <c r="M55" s="1472"/>
      <c r="N55"/>
    </row>
    <row r="56" spans="2:17" x14ac:dyDescent="0.35">
      <c r="B56" s="1469"/>
      <c r="C56" s="1469"/>
      <c r="D56" s="1028" t="s">
        <v>317</v>
      </c>
      <c r="E56" s="1029" t="s">
        <v>318</v>
      </c>
      <c r="F56" s="1029" t="s">
        <v>547</v>
      </c>
      <c r="G56" s="1189">
        <v>0.3</v>
      </c>
      <c r="H56" s="1037">
        <v>2892000</v>
      </c>
      <c r="I56" s="1042">
        <f t="shared" si="2"/>
        <v>3022140</v>
      </c>
      <c r="J56" s="1032">
        <f>386476*0.3</f>
        <v>115942.8</v>
      </c>
      <c r="K56" s="1031">
        <f>172472*0.3</f>
        <v>51741.599999999999</v>
      </c>
      <c r="L56" s="417">
        <f t="shared" si="1"/>
        <v>3189824.4</v>
      </c>
      <c r="M56" s="1472"/>
      <c r="N56"/>
    </row>
    <row r="57" spans="2:17" x14ac:dyDescent="0.35">
      <c r="B57" s="1469"/>
      <c r="C57" s="1469"/>
      <c r="D57" s="1033" t="s">
        <v>342</v>
      </c>
      <c r="E57" s="1034" t="s">
        <v>343</v>
      </c>
      <c r="F57" s="1034" t="s">
        <v>319</v>
      </c>
      <c r="G57" s="350"/>
      <c r="H57" s="561">
        <v>9777000</v>
      </c>
      <c r="I57" s="1042">
        <f t="shared" si="2"/>
        <v>10216965</v>
      </c>
      <c r="J57" s="1032">
        <v>386476</v>
      </c>
      <c r="K57" s="1031">
        <v>172472</v>
      </c>
      <c r="L57" s="417">
        <f t="shared" si="1"/>
        <v>10775913</v>
      </c>
      <c r="M57" s="1472"/>
      <c r="N57"/>
    </row>
    <row r="58" spans="2:17" x14ac:dyDescent="0.35">
      <c r="B58" s="1469"/>
      <c r="C58" s="1469"/>
      <c r="D58" s="1033" t="s">
        <v>483</v>
      </c>
      <c r="E58" s="1034" t="s">
        <v>484</v>
      </c>
      <c r="F58" s="1034" t="s">
        <v>319</v>
      </c>
      <c r="G58" s="1036"/>
      <c r="H58" s="1031">
        <v>9606000</v>
      </c>
      <c r="I58" s="1042">
        <f t="shared" si="2"/>
        <v>10038270</v>
      </c>
      <c r="J58" s="1032">
        <v>386476</v>
      </c>
      <c r="K58" s="1031">
        <v>172472</v>
      </c>
      <c r="L58" s="417">
        <f t="shared" si="1"/>
        <v>10597218</v>
      </c>
      <c r="M58" s="1472"/>
      <c r="N58"/>
    </row>
    <row r="59" spans="2:17" x14ac:dyDescent="0.35">
      <c r="B59" s="1469"/>
      <c r="C59" s="1469"/>
      <c r="D59" s="1033" t="s">
        <v>340</v>
      </c>
      <c r="E59" s="1034" t="s">
        <v>341</v>
      </c>
      <c r="F59" s="1034" t="s">
        <v>335</v>
      </c>
      <c r="G59" s="1036"/>
      <c r="H59" s="1037">
        <v>11560000</v>
      </c>
      <c r="I59" s="1042">
        <f t="shared" si="2"/>
        <v>12080200</v>
      </c>
      <c r="J59" s="1032">
        <v>386476</v>
      </c>
      <c r="K59" s="1031">
        <v>172472</v>
      </c>
      <c r="L59" s="417">
        <f t="shared" si="1"/>
        <v>12639148</v>
      </c>
      <c r="M59" s="1472"/>
      <c r="N59"/>
    </row>
    <row r="60" spans="2:17" x14ac:dyDescent="0.35">
      <c r="B60" s="1469"/>
      <c r="C60" s="1469"/>
      <c r="D60" s="1033" t="s">
        <v>338</v>
      </c>
      <c r="E60" s="1034" t="s">
        <v>339</v>
      </c>
      <c r="F60" s="1034" t="s">
        <v>485</v>
      </c>
      <c r="G60" s="1036"/>
      <c r="H60" s="1037">
        <v>14054000</v>
      </c>
      <c r="I60" s="1042">
        <f t="shared" si="2"/>
        <v>14686429.999999998</v>
      </c>
      <c r="J60" s="1032">
        <v>386476</v>
      </c>
      <c r="K60" s="1031">
        <v>172472</v>
      </c>
      <c r="L60" s="417">
        <f t="shared" si="1"/>
        <v>15245377.999999998</v>
      </c>
      <c r="M60" s="1472"/>
      <c r="N60"/>
    </row>
    <row r="61" spans="2:17" x14ac:dyDescent="0.35">
      <c r="B61" s="1469"/>
      <c r="C61" s="1469"/>
      <c r="D61" s="1033"/>
      <c r="E61" s="1034"/>
      <c r="F61" s="1034"/>
      <c r="G61" s="1036"/>
      <c r="H61" s="1037"/>
      <c r="I61" s="1042"/>
      <c r="J61" s="1032"/>
      <c r="K61" s="1031"/>
      <c r="L61" s="417">
        <f t="shared" si="1"/>
        <v>0</v>
      </c>
      <c r="M61" s="1472"/>
      <c r="N61"/>
    </row>
    <row r="62" spans="2:17" x14ac:dyDescent="0.35">
      <c r="B62" s="1469"/>
      <c r="C62" s="1469"/>
      <c r="D62" s="1033"/>
      <c r="E62" s="1034"/>
      <c r="F62" s="1034"/>
      <c r="G62" s="1036"/>
      <c r="H62" s="1037"/>
      <c r="I62" s="1042"/>
      <c r="J62" s="1032"/>
      <c r="K62" s="1035"/>
      <c r="L62" s="417">
        <f t="shared" si="1"/>
        <v>0</v>
      </c>
      <c r="M62" s="1472"/>
      <c r="N62"/>
    </row>
    <row r="63" spans="2:17" x14ac:dyDescent="0.35">
      <c r="B63" s="1469"/>
      <c r="C63" s="1469"/>
      <c r="D63" s="1028"/>
      <c r="E63" s="1029"/>
      <c r="F63" s="1029"/>
      <c r="G63" s="1030"/>
      <c r="H63" s="1031"/>
      <c r="I63" s="1042"/>
      <c r="J63" s="1032"/>
      <c r="K63" s="1031"/>
      <c r="L63" s="417">
        <f t="shared" si="1"/>
        <v>0</v>
      </c>
      <c r="M63" s="1472"/>
      <c r="N63"/>
      <c r="O63"/>
      <c r="P63"/>
      <c r="Q63"/>
    </row>
    <row r="64" spans="2:17" x14ac:dyDescent="0.35">
      <c r="B64" s="1469"/>
      <c r="C64" s="1469"/>
      <c r="D64" s="976"/>
      <c r="E64" s="1038"/>
      <c r="F64" s="1038"/>
      <c r="G64" s="1039"/>
      <c r="H64" s="1040"/>
      <c r="I64" s="1042"/>
      <c r="J64" s="1041"/>
      <c r="K64" s="1040"/>
      <c r="L64" s="417">
        <f t="shared" si="1"/>
        <v>0</v>
      </c>
      <c r="M64" s="1472"/>
      <c r="N64"/>
      <c r="O64" s="174"/>
      <c r="P64" s="174"/>
      <c r="Q64" s="170"/>
    </row>
    <row r="65" spans="2:17" x14ac:dyDescent="0.35">
      <c r="B65" s="1469"/>
      <c r="C65" s="1469"/>
      <c r="D65" s="176"/>
      <c r="E65" s="148"/>
      <c r="F65" s="148"/>
      <c r="G65" s="184"/>
      <c r="H65" s="439"/>
      <c r="I65" s="444"/>
      <c r="J65" s="441"/>
      <c r="K65" s="419"/>
      <c r="L65" s="417">
        <f t="shared" si="1"/>
        <v>0</v>
      </c>
      <c r="M65" s="1472"/>
      <c r="N65"/>
      <c r="O65" s="174"/>
      <c r="P65" s="174"/>
      <c r="Q65" s="170"/>
    </row>
    <row r="66" spans="2:17" ht="15" thickBot="1" x14ac:dyDescent="0.4">
      <c r="B66" s="1469"/>
      <c r="C66" s="1470"/>
      <c r="D66" s="150"/>
      <c r="E66" s="149"/>
      <c r="F66" s="149"/>
      <c r="G66" s="186"/>
      <c r="H66" s="151"/>
      <c r="I66" s="445"/>
      <c r="J66" s="442"/>
      <c r="K66" s="151"/>
      <c r="L66" s="424">
        <f t="shared" si="1"/>
        <v>0</v>
      </c>
      <c r="M66" s="1472"/>
      <c r="N66"/>
      <c r="O66" s="174"/>
      <c r="P66" s="174"/>
      <c r="Q66" s="170"/>
    </row>
    <row r="67" spans="2:17" x14ac:dyDescent="0.35">
      <c r="B67" s="1469"/>
      <c r="C67" s="1468" t="s">
        <v>175</v>
      </c>
      <c r="D67" s="146"/>
      <c r="E67" s="147"/>
      <c r="F67" s="147"/>
      <c r="G67" s="183"/>
      <c r="H67" s="352"/>
      <c r="I67" s="443"/>
      <c r="J67" s="446"/>
      <c r="K67" s="352"/>
      <c r="L67" s="348">
        <f t="shared" si="1"/>
        <v>0</v>
      </c>
      <c r="M67" s="1472"/>
      <c r="N67"/>
      <c r="O67" s="174"/>
      <c r="P67" s="174"/>
      <c r="Q67" s="174"/>
    </row>
    <row r="68" spans="2:17" x14ac:dyDescent="0.35">
      <c r="B68" s="1469"/>
      <c r="C68" s="1469"/>
      <c r="D68" s="176"/>
      <c r="E68" s="148"/>
      <c r="F68" s="148"/>
      <c r="G68" s="184"/>
      <c r="H68" s="439"/>
      <c r="I68" s="444"/>
      <c r="J68" s="441"/>
      <c r="K68" s="419"/>
      <c r="L68" s="417">
        <f t="shared" si="1"/>
        <v>0</v>
      </c>
      <c r="M68" s="1472"/>
      <c r="N68"/>
      <c r="O68" s="174"/>
      <c r="P68" s="174"/>
      <c r="Q68" s="175"/>
    </row>
    <row r="69" spans="2:17" x14ac:dyDescent="0.35">
      <c r="B69" s="1469"/>
      <c r="C69" s="1469"/>
      <c r="D69" s="560"/>
      <c r="E69" s="349"/>
      <c r="F69" s="349"/>
      <c r="G69" s="350"/>
      <c r="H69" s="561"/>
      <c r="I69" s="444"/>
      <c r="J69" s="440"/>
      <c r="K69" s="422"/>
      <c r="L69" s="417">
        <f t="shared" si="1"/>
        <v>0</v>
      </c>
      <c r="M69" s="1472"/>
      <c r="N69"/>
      <c r="O69" s="174"/>
      <c r="P69" s="174"/>
      <c r="Q69" s="170"/>
    </row>
    <row r="70" spans="2:17" x14ac:dyDescent="0.35">
      <c r="B70" s="1469"/>
      <c r="C70" s="1469"/>
      <c r="D70" s="550"/>
      <c r="E70" s="551"/>
      <c r="F70" s="551"/>
      <c r="G70" s="552"/>
      <c r="H70" s="562"/>
      <c r="I70" s="444"/>
      <c r="J70" s="440"/>
      <c r="K70" s="422"/>
      <c r="L70" s="417">
        <f t="shared" si="1"/>
        <v>0</v>
      </c>
      <c r="M70" s="1472"/>
      <c r="N70"/>
      <c r="O70" s="174"/>
      <c r="P70" s="174"/>
      <c r="Q70" s="170"/>
    </row>
    <row r="71" spans="2:17" x14ac:dyDescent="0.35">
      <c r="B71" s="1469"/>
      <c r="C71" s="1469"/>
      <c r="D71" s="550"/>
      <c r="E71" s="551"/>
      <c r="F71" s="551"/>
      <c r="G71" s="552"/>
      <c r="H71" s="562"/>
      <c r="I71" s="444"/>
      <c r="J71" s="440"/>
      <c r="K71" s="422"/>
      <c r="L71" s="417">
        <f t="shared" si="1"/>
        <v>0</v>
      </c>
      <c r="M71" s="1472"/>
      <c r="N71"/>
      <c r="O71" s="174"/>
      <c r="P71" s="174"/>
      <c r="Q71" s="170"/>
    </row>
    <row r="72" spans="2:17" x14ac:dyDescent="0.35">
      <c r="B72" s="1469"/>
      <c r="C72" s="1469"/>
      <c r="D72" s="550"/>
      <c r="E72" s="551"/>
      <c r="F72" s="551"/>
      <c r="G72" s="552"/>
      <c r="H72" s="562"/>
      <c r="I72" s="444"/>
      <c r="J72" s="440"/>
      <c r="K72" s="422"/>
      <c r="L72" s="417">
        <f t="shared" si="1"/>
        <v>0</v>
      </c>
      <c r="M72" s="1472"/>
      <c r="N72"/>
      <c r="O72" s="174"/>
      <c r="P72" s="174"/>
      <c r="Q72" s="170"/>
    </row>
    <row r="73" spans="2:17" x14ac:dyDescent="0.35">
      <c r="B73" s="1469"/>
      <c r="C73" s="1469"/>
      <c r="D73" s="550"/>
      <c r="E73" s="551"/>
      <c r="F73" s="551"/>
      <c r="G73" s="552"/>
      <c r="H73" s="422"/>
      <c r="I73" s="444"/>
      <c r="J73" s="440"/>
      <c r="K73" s="422"/>
      <c r="L73" s="417">
        <f t="shared" si="1"/>
        <v>0</v>
      </c>
      <c r="M73" s="1472"/>
      <c r="N73"/>
      <c r="O73" s="174"/>
      <c r="P73" s="174"/>
      <c r="Q73" s="170"/>
    </row>
    <row r="74" spans="2:17" x14ac:dyDescent="0.35">
      <c r="B74" s="1469"/>
      <c r="C74" s="1469"/>
      <c r="D74" s="550"/>
      <c r="E74" s="551"/>
      <c r="F74" s="551"/>
      <c r="G74" s="552"/>
      <c r="H74" s="562"/>
      <c r="I74" s="444"/>
      <c r="J74" s="440"/>
      <c r="K74" s="422"/>
      <c r="L74" s="417">
        <f t="shared" si="1"/>
        <v>0</v>
      </c>
      <c r="M74" s="1472"/>
      <c r="N74"/>
      <c r="O74" s="174"/>
      <c r="P74" s="174"/>
      <c r="Q74" s="170"/>
    </row>
    <row r="75" spans="2:17" x14ac:dyDescent="0.35">
      <c r="B75" s="1469"/>
      <c r="C75" s="1469"/>
      <c r="D75" s="550"/>
      <c r="E75" s="551"/>
      <c r="F75" s="551"/>
      <c r="G75" s="552"/>
      <c r="H75" s="562"/>
      <c r="I75" s="444"/>
      <c r="J75" s="440"/>
      <c r="K75" s="422"/>
      <c r="L75" s="417">
        <f t="shared" si="1"/>
        <v>0</v>
      </c>
      <c r="M75" s="1472"/>
      <c r="N75"/>
      <c r="O75" s="174"/>
      <c r="P75" s="174"/>
      <c r="Q75" s="170"/>
    </row>
    <row r="76" spans="2:17" x14ac:dyDescent="0.35">
      <c r="B76" s="1469"/>
      <c r="C76" s="1469"/>
      <c r="D76" s="550"/>
      <c r="E76" s="551"/>
      <c r="F76" s="551"/>
      <c r="G76" s="552"/>
      <c r="H76" s="562"/>
      <c r="I76" s="444"/>
      <c r="J76" s="440"/>
      <c r="K76" s="422"/>
      <c r="L76" s="417">
        <f t="shared" ref="L76:L139" si="3">I76*(1+$M$8)+J76+K76</f>
        <v>0</v>
      </c>
      <c r="M76" s="1472"/>
      <c r="N76"/>
      <c r="O76" s="174"/>
      <c r="P76" s="174"/>
      <c r="Q76" s="170"/>
    </row>
    <row r="77" spans="2:17" x14ac:dyDescent="0.35">
      <c r="B77" s="1469"/>
      <c r="C77" s="1469"/>
      <c r="D77" s="550"/>
      <c r="E77" s="551"/>
      <c r="F77" s="551"/>
      <c r="G77" s="552"/>
      <c r="H77" s="562"/>
      <c r="I77" s="444"/>
      <c r="J77" s="440"/>
      <c r="K77" s="422"/>
      <c r="L77" s="417">
        <f t="shared" si="3"/>
        <v>0</v>
      </c>
      <c r="M77" s="1472"/>
      <c r="N77"/>
      <c r="O77" s="174"/>
      <c r="P77" s="174"/>
      <c r="Q77" s="170"/>
    </row>
    <row r="78" spans="2:17" x14ac:dyDescent="0.35">
      <c r="B78" s="1469"/>
      <c r="C78" s="1469"/>
      <c r="D78" s="176"/>
      <c r="E78" s="148"/>
      <c r="F78" s="148"/>
      <c r="G78" s="184"/>
      <c r="H78" s="439"/>
      <c r="I78" s="444"/>
      <c r="J78" s="441"/>
      <c r="K78" s="419"/>
      <c r="L78" s="417">
        <f t="shared" si="3"/>
        <v>0</v>
      </c>
      <c r="M78" s="1472"/>
      <c r="N78"/>
      <c r="O78" s="174"/>
      <c r="P78" s="174"/>
      <c r="Q78" s="170"/>
    </row>
    <row r="79" spans="2:17" x14ac:dyDescent="0.35">
      <c r="B79" s="1469"/>
      <c r="C79" s="1469"/>
      <c r="D79" s="179"/>
      <c r="E79" s="148"/>
      <c r="F79" s="148"/>
      <c r="G79" s="184"/>
      <c r="H79" s="439"/>
      <c r="I79" s="444"/>
      <c r="J79" s="441"/>
      <c r="K79" s="419"/>
      <c r="L79" s="417">
        <f t="shared" si="3"/>
        <v>0</v>
      </c>
      <c r="M79" s="1472"/>
      <c r="N79"/>
      <c r="O79" s="174"/>
      <c r="P79" s="174"/>
      <c r="Q79" s="170"/>
    </row>
    <row r="80" spans="2:17" ht="15" thickBot="1" x14ac:dyDescent="0.4">
      <c r="B80" s="1470"/>
      <c r="C80" s="1470"/>
      <c r="D80" s="185"/>
      <c r="E80" s="149"/>
      <c r="F80" s="149"/>
      <c r="G80" s="186"/>
      <c r="H80" s="151"/>
      <c r="I80" s="445"/>
      <c r="J80" s="442"/>
      <c r="K80" s="151"/>
      <c r="L80" s="418">
        <f t="shared" si="3"/>
        <v>0</v>
      </c>
      <c r="M80" s="1473"/>
      <c r="N80"/>
      <c r="O80" s="174"/>
      <c r="P80" s="174"/>
      <c r="Q80" s="170"/>
    </row>
    <row r="81" spans="2:17" x14ac:dyDescent="0.35">
      <c r="B81" s="1468" t="str">
        <f>+'B) Reajuste Tarifa y Ocupación'!A33</f>
        <v>CABAÑAS RIO SAN JUAN</v>
      </c>
      <c r="C81" s="1469" t="s">
        <v>174</v>
      </c>
      <c r="D81" s="171"/>
      <c r="E81" s="172"/>
      <c r="F81" s="172"/>
      <c r="G81" s="173"/>
      <c r="H81" s="420"/>
      <c r="I81" s="443"/>
      <c r="J81" s="447"/>
      <c r="K81" s="420"/>
      <c r="L81" s="348">
        <f t="shared" si="3"/>
        <v>0</v>
      </c>
      <c r="M81" s="1471">
        <f>SUM(L81:L94)</f>
        <v>0</v>
      </c>
      <c r="N81"/>
      <c r="O81" s="174"/>
      <c r="P81" s="174"/>
      <c r="Q81" s="170"/>
    </row>
    <row r="82" spans="2:17" x14ac:dyDescent="0.35">
      <c r="B82" s="1469"/>
      <c r="C82" s="1469"/>
      <c r="D82" s="176"/>
      <c r="E82" s="148"/>
      <c r="F82" s="148"/>
      <c r="G82" s="184"/>
      <c r="H82" s="439"/>
      <c r="I82" s="444"/>
      <c r="J82" s="441"/>
      <c r="K82" s="421"/>
      <c r="L82" s="417">
        <f t="shared" si="3"/>
        <v>0</v>
      </c>
      <c r="M82" s="1472"/>
      <c r="N82"/>
      <c r="O82" s="174"/>
      <c r="P82" s="174"/>
      <c r="Q82" s="170"/>
    </row>
    <row r="83" spans="2:17" x14ac:dyDescent="0.35">
      <c r="B83" s="1469"/>
      <c r="C83" s="1469"/>
      <c r="D83" s="176"/>
      <c r="E83" s="148"/>
      <c r="F83" s="148"/>
      <c r="G83" s="184"/>
      <c r="H83" s="439"/>
      <c r="I83" s="444"/>
      <c r="J83" s="441"/>
      <c r="K83" s="421"/>
      <c r="L83" s="417">
        <f t="shared" si="3"/>
        <v>0</v>
      </c>
      <c r="M83" s="1472"/>
      <c r="N83"/>
      <c r="O83" s="174"/>
      <c r="P83" s="174"/>
      <c r="Q83" s="170"/>
    </row>
    <row r="84" spans="2:17" x14ac:dyDescent="0.35">
      <c r="B84" s="1469"/>
      <c r="C84" s="1469"/>
      <c r="D84" s="176"/>
      <c r="E84" s="148"/>
      <c r="F84" s="148"/>
      <c r="G84" s="184"/>
      <c r="H84" s="439"/>
      <c r="I84" s="444"/>
      <c r="J84" s="441"/>
      <c r="K84" s="421"/>
      <c r="L84" s="417">
        <f t="shared" si="3"/>
        <v>0</v>
      </c>
      <c r="M84" s="1472"/>
      <c r="N84"/>
      <c r="O84" s="174"/>
      <c r="P84" s="174"/>
      <c r="Q84" s="174"/>
    </row>
    <row r="85" spans="2:17" x14ac:dyDescent="0.35">
      <c r="B85" s="1469"/>
      <c r="C85" s="1469"/>
      <c r="D85" s="176"/>
      <c r="E85" s="148"/>
      <c r="F85" s="148"/>
      <c r="G85" s="184"/>
      <c r="H85" s="439"/>
      <c r="I85" s="444"/>
      <c r="J85" s="441"/>
      <c r="K85" s="421"/>
      <c r="L85" s="417">
        <f t="shared" si="3"/>
        <v>0</v>
      </c>
      <c r="M85" s="1472"/>
      <c r="N85"/>
      <c r="O85" s="174"/>
      <c r="P85" s="174"/>
      <c r="Q85" s="175"/>
    </row>
    <row r="86" spans="2:17" x14ac:dyDescent="0.35">
      <c r="B86" s="1469"/>
      <c r="C86" s="1469"/>
      <c r="D86" s="176"/>
      <c r="E86" s="148"/>
      <c r="F86" s="148"/>
      <c r="G86" s="184"/>
      <c r="H86" s="439"/>
      <c r="I86" s="444"/>
      <c r="J86" s="441"/>
      <c r="K86" s="421"/>
      <c r="L86" s="417">
        <f t="shared" si="3"/>
        <v>0</v>
      </c>
      <c r="M86" s="1472"/>
      <c r="N86"/>
      <c r="O86" s="174"/>
      <c r="P86" s="174"/>
      <c r="Q86" s="170"/>
    </row>
    <row r="87" spans="2:17" x14ac:dyDescent="0.35">
      <c r="B87" s="1469"/>
      <c r="C87" s="1469"/>
      <c r="D87" s="176"/>
      <c r="E87" s="148"/>
      <c r="F87" s="148"/>
      <c r="G87" s="184"/>
      <c r="H87" s="439"/>
      <c r="I87" s="444"/>
      <c r="J87" s="441"/>
      <c r="K87" s="421"/>
      <c r="L87" s="417">
        <f t="shared" si="3"/>
        <v>0</v>
      </c>
      <c r="M87" s="1472"/>
      <c r="N87"/>
      <c r="O87" s="174"/>
      <c r="P87" s="174"/>
      <c r="Q87" s="170"/>
    </row>
    <row r="88" spans="2:17" x14ac:dyDescent="0.35">
      <c r="B88" s="1469"/>
      <c r="C88" s="1469"/>
      <c r="D88" s="176"/>
      <c r="E88" s="148"/>
      <c r="F88" s="148"/>
      <c r="G88" s="184"/>
      <c r="H88" s="439"/>
      <c r="I88" s="444"/>
      <c r="J88" s="441"/>
      <c r="K88" s="421"/>
      <c r="L88" s="417">
        <f t="shared" si="3"/>
        <v>0</v>
      </c>
      <c r="M88" s="1472"/>
      <c r="N88"/>
      <c r="O88" s="174"/>
      <c r="P88" s="174"/>
      <c r="Q88" s="170"/>
    </row>
    <row r="89" spans="2:17" x14ac:dyDescent="0.35">
      <c r="B89" s="1469"/>
      <c r="C89" s="1469"/>
      <c r="D89" s="176"/>
      <c r="E89" s="148"/>
      <c r="F89" s="148"/>
      <c r="G89" s="184"/>
      <c r="H89" s="439"/>
      <c r="I89" s="444"/>
      <c r="J89" s="441"/>
      <c r="K89" s="421"/>
      <c r="L89" s="417">
        <f t="shared" si="3"/>
        <v>0</v>
      </c>
      <c r="M89" s="1472"/>
      <c r="N89"/>
      <c r="O89" s="174"/>
      <c r="P89" s="174"/>
      <c r="Q89" s="170"/>
    </row>
    <row r="90" spans="2:17" x14ac:dyDescent="0.35">
      <c r="B90" s="1469"/>
      <c r="C90" s="1469"/>
      <c r="D90" s="176"/>
      <c r="E90" s="148"/>
      <c r="F90" s="148"/>
      <c r="G90" s="184"/>
      <c r="H90" s="439"/>
      <c r="I90" s="444"/>
      <c r="J90" s="441"/>
      <c r="K90" s="421"/>
      <c r="L90" s="417">
        <f t="shared" si="3"/>
        <v>0</v>
      </c>
      <c r="M90" s="1472"/>
      <c r="N90"/>
      <c r="O90" s="174"/>
      <c r="P90" s="174"/>
      <c r="Q90" s="170"/>
    </row>
    <row r="91" spans="2:17" x14ac:dyDescent="0.35">
      <c r="B91" s="1469"/>
      <c r="C91" s="1469"/>
      <c r="D91" s="176"/>
      <c r="E91" s="148"/>
      <c r="F91" s="148"/>
      <c r="G91" s="184"/>
      <c r="H91" s="439"/>
      <c r="I91" s="444"/>
      <c r="J91" s="441"/>
      <c r="K91" s="421"/>
      <c r="L91" s="417">
        <f t="shared" si="3"/>
        <v>0</v>
      </c>
      <c r="M91" s="1472"/>
      <c r="N91"/>
      <c r="O91" s="174"/>
      <c r="P91" s="174"/>
      <c r="Q91" s="170"/>
    </row>
    <row r="92" spans="2:17" x14ac:dyDescent="0.35">
      <c r="B92" s="1469"/>
      <c r="C92" s="1469"/>
      <c r="D92" s="176"/>
      <c r="E92" s="148"/>
      <c r="F92" s="148"/>
      <c r="G92" s="184"/>
      <c r="H92" s="439"/>
      <c r="I92" s="444"/>
      <c r="J92" s="441"/>
      <c r="K92" s="421"/>
      <c r="L92" s="417">
        <f t="shared" si="3"/>
        <v>0</v>
      </c>
      <c r="M92" s="1472"/>
      <c r="N92"/>
    </row>
    <row r="93" spans="2:17" x14ac:dyDescent="0.35">
      <c r="B93" s="1469"/>
      <c r="C93" s="1469"/>
      <c r="D93" s="176"/>
      <c r="E93" s="148"/>
      <c r="F93" s="148"/>
      <c r="G93" s="184"/>
      <c r="H93" s="439"/>
      <c r="I93" s="444"/>
      <c r="J93" s="441"/>
      <c r="K93" s="421"/>
      <c r="L93" s="417">
        <f t="shared" si="3"/>
        <v>0</v>
      </c>
      <c r="M93" s="1472"/>
      <c r="N93"/>
    </row>
    <row r="94" spans="2:17" ht="15" thickBot="1" x14ac:dyDescent="0.4">
      <c r="B94" s="1470"/>
      <c r="C94" s="1470"/>
      <c r="D94" s="150"/>
      <c r="E94" s="149"/>
      <c r="F94" s="149"/>
      <c r="G94" s="186"/>
      <c r="H94" s="151"/>
      <c r="I94" s="445"/>
      <c r="J94" s="442"/>
      <c r="K94" s="151"/>
      <c r="L94" s="418">
        <f t="shared" si="3"/>
        <v>0</v>
      </c>
      <c r="M94" s="1473"/>
      <c r="N94"/>
    </row>
    <row r="95" spans="2:17" x14ac:dyDescent="0.35">
      <c r="B95" s="1468" t="str">
        <f>+'B) Reajuste Tarifa y Ocupación'!A34</f>
        <v>CENTRO RECREATIVO</v>
      </c>
      <c r="C95" s="1469" t="s">
        <v>174</v>
      </c>
      <c r="D95" s="560" t="s">
        <v>350</v>
      </c>
      <c r="E95" s="349" t="s">
        <v>351</v>
      </c>
      <c r="F95" s="349" t="s">
        <v>352</v>
      </c>
      <c r="G95" s="350"/>
      <c r="H95" s="561">
        <v>5081000</v>
      </c>
      <c r="I95" s="443">
        <v>5310000</v>
      </c>
      <c r="J95" s="1032">
        <v>386476</v>
      </c>
      <c r="K95" s="1031">
        <v>172472</v>
      </c>
      <c r="L95" s="348">
        <f t="shared" si="3"/>
        <v>5868948</v>
      </c>
      <c r="M95" s="1471">
        <f>SUM(L95:L122)</f>
        <v>5868948</v>
      </c>
      <c r="N95"/>
    </row>
    <row r="96" spans="2:17" x14ac:dyDescent="0.35">
      <c r="B96" s="1469"/>
      <c r="C96" s="1469"/>
      <c r="D96" s="176"/>
      <c r="E96" s="148"/>
      <c r="F96" s="148"/>
      <c r="G96" s="184"/>
      <c r="H96" s="439"/>
      <c r="I96" s="444"/>
      <c r="J96" s="441"/>
      <c r="K96" s="421"/>
      <c r="L96" s="417">
        <f t="shared" si="3"/>
        <v>0</v>
      </c>
      <c r="M96" s="1472"/>
      <c r="N96"/>
    </row>
    <row r="97" spans="2:17" x14ac:dyDescent="0.35">
      <c r="B97" s="1469"/>
      <c r="C97" s="1469"/>
      <c r="D97" s="176"/>
      <c r="E97" s="148"/>
      <c r="F97" s="148"/>
      <c r="G97" s="184"/>
      <c r="H97" s="439"/>
      <c r="I97" s="444"/>
      <c r="J97" s="441"/>
      <c r="K97" s="421"/>
      <c r="L97" s="417">
        <f t="shared" si="3"/>
        <v>0</v>
      </c>
      <c r="M97" s="1472"/>
      <c r="N97"/>
    </row>
    <row r="98" spans="2:17" x14ac:dyDescent="0.35">
      <c r="B98" s="1469"/>
      <c r="C98" s="1469"/>
      <c r="D98" s="176"/>
      <c r="E98" s="148"/>
      <c r="F98" s="148"/>
      <c r="G98" s="184"/>
      <c r="H98" s="439"/>
      <c r="I98" s="444"/>
      <c r="J98" s="441"/>
      <c r="K98" s="421"/>
      <c r="L98" s="417">
        <f t="shared" si="3"/>
        <v>0</v>
      </c>
      <c r="M98" s="1472"/>
      <c r="N98"/>
    </row>
    <row r="99" spans="2:17" x14ac:dyDescent="0.35">
      <c r="B99" s="1469"/>
      <c r="C99" s="1469"/>
      <c r="D99" s="176"/>
      <c r="E99" s="148"/>
      <c r="F99" s="148"/>
      <c r="G99" s="184"/>
      <c r="H99" s="439"/>
      <c r="I99" s="444"/>
      <c r="J99" s="441"/>
      <c r="K99" s="421"/>
      <c r="L99" s="417">
        <f t="shared" si="3"/>
        <v>0</v>
      </c>
      <c r="M99" s="1472"/>
      <c r="N99"/>
    </row>
    <row r="100" spans="2:17" x14ac:dyDescent="0.35">
      <c r="B100" s="1469"/>
      <c r="C100" s="1469"/>
      <c r="D100" s="176"/>
      <c r="E100" s="148"/>
      <c r="F100" s="148"/>
      <c r="G100" s="184"/>
      <c r="H100" s="439"/>
      <c r="I100" s="444"/>
      <c r="J100" s="441"/>
      <c r="K100" s="421"/>
      <c r="L100" s="417">
        <f t="shared" si="3"/>
        <v>0</v>
      </c>
      <c r="M100" s="1472"/>
      <c r="N100"/>
    </row>
    <row r="101" spans="2:17" x14ac:dyDescent="0.35">
      <c r="B101" s="1469"/>
      <c r="C101" s="1469"/>
      <c r="D101" s="176"/>
      <c r="E101" s="148"/>
      <c r="F101" s="148"/>
      <c r="G101" s="184"/>
      <c r="H101" s="439"/>
      <c r="I101" s="444"/>
      <c r="J101" s="441"/>
      <c r="K101" s="421"/>
      <c r="L101" s="417">
        <f t="shared" si="3"/>
        <v>0</v>
      </c>
      <c r="M101" s="1472"/>
      <c r="N101"/>
    </row>
    <row r="102" spans="2:17" x14ac:dyDescent="0.35">
      <c r="B102" s="1469"/>
      <c r="C102" s="1469"/>
      <c r="D102" s="176"/>
      <c r="E102" s="148"/>
      <c r="F102" s="148"/>
      <c r="G102" s="184"/>
      <c r="H102" s="439"/>
      <c r="I102" s="444"/>
      <c r="J102" s="441"/>
      <c r="K102" s="421"/>
      <c r="L102" s="417">
        <f t="shared" si="3"/>
        <v>0</v>
      </c>
      <c r="M102" s="1472"/>
      <c r="N102"/>
      <c r="O102"/>
      <c r="P102"/>
      <c r="Q102"/>
    </row>
    <row r="103" spans="2:17" x14ac:dyDescent="0.35">
      <c r="B103" s="1469"/>
      <c r="C103" s="1469"/>
      <c r="D103" s="176"/>
      <c r="E103" s="148"/>
      <c r="F103" s="148"/>
      <c r="G103" s="184"/>
      <c r="H103" s="439"/>
      <c r="I103" s="444"/>
      <c r="J103" s="441"/>
      <c r="K103" s="421"/>
      <c r="L103" s="417">
        <f t="shared" si="3"/>
        <v>0</v>
      </c>
      <c r="M103" s="1472"/>
      <c r="N103"/>
      <c r="O103" s="174"/>
      <c r="P103" s="174"/>
      <c r="Q103" s="170"/>
    </row>
    <row r="104" spans="2:17" x14ac:dyDescent="0.35">
      <c r="B104" s="1469"/>
      <c r="C104" s="1469"/>
      <c r="D104" s="176"/>
      <c r="E104" s="148"/>
      <c r="F104" s="148"/>
      <c r="G104" s="184"/>
      <c r="H104" s="439"/>
      <c r="I104" s="444"/>
      <c r="J104" s="441"/>
      <c r="K104" s="421"/>
      <c r="L104" s="417">
        <f t="shared" si="3"/>
        <v>0</v>
      </c>
      <c r="M104" s="1472"/>
      <c r="N104"/>
      <c r="O104" s="174"/>
      <c r="P104" s="174"/>
      <c r="Q104" s="170"/>
    </row>
    <row r="105" spans="2:17" x14ac:dyDescent="0.35">
      <c r="B105" s="1469"/>
      <c r="C105" s="1469"/>
      <c r="D105" s="176"/>
      <c r="E105" s="148"/>
      <c r="F105" s="148"/>
      <c r="G105" s="184"/>
      <c r="H105" s="439"/>
      <c r="I105" s="444"/>
      <c r="J105" s="441"/>
      <c r="K105" s="421"/>
      <c r="L105" s="417">
        <f t="shared" si="3"/>
        <v>0</v>
      </c>
      <c r="M105" s="1472"/>
      <c r="N105"/>
      <c r="O105" s="174"/>
      <c r="P105" s="174"/>
      <c r="Q105" s="170"/>
    </row>
    <row r="106" spans="2:17" x14ac:dyDescent="0.35">
      <c r="B106" s="1469"/>
      <c r="C106" s="1469"/>
      <c r="D106" s="176"/>
      <c r="E106" s="148"/>
      <c r="F106" s="148"/>
      <c r="G106" s="184"/>
      <c r="H106" s="439"/>
      <c r="I106" s="444"/>
      <c r="J106" s="441"/>
      <c r="K106" s="421"/>
      <c r="L106" s="417">
        <f t="shared" si="3"/>
        <v>0</v>
      </c>
      <c r="M106" s="1472"/>
      <c r="N106"/>
      <c r="O106" s="174"/>
      <c r="P106" s="174"/>
      <c r="Q106" s="170"/>
    </row>
    <row r="107" spans="2:17" x14ac:dyDescent="0.35">
      <c r="B107" s="1469"/>
      <c r="C107" s="1469"/>
      <c r="D107" s="176"/>
      <c r="E107" s="148"/>
      <c r="F107" s="148"/>
      <c r="G107" s="184"/>
      <c r="H107" s="439"/>
      <c r="I107" s="444"/>
      <c r="J107" s="441"/>
      <c r="K107" s="421"/>
      <c r="L107" s="417">
        <f t="shared" si="3"/>
        <v>0</v>
      </c>
      <c r="M107" s="1472"/>
      <c r="N107"/>
      <c r="O107" s="174"/>
      <c r="P107" s="174"/>
      <c r="Q107" s="170"/>
    </row>
    <row r="108" spans="2:17" ht="15" thickBot="1" x14ac:dyDescent="0.4">
      <c r="B108" s="1469"/>
      <c r="C108" s="1470"/>
      <c r="D108" s="150"/>
      <c r="E108" s="149"/>
      <c r="F108" s="149"/>
      <c r="G108" s="186"/>
      <c r="H108" s="151"/>
      <c r="I108" s="445"/>
      <c r="J108" s="442"/>
      <c r="K108" s="151"/>
      <c r="L108" s="418">
        <f t="shared" si="3"/>
        <v>0</v>
      </c>
      <c r="M108" s="1472"/>
      <c r="N108"/>
      <c r="O108" s="174"/>
      <c r="P108" s="174"/>
      <c r="Q108" s="174"/>
    </row>
    <row r="109" spans="2:17" x14ac:dyDescent="0.35">
      <c r="B109" s="1469"/>
      <c r="C109" s="1468" t="s">
        <v>175</v>
      </c>
      <c r="D109" s="146"/>
      <c r="E109" s="147"/>
      <c r="F109" s="147"/>
      <c r="G109" s="183"/>
      <c r="H109" s="352"/>
      <c r="I109" s="443"/>
      <c r="J109" s="446"/>
      <c r="K109" s="352"/>
      <c r="L109" s="348">
        <f t="shared" si="3"/>
        <v>0</v>
      </c>
      <c r="M109" s="1472"/>
      <c r="N109"/>
      <c r="O109" s="174"/>
      <c r="P109" s="174"/>
      <c r="Q109" s="175"/>
    </row>
    <row r="110" spans="2:17" x14ac:dyDescent="0.35">
      <c r="B110" s="1469"/>
      <c r="C110" s="1469"/>
      <c r="D110" s="176"/>
      <c r="E110" s="148"/>
      <c r="F110" s="148"/>
      <c r="G110" s="184"/>
      <c r="H110" s="439"/>
      <c r="I110" s="444"/>
      <c r="J110" s="441"/>
      <c r="K110" s="421"/>
      <c r="L110" s="417">
        <f t="shared" si="3"/>
        <v>0</v>
      </c>
      <c r="M110" s="1472"/>
      <c r="N110"/>
      <c r="O110" s="174"/>
      <c r="P110" s="174"/>
      <c r="Q110" s="175"/>
    </row>
    <row r="111" spans="2:17" x14ac:dyDescent="0.35">
      <c r="B111" s="1469"/>
      <c r="C111" s="1469"/>
      <c r="D111" s="176"/>
      <c r="E111" s="148"/>
      <c r="F111" s="148"/>
      <c r="G111" s="184"/>
      <c r="H111" s="439"/>
      <c r="I111" s="444"/>
      <c r="J111" s="441"/>
      <c r="K111" s="421"/>
      <c r="L111" s="417">
        <f t="shared" si="3"/>
        <v>0</v>
      </c>
      <c r="M111" s="1472"/>
      <c r="N111"/>
      <c r="O111" s="174"/>
      <c r="P111" s="174"/>
      <c r="Q111" s="175"/>
    </row>
    <row r="112" spans="2:17" x14ac:dyDescent="0.35">
      <c r="B112" s="1469"/>
      <c r="C112" s="1469"/>
      <c r="D112" s="176"/>
      <c r="E112" s="148"/>
      <c r="F112" s="148"/>
      <c r="G112" s="184"/>
      <c r="H112" s="439"/>
      <c r="I112" s="444"/>
      <c r="J112" s="441"/>
      <c r="K112" s="421"/>
      <c r="L112" s="417">
        <f t="shared" si="3"/>
        <v>0</v>
      </c>
      <c r="M112" s="1472"/>
      <c r="N112"/>
      <c r="O112" s="174"/>
      <c r="P112" s="174"/>
      <c r="Q112" s="175"/>
    </row>
    <row r="113" spans="2:17" x14ac:dyDescent="0.35">
      <c r="B113" s="1469"/>
      <c r="C113" s="1469"/>
      <c r="D113" s="176"/>
      <c r="E113" s="148"/>
      <c r="F113" s="148"/>
      <c r="G113" s="184"/>
      <c r="H113" s="439"/>
      <c r="I113" s="444"/>
      <c r="J113" s="441"/>
      <c r="K113" s="421"/>
      <c r="L113" s="417">
        <f t="shared" si="3"/>
        <v>0</v>
      </c>
      <c r="M113" s="1472"/>
      <c r="N113"/>
      <c r="O113" s="174"/>
      <c r="P113" s="174"/>
      <c r="Q113" s="175"/>
    </row>
    <row r="114" spans="2:17" x14ac:dyDescent="0.35">
      <c r="B114" s="1469"/>
      <c r="C114" s="1469"/>
      <c r="D114" s="176"/>
      <c r="E114" s="148"/>
      <c r="F114" s="148"/>
      <c r="G114" s="184"/>
      <c r="H114" s="439"/>
      <c r="I114" s="444"/>
      <c r="J114" s="441"/>
      <c r="K114" s="421"/>
      <c r="L114" s="417">
        <f t="shared" si="3"/>
        <v>0</v>
      </c>
      <c r="M114" s="1472"/>
      <c r="N114"/>
      <c r="O114" s="174"/>
      <c r="P114" s="174"/>
      <c r="Q114" s="175"/>
    </row>
    <row r="115" spans="2:17" x14ac:dyDescent="0.35">
      <c r="B115" s="1469"/>
      <c r="C115" s="1469"/>
      <c r="D115" s="176"/>
      <c r="E115" s="148"/>
      <c r="F115" s="148"/>
      <c r="G115" s="184"/>
      <c r="H115" s="439"/>
      <c r="I115" s="444"/>
      <c r="J115" s="441"/>
      <c r="K115" s="421"/>
      <c r="L115" s="417">
        <f t="shared" si="3"/>
        <v>0</v>
      </c>
      <c r="M115" s="1472"/>
      <c r="N115"/>
      <c r="O115" s="174"/>
      <c r="P115" s="174"/>
      <c r="Q115" s="175"/>
    </row>
    <row r="116" spans="2:17" x14ac:dyDescent="0.35">
      <c r="B116" s="1469"/>
      <c r="C116" s="1469"/>
      <c r="D116" s="176"/>
      <c r="E116" s="148"/>
      <c r="F116" s="148"/>
      <c r="G116" s="184"/>
      <c r="H116" s="439"/>
      <c r="I116" s="444"/>
      <c r="J116" s="441"/>
      <c r="K116" s="421"/>
      <c r="L116" s="417">
        <f t="shared" si="3"/>
        <v>0</v>
      </c>
      <c r="M116" s="1472"/>
      <c r="N116"/>
      <c r="O116" s="174"/>
      <c r="P116" s="174"/>
      <c r="Q116" s="175"/>
    </row>
    <row r="117" spans="2:17" x14ac:dyDescent="0.35">
      <c r="B117" s="1469"/>
      <c r="C117" s="1469"/>
      <c r="D117" s="176"/>
      <c r="E117" s="148"/>
      <c r="F117" s="148"/>
      <c r="G117" s="184"/>
      <c r="H117" s="439"/>
      <c r="I117" s="444"/>
      <c r="J117" s="441"/>
      <c r="K117" s="421"/>
      <c r="L117" s="417">
        <f t="shared" si="3"/>
        <v>0</v>
      </c>
      <c r="M117" s="1472"/>
      <c r="N117"/>
      <c r="O117" s="174"/>
      <c r="P117" s="174"/>
      <c r="Q117" s="175"/>
    </row>
    <row r="118" spans="2:17" x14ac:dyDescent="0.35">
      <c r="B118" s="1469"/>
      <c r="C118" s="1469"/>
      <c r="D118" s="176"/>
      <c r="E118" s="148"/>
      <c r="F118" s="148"/>
      <c r="G118" s="184"/>
      <c r="H118" s="439"/>
      <c r="I118" s="444"/>
      <c r="J118" s="441"/>
      <c r="K118" s="421"/>
      <c r="L118" s="417">
        <f t="shared" si="3"/>
        <v>0</v>
      </c>
      <c r="M118" s="1472"/>
      <c r="N118"/>
      <c r="O118" s="174"/>
      <c r="P118" s="174"/>
      <c r="Q118" s="175"/>
    </row>
    <row r="119" spans="2:17" x14ac:dyDescent="0.35">
      <c r="B119" s="1469"/>
      <c r="C119" s="1469"/>
      <c r="D119" s="176"/>
      <c r="E119" s="148"/>
      <c r="F119" s="148"/>
      <c r="G119" s="184"/>
      <c r="H119" s="439"/>
      <c r="I119" s="444"/>
      <c r="J119" s="441"/>
      <c r="K119" s="421"/>
      <c r="L119" s="417">
        <f t="shared" si="3"/>
        <v>0</v>
      </c>
      <c r="M119" s="1472"/>
      <c r="N119"/>
      <c r="O119" s="174"/>
      <c r="P119" s="174"/>
      <c r="Q119" s="175"/>
    </row>
    <row r="120" spans="2:17" x14ac:dyDescent="0.35">
      <c r="B120" s="1469"/>
      <c r="C120" s="1469"/>
      <c r="D120" s="176"/>
      <c r="E120" s="148"/>
      <c r="F120" s="148"/>
      <c r="G120" s="184"/>
      <c r="H120" s="439"/>
      <c r="I120" s="444"/>
      <c r="J120" s="441"/>
      <c r="K120" s="421"/>
      <c r="L120" s="417">
        <f t="shared" si="3"/>
        <v>0</v>
      </c>
      <c r="M120" s="1472"/>
      <c r="N120"/>
      <c r="O120" s="174"/>
      <c r="P120" s="174"/>
      <c r="Q120" s="175"/>
    </row>
    <row r="121" spans="2:17" x14ac:dyDescent="0.35">
      <c r="B121" s="1469"/>
      <c r="C121" s="1469"/>
      <c r="D121" s="179"/>
      <c r="E121" s="148"/>
      <c r="F121" s="148"/>
      <c r="G121" s="184"/>
      <c r="H121" s="439"/>
      <c r="I121" s="444"/>
      <c r="J121" s="441"/>
      <c r="K121" s="421"/>
      <c r="L121" s="417">
        <f t="shared" si="3"/>
        <v>0</v>
      </c>
      <c r="M121" s="1472"/>
      <c r="N121"/>
      <c r="O121" s="174"/>
      <c r="P121" s="174"/>
      <c r="Q121" s="175"/>
    </row>
    <row r="122" spans="2:17" ht="15" thickBot="1" x14ac:dyDescent="0.4">
      <c r="B122" s="1470"/>
      <c r="C122" s="1470"/>
      <c r="D122" s="185"/>
      <c r="E122" s="149"/>
      <c r="F122" s="149"/>
      <c r="G122" s="186"/>
      <c r="H122" s="151"/>
      <c r="I122" s="445"/>
      <c r="J122" s="442"/>
      <c r="K122" s="151"/>
      <c r="L122" s="418">
        <f t="shared" si="3"/>
        <v>0</v>
      </c>
      <c r="M122" s="1473"/>
      <c r="N122"/>
      <c r="O122" s="174"/>
      <c r="P122" s="174"/>
      <c r="Q122" s="175"/>
    </row>
    <row r="123" spans="2:17" x14ac:dyDescent="0.35">
      <c r="B123" s="1468" t="str">
        <f>+'B) Reajuste Tarifa y Ocupación'!A37</f>
        <v>SALA EVENTOS - QUINCHO BERMUDEZ</v>
      </c>
      <c r="C123" s="1469" t="s">
        <v>174</v>
      </c>
      <c r="D123" s="171"/>
      <c r="E123" s="172"/>
      <c r="F123" s="172"/>
      <c r="G123" s="173"/>
      <c r="H123" s="420"/>
      <c r="I123" s="443"/>
      <c r="J123" s="447"/>
      <c r="K123" s="420"/>
      <c r="L123" s="348">
        <f t="shared" si="3"/>
        <v>0</v>
      </c>
      <c r="M123" s="1471">
        <f>SUM(L123:L136)</f>
        <v>0</v>
      </c>
      <c r="N123"/>
      <c r="O123" s="174"/>
      <c r="P123" s="174"/>
      <c r="Q123" s="175"/>
    </row>
    <row r="124" spans="2:17" x14ac:dyDescent="0.35">
      <c r="B124" s="1469"/>
      <c r="C124" s="1469"/>
      <c r="D124" s="176"/>
      <c r="E124" s="148"/>
      <c r="F124" s="148"/>
      <c r="G124" s="184"/>
      <c r="H124" s="439"/>
      <c r="I124" s="444"/>
      <c r="J124" s="441"/>
      <c r="K124" s="421"/>
      <c r="L124" s="417">
        <f t="shared" si="3"/>
        <v>0</v>
      </c>
      <c r="M124" s="1472"/>
      <c r="N124"/>
      <c r="O124" s="174"/>
      <c r="P124" s="174"/>
      <c r="Q124" s="175"/>
    </row>
    <row r="125" spans="2:17" x14ac:dyDescent="0.35">
      <c r="B125" s="1469"/>
      <c r="C125" s="1469"/>
      <c r="D125" s="176"/>
      <c r="E125" s="148"/>
      <c r="F125" s="148"/>
      <c r="G125" s="184"/>
      <c r="H125" s="439"/>
      <c r="I125" s="444"/>
      <c r="J125" s="441"/>
      <c r="K125" s="421"/>
      <c r="L125" s="417">
        <f t="shared" si="3"/>
        <v>0</v>
      </c>
      <c r="M125" s="1472"/>
      <c r="N125"/>
      <c r="O125" s="174"/>
      <c r="P125" s="174"/>
      <c r="Q125" s="175"/>
    </row>
    <row r="126" spans="2:17" x14ac:dyDescent="0.35">
      <c r="B126" s="1469"/>
      <c r="C126" s="1469"/>
      <c r="D126" s="176"/>
      <c r="E126" s="148"/>
      <c r="F126" s="148"/>
      <c r="G126" s="184"/>
      <c r="H126" s="439"/>
      <c r="I126" s="444"/>
      <c r="J126" s="441"/>
      <c r="K126" s="421"/>
      <c r="L126" s="417">
        <f t="shared" si="3"/>
        <v>0</v>
      </c>
      <c r="M126" s="1472"/>
      <c r="N126"/>
      <c r="O126" s="174"/>
      <c r="P126" s="174"/>
      <c r="Q126" s="175"/>
    </row>
    <row r="127" spans="2:17" x14ac:dyDescent="0.35">
      <c r="B127" s="1469"/>
      <c r="C127" s="1469"/>
      <c r="D127" s="176"/>
      <c r="E127" s="148"/>
      <c r="F127" s="148"/>
      <c r="G127" s="184"/>
      <c r="H127" s="439"/>
      <c r="I127" s="444"/>
      <c r="J127" s="441"/>
      <c r="K127" s="421"/>
      <c r="L127" s="417">
        <f t="shared" si="3"/>
        <v>0</v>
      </c>
      <c r="M127" s="1472"/>
      <c r="N127"/>
      <c r="O127" s="174"/>
      <c r="P127" s="174"/>
      <c r="Q127" s="175"/>
    </row>
    <row r="128" spans="2:17" x14ac:dyDescent="0.35">
      <c r="B128" s="1469"/>
      <c r="C128" s="1469"/>
      <c r="D128" s="176"/>
      <c r="E128" s="148"/>
      <c r="F128" s="148"/>
      <c r="G128" s="184"/>
      <c r="H128" s="439"/>
      <c r="I128" s="444"/>
      <c r="J128" s="441"/>
      <c r="K128" s="421"/>
      <c r="L128" s="417">
        <f t="shared" si="3"/>
        <v>0</v>
      </c>
      <c r="M128" s="1472"/>
      <c r="N128"/>
      <c r="O128" s="174"/>
      <c r="P128" s="174"/>
      <c r="Q128" s="175"/>
    </row>
    <row r="129" spans="2:17" x14ac:dyDescent="0.35">
      <c r="B129" s="1469"/>
      <c r="C129" s="1469"/>
      <c r="D129" s="176"/>
      <c r="E129" s="148"/>
      <c r="F129" s="148"/>
      <c r="G129" s="184"/>
      <c r="H129" s="439"/>
      <c r="I129" s="444"/>
      <c r="J129" s="441"/>
      <c r="K129" s="421"/>
      <c r="L129" s="417">
        <f t="shared" si="3"/>
        <v>0</v>
      </c>
      <c r="M129" s="1472"/>
      <c r="N129"/>
      <c r="O129" s="174"/>
      <c r="P129" s="174"/>
      <c r="Q129" s="175"/>
    </row>
    <row r="130" spans="2:17" x14ac:dyDescent="0.35">
      <c r="B130" s="1469"/>
      <c r="C130" s="1469"/>
      <c r="D130" s="176"/>
      <c r="E130" s="148"/>
      <c r="F130" s="148"/>
      <c r="G130" s="184"/>
      <c r="H130" s="439"/>
      <c r="I130" s="444"/>
      <c r="J130" s="441"/>
      <c r="K130" s="421"/>
      <c r="L130" s="417">
        <f t="shared" si="3"/>
        <v>0</v>
      </c>
      <c r="M130" s="1472"/>
      <c r="N130"/>
      <c r="O130" s="174"/>
      <c r="P130" s="174"/>
      <c r="Q130" s="175"/>
    </row>
    <row r="131" spans="2:17" x14ac:dyDescent="0.35">
      <c r="B131" s="1469"/>
      <c r="C131" s="1469"/>
      <c r="D131" s="176"/>
      <c r="E131" s="148"/>
      <c r="F131" s="148"/>
      <c r="G131" s="184"/>
      <c r="H131" s="439"/>
      <c r="I131" s="444"/>
      <c r="J131" s="441"/>
      <c r="K131" s="421"/>
      <c r="L131" s="417">
        <f t="shared" si="3"/>
        <v>0</v>
      </c>
      <c r="M131" s="1472"/>
      <c r="N131"/>
      <c r="O131" s="174"/>
      <c r="P131" s="174"/>
      <c r="Q131" s="175"/>
    </row>
    <row r="132" spans="2:17" x14ac:dyDescent="0.35">
      <c r="B132" s="1469"/>
      <c r="C132" s="1469"/>
      <c r="D132" s="176"/>
      <c r="E132" s="148"/>
      <c r="F132" s="148"/>
      <c r="G132" s="184"/>
      <c r="H132" s="439"/>
      <c r="I132" s="444"/>
      <c r="J132" s="441"/>
      <c r="K132" s="421"/>
      <c r="L132" s="417">
        <f t="shared" si="3"/>
        <v>0</v>
      </c>
      <c r="M132" s="1472"/>
      <c r="N132"/>
      <c r="O132" s="174"/>
      <c r="P132" s="174"/>
      <c r="Q132" s="175"/>
    </row>
    <row r="133" spans="2:17" x14ac:dyDescent="0.35">
      <c r="B133" s="1469"/>
      <c r="C133" s="1469"/>
      <c r="D133" s="176"/>
      <c r="E133" s="148"/>
      <c r="F133" s="148"/>
      <c r="G133" s="184"/>
      <c r="H133" s="439"/>
      <c r="I133" s="444"/>
      <c r="J133" s="441"/>
      <c r="K133" s="421"/>
      <c r="L133" s="417">
        <f t="shared" si="3"/>
        <v>0</v>
      </c>
      <c r="M133" s="1472"/>
      <c r="N133"/>
      <c r="O133" s="174"/>
      <c r="P133" s="174"/>
      <c r="Q133" s="175"/>
    </row>
    <row r="134" spans="2:17" x14ac:dyDescent="0.35">
      <c r="B134" s="1469"/>
      <c r="C134" s="1469"/>
      <c r="D134" s="176"/>
      <c r="E134" s="148"/>
      <c r="F134" s="148"/>
      <c r="G134" s="184"/>
      <c r="H134" s="439"/>
      <c r="I134" s="444"/>
      <c r="J134" s="441"/>
      <c r="K134" s="421"/>
      <c r="L134" s="417">
        <f t="shared" si="3"/>
        <v>0</v>
      </c>
      <c r="M134" s="1472"/>
      <c r="N134"/>
      <c r="O134" s="174"/>
      <c r="P134" s="174"/>
      <c r="Q134" s="175"/>
    </row>
    <row r="135" spans="2:17" x14ac:dyDescent="0.35">
      <c r="B135" s="1469"/>
      <c r="C135" s="1469"/>
      <c r="D135" s="176"/>
      <c r="E135" s="148"/>
      <c r="F135" s="148"/>
      <c r="G135" s="184"/>
      <c r="H135" s="439"/>
      <c r="I135" s="444"/>
      <c r="J135" s="441"/>
      <c r="K135" s="421"/>
      <c r="L135" s="417">
        <f t="shared" si="3"/>
        <v>0</v>
      </c>
      <c r="M135" s="1472"/>
      <c r="N135"/>
      <c r="O135" s="174"/>
      <c r="P135" s="174"/>
      <c r="Q135" s="175"/>
    </row>
    <row r="136" spans="2:17" ht="15" thickBot="1" x14ac:dyDescent="0.4">
      <c r="B136" s="1470"/>
      <c r="C136" s="1470"/>
      <c r="D136" s="150"/>
      <c r="E136" s="149"/>
      <c r="F136" s="149"/>
      <c r="G136" s="186"/>
      <c r="H136" s="151"/>
      <c r="I136" s="445"/>
      <c r="J136" s="442"/>
      <c r="K136" s="151"/>
      <c r="L136" s="418">
        <f t="shared" si="3"/>
        <v>0</v>
      </c>
      <c r="M136" s="1473"/>
      <c r="N136"/>
      <c r="O136" s="174"/>
      <c r="P136" s="174"/>
      <c r="Q136" s="175"/>
    </row>
    <row r="137" spans="2:17" x14ac:dyDescent="0.35">
      <c r="B137" s="1468" t="s">
        <v>19</v>
      </c>
      <c r="C137" s="1469" t="s">
        <v>174</v>
      </c>
      <c r="D137" s="341"/>
      <c r="E137" s="342"/>
      <c r="F137" s="342"/>
      <c r="G137" s="343"/>
      <c r="H137" s="556"/>
      <c r="I137" s="443"/>
      <c r="J137" s="553"/>
      <c r="K137" s="554"/>
      <c r="L137" s="348">
        <f t="shared" si="3"/>
        <v>0</v>
      </c>
      <c r="M137" s="1471">
        <f>SUM(L137:L164)</f>
        <v>0</v>
      </c>
      <c r="N137" s="412"/>
      <c r="O137" s="174"/>
      <c r="P137" s="174"/>
      <c r="Q137" s="175"/>
    </row>
    <row r="138" spans="2:17" x14ac:dyDescent="0.35">
      <c r="B138" s="1469"/>
      <c r="C138" s="1469"/>
      <c r="D138" s="344"/>
      <c r="E138" s="345"/>
      <c r="F138" s="557"/>
      <c r="G138" s="346"/>
      <c r="H138" s="553"/>
      <c r="I138" s="444"/>
      <c r="J138" s="553"/>
      <c r="K138" s="554"/>
      <c r="L138" s="417">
        <f t="shared" si="3"/>
        <v>0</v>
      </c>
      <c r="M138" s="1472"/>
      <c r="N138" s="412"/>
      <c r="O138" s="174"/>
      <c r="P138" s="174"/>
      <c r="Q138" s="175"/>
    </row>
    <row r="139" spans="2:17" x14ac:dyDescent="0.35">
      <c r="B139" s="1469"/>
      <c r="C139" s="1469"/>
      <c r="D139" s="344"/>
      <c r="E139" s="345"/>
      <c r="F139" s="557"/>
      <c r="G139" s="346"/>
      <c r="H139" s="553"/>
      <c r="I139" s="444"/>
      <c r="J139" s="553"/>
      <c r="K139" s="554"/>
      <c r="L139" s="417">
        <f t="shared" si="3"/>
        <v>0</v>
      </c>
      <c r="M139" s="1472"/>
      <c r="N139" s="412"/>
      <c r="O139" s="174"/>
      <c r="P139" s="174"/>
      <c r="Q139" s="175"/>
    </row>
    <row r="140" spans="2:17" x14ac:dyDescent="0.35">
      <c r="B140" s="1469"/>
      <c r="C140" s="1469"/>
      <c r="D140" s="344"/>
      <c r="E140" s="345"/>
      <c r="F140" s="557"/>
      <c r="G140" s="346"/>
      <c r="H140" s="553"/>
      <c r="I140" s="444"/>
      <c r="J140" s="553"/>
      <c r="K140" s="554"/>
      <c r="L140" s="417">
        <f t="shared" ref="L140:L164" si="4">I140*(1+$M$8)+J140+K140</f>
        <v>0</v>
      </c>
      <c r="M140" s="1472"/>
      <c r="N140" s="412"/>
      <c r="O140" s="174"/>
      <c r="P140" s="174"/>
      <c r="Q140" s="175"/>
    </row>
    <row r="141" spans="2:17" x14ac:dyDescent="0.35">
      <c r="B141" s="1469"/>
      <c r="C141" s="1469"/>
      <c r="D141" s="344"/>
      <c r="E141" s="345"/>
      <c r="F141" s="557"/>
      <c r="G141" s="346"/>
      <c r="H141" s="553"/>
      <c r="I141" s="444"/>
      <c r="J141" s="553"/>
      <c r="K141" s="554"/>
      <c r="L141" s="417">
        <f t="shared" si="4"/>
        <v>0</v>
      </c>
      <c r="M141" s="1472"/>
      <c r="N141" s="412"/>
      <c r="O141" s="174"/>
      <c r="P141" s="174"/>
      <c r="Q141" s="175"/>
    </row>
    <row r="142" spans="2:17" x14ac:dyDescent="0.35">
      <c r="B142" s="1469"/>
      <c r="C142" s="1469"/>
      <c r="D142" s="176"/>
      <c r="E142" s="148"/>
      <c r="F142" s="148"/>
      <c r="G142" s="184"/>
      <c r="H142" s="439"/>
      <c r="I142" s="444"/>
      <c r="J142" s="441"/>
      <c r="K142" s="421"/>
      <c r="L142" s="417">
        <f t="shared" si="4"/>
        <v>0</v>
      </c>
      <c r="M142" s="1472"/>
      <c r="N142"/>
      <c r="O142" s="174"/>
      <c r="P142" s="174"/>
      <c r="Q142" s="175"/>
    </row>
    <row r="143" spans="2:17" x14ac:dyDescent="0.35">
      <c r="B143" s="1469"/>
      <c r="C143" s="1469"/>
      <c r="D143" s="176"/>
      <c r="E143" s="148"/>
      <c r="F143" s="148"/>
      <c r="G143" s="184"/>
      <c r="H143" s="439"/>
      <c r="I143" s="444"/>
      <c r="J143" s="441"/>
      <c r="K143" s="421"/>
      <c r="L143" s="417">
        <f t="shared" si="4"/>
        <v>0</v>
      </c>
      <c r="M143" s="1472"/>
      <c r="N143"/>
      <c r="O143" s="174"/>
      <c r="P143" s="174"/>
      <c r="Q143" s="175"/>
    </row>
    <row r="144" spans="2:17" x14ac:dyDescent="0.35">
      <c r="B144" s="1469"/>
      <c r="C144" s="1469"/>
      <c r="D144" s="176"/>
      <c r="E144" s="148"/>
      <c r="F144" s="148"/>
      <c r="G144" s="184"/>
      <c r="H144" s="439"/>
      <c r="I144" s="444"/>
      <c r="J144" s="441"/>
      <c r="K144" s="421"/>
      <c r="L144" s="417">
        <f t="shared" si="4"/>
        <v>0</v>
      </c>
      <c r="M144" s="1472"/>
      <c r="N144"/>
      <c r="O144" s="174"/>
      <c r="P144" s="174"/>
      <c r="Q144" s="175"/>
    </row>
    <row r="145" spans="2:17" x14ac:dyDescent="0.35">
      <c r="B145" s="1469"/>
      <c r="C145" s="1469"/>
      <c r="D145" s="176"/>
      <c r="E145" s="148"/>
      <c r="F145" s="148"/>
      <c r="G145" s="184"/>
      <c r="H145" s="439"/>
      <c r="I145" s="444"/>
      <c r="J145" s="441"/>
      <c r="K145" s="421"/>
      <c r="L145" s="417">
        <f t="shared" si="4"/>
        <v>0</v>
      </c>
      <c r="M145" s="1472"/>
      <c r="N145"/>
      <c r="O145" s="174"/>
      <c r="P145" s="174"/>
      <c r="Q145" s="175"/>
    </row>
    <row r="146" spans="2:17" x14ac:dyDescent="0.35">
      <c r="B146" s="1469"/>
      <c r="C146" s="1469"/>
      <c r="D146" s="176"/>
      <c r="E146" s="148"/>
      <c r="F146" s="148"/>
      <c r="G146" s="184"/>
      <c r="H146" s="439"/>
      <c r="I146" s="444"/>
      <c r="J146" s="441"/>
      <c r="K146" s="421"/>
      <c r="L146" s="417">
        <f t="shared" si="4"/>
        <v>0</v>
      </c>
      <c r="M146" s="1472"/>
      <c r="N146"/>
      <c r="O146" s="174"/>
      <c r="P146" s="174"/>
      <c r="Q146" s="170"/>
    </row>
    <row r="147" spans="2:17" x14ac:dyDescent="0.35">
      <c r="B147" s="1469"/>
      <c r="C147" s="1469"/>
      <c r="D147" s="176"/>
      <c r="E147" s="148"/>
      <c r="F147" s="148"/>
      <c r="G147" s="184"/>
      <c r="H147" s="439"/>
      <c r="I147" s="444"/>
      <c r="J147" s="441"/>
      <c r="K147" s="421"/>
      <c r="L147" s="417">
        <f t="shared" si="4"/>
        <v>0</v>
      </c>
      <c r="M147" s="1472"/>
      <c r="N147"/>
      <c r="O147" s="174"/>
      <c r="P147" s="174"/>
      <c r="Q147" s="170"/>
    </row>
    <row r="148" spans="2:17" x14ac:dyDescent="0.35">
      <c r="B148" s="1469"/>
      <c r="C148" s="1469"/>
      <c r="D148" s="176"/>
      <c r="E148" s="148"/>
      <c r="F148" s="148"/>
      <c r="G148" s="184"/>
      <c r="H148" s="439"/>
      <c r="I148" s="444"/>
      <c r="J148" s="441"/>
      <c r="K148" s="421"/>
      <c r="L148" s="417">
        <f t="shared" si="4"/>
        <v>0</v>
      </c>
      <c r="M148" s="1472"/>
      <c r="N148"/>
      <c r="O148" s="174"/>
      <c r="P148" s="174"/>
      <c r="Q148" s="170"/>
    </row>
    <row r="149" spans="2:17" x14ac:dyDescent="0.35">
      <c r="B149" s="1469"/>
      <c r="C149" s="1469"/>
      <c r="D149" s="176"/>
      <c r="E149" s="148"/>
      <c r="F149" s="148"/>
      <c r="G149" s="184"/>
      <c r="H149" s="439"/>
      <c r="I149" s="444"/>
      <c r="J149" s="441"/>
      <c r="K149" s="421"/>
      <c r="L149" s="417">
        <f t="shared" si="4"/>
        <v>0</v>
      </c>
      <c r="M149" s="1472"/>
      <c r="N149"/>
      <c r="O149" s="174"/>
      <c r="P149" s="174"/>
      <c r="Q149" s="170"/>
    </row>
    <row r="150" spans="2:17" ht="15" thickBot="1" x14ac:dyDescent="0.4">
      <c r="B150" s="1469"/>
      <c r="C150" s="1470"/>
      <c r="D150" s="150"/>
      <c r="E150" s="149"/>
      <c r="F150" s="149"/>
      <c r="G150" s="186"/>
      <c r="H150" s="151"/>
      <c r="I150" s="445"/>
      <c r="J150" s="442"/>
      <c r="K150" s="151"/>
      <c r="L150" s="418">
        <f t="shared" si="4"/>
        <v>0</v>
      </c>
      <c r="M150" s="1472"/>
      <c r="N150"/>
      <c r="O150" s="174"/>
      <c r="P150" s="174"/>
      <c r="Q150" s="170"/>
    </row>
    <row r="151" spans="2:17" x14ac:dyDescent="0.35">
      <c r="B151" s="1469"/>
      <c r="C151" s="1468" t="s">
        <v>175</v>
      </c>
      <c r="D151" s="146"/>
      <c r="E151" s="147"/>
      <c r="F151" s="147"/>
      <c r="G151" s="183"/>
      <c r="H151" s="352"/>
      <c r="I151" s="443"/>
      <c r="J151" s="446"/>
      <c r="K151" s="352"/>
      <c r="L151" s="423">
        <f t="shared" si="4"/>
        <v>0</v>
      </c>
      <c r="M151" s="1472"/>
      <c r="N151"/>
      <c r="O151" s="174"/>
      <c r="P151" s="174"/>
      <c r="Q151" s="170"/>
    </row>
    <row r="152" spans="2:17" x14ac:dyDescent="0.35">
      <c r="B152" s="1469"/>
      <c r="C152" s="1469"/>
      <c r="D152" s="176"/>
      <c r="E152" s="148"/>
      <c r="F152" s="148"/>
      <c r="G152" s="184"/>
      <c r="H152" s="439"/>
      <c r="I152" s="444"/>
      <c r="J152" s="441"/>
      <c r="K152" s="421"/>
      <c r="L152" s="417">
        <f t="shared" si="4"/>
        <v>0</v>
      </c>
      <c r="M152" s="1472"/>
    </row>
    <row r="153" spans="2:17" x14ac:dyDescent="0.35">
      <c r="B153" s="1469"/>
      <c r="C153" s="1469"/>
      <c r="D153" s="176"/>
      <c r="E153" s="148"/>
      <c r="F153" s="148"/>
      <c r="G153" s="184"/>
      <c r="H153" s="439"/>
      <c r="I153" s="444"/>
      <c r="J153" s="441"/>
      <c r="K153" s="421"/>
      <c r="L153" s="417">
        <f t="shared" si="4"/>
        <v>0</v>
      </c>
      <c r="M153" s="1472"/>
    </row>
    <row r="154" spans="2:17" x14ac:dyDescent="0.35">
      <c r="B154" s="1469"/>
      <c r="C154" s="1469"/>
      <c r="D154" s="176"/>
      <c r="E154" s="148"/>
      <c r="F154" s="148"/>
      <c r="G154" s="184"/>
      <c r="H154" s="439"/>
      <c r="I154" s="444"/>
      <c r="J154" s="441"/>
      <c r="K154" s="421"/>
      <c r="L154" s="417">
        <f t="shared" si="4"/>
        <v>0</v>
      </c>
      <c r="M154" s="1472"/>
    </row>
    <row r="155" spans="2:17" x14ac:dyDescent="0.35">
      <c r="B155" s="1469"/>
      <c r="C155" s="1469"/>
      <c r="D155" s="176"/>
      <c r="E155" s="148"/>
      <c r="F155" s="148"/>
      <c r="G155" s="184"/>
      <c r="H155" s="439"/>
      <c r="I155" s="444"/>
      <c r="J155" s="441"/>
      <c r="K155" s="421"/>
      <c r="L155" s="417">
        <f t="shared" si="4"/>
        <v>0</v>
      </c>
      <c r="M155" s="1472"/>
    </row>
    <row r="156" spans="2:17" x14ac:dyDescent="0.35">
      <c r="B156" s="1469"/>
      <c r="C156" s="1469"/>
      <c r="D156" s="176"/>
      <c r="E156" s="148"/>
      <c r="F156" s="148"/>
      <c r="G156" s="184"/>
      <c r="H156" s="439"/>
      <c r="I156" s="444"/>
      <c r="J156" s="441"/>
      <c r="K156" s="421"/>
      <c r="L156" s="417">
        <f t="shared" si="4"/>
        <v>0</v>
      </c>
      <c r="M156" s="1472"/>
    </row>
    <row r="157" spans="2:17" x14ac:dyDescent="0.35">
      <c r="B157" s="1469"/>
      <c r="C157" s="1469"/>
      <c r="D157" s="176"/>
      <c r="E157" s="148"/>
      <c r="F157" s="148"/>
      <c r="G157" s="184"/>
      <c r="H157" s="439"/>
      <c r="I157" s="444"/>
      <c r="J157" s="441"/>
      <c r="K157" s="421"/>
      <c r="L157" s="417">
        <f t="shared" si="4"/>
        <v>0</v>
      </c>
      <c r="M157" s="1472"/>
    </row>
    <row r="158" spans="2:17" x14ac:dyDescent="0.35">
      <c r="B158" s="1469"/>
      <c r="C158" s="1469"/>
      <c r="D158" s="176"/>
      <c r="E158" s="148"/>
      <c r="F158" s="148"/>
      <c r="G158" s="184"/>
      <c r="H158" s="439"/>
      <c r="I158" s="444"/>
      <c r="J158" s="441"/>
      <c r="K158" s="421"/>
      <c r="L158" s="417">
        <f t="shared" si="4"/>
        <v>0</v>
      </c>
      <c r="M158" s="1472"/>
    </row>
    <row r="159" spans="2:17" x14ac:dyDescent="0.35">
      <c r="B159" s="1469"/>
      <c r="C159" s="1469"/>
      <c r="D159" s="176"/>
      <c r="E159" s="148"/>
      <c r="F159" s="148"/>
      <c r="G159" s="184"/>
      <c r="H159" s="439"/>
      <c r="I159" s="444"/>
      <c r="J159" s="441"/>
      <c r="K159" s="421"/>
      <c r="L159" s="417">
        <f t="shared" si="4"/>
        <v>0</v>
      </c>
      <c r="M159" s="1472"/>
    </row>
    <row r="160" spans="2:17" x14ac:dyDescent="0.35">
      <c r="B160" s="1469"/>
      <c r="C160" s="1469"/>
      <c r="D160" s="176"/>
      <c r="E160" s="148"/>
      <c r="F160" s="148"/>
      <c r="G160" s="184"/>
      <c r="H160" s="439"/>
      <c r="I160" s="444"/>
      <c r="J160" s="441"/>
      <c r="K160" s="421"/>
      <c r="L160" s="417">
        <f t="shared" si="4"/>
        <v>0</v>
      </c>
      <c r="M160" s="1472"/>
    </row>
    <row r="161" spans="2:13" x14ac:dyDescent="0.35">
      <c r="B161" s="1469"/>
      <c r="C161" s="1469"/>
      <c r="D161" s="176"/>
      <c r="E161" s="148"/>
      <c r="F161" s="148"/>
      <c r="G161" s="184"/>
      <c r="H161" s="439"/>
      <c r="I161" s="444"/>
      <c r="J161" s="441"/>
      <c r="K161" s="421"/>
      <c r="L161" s="417">
        <f t="shared" si="4"/>
        <v>0</v>
      </c>
      <c r="M161" s="1472"/>
    </row>
    <row r="162" spans="2:13" x14ac:dyDescent="0.35">
      <c r="B162" s="1469"/>
      <c r="C162" s="1469"/>
      <c r="D162" s="176"/>
      <c r="E162" s="148"/>
      <c r="F162" s="148"/>
      <c r="G162" s="184"/>
      <c r="H162" s="439"/>
      <c r="I162" s="444"/>
      <c r="J162" s="441"/>
      <c r="K162" s="421"/>
      <c r="L162" s="417">
        <f t="shared" si="4"/>
        <v>0</v>
      </c>
      <c r="M162" s="1472"/>
    </row>
    <row r="163" spans="2:13" x14ac:dyDescent="0.35">
      <c r="B163" s="1469"/>
      <c r="C163" s="1469"/>
      <c r="D163" s="179"/>
      <c r="E163" s="148"/>
      <c r="F163" s="148"/>
      <c r="G163" s="184"/>
      <c r="H163" s="439"/>
      <c r="I163" s="444"/>
      <c r="J163" s="441"/>
      <c r="K163" s="421"/>
      <c r="L163" s="417">
        <f t="shared" si="4"/>
        <v>0</v>
      </c>
      <c r="M163" s="1472"/>
    </row>
    <row r="164" spans="2:13" ht="15" thickBot="1" x14ac:dyDescent="0.4">
      <c r="B164" s="1470"/>
      <c r="C164" s="1470"/>
      <c r="D164" s="185"/>
      <c r="E164" s="149"/>
      <c r="F164" s="149"/>
      <c r="G164" s="186"/>
      <c r="H164" s="151"/>
      <c r="I164" s="445"/>
      <c r="J164" s="442"/>
      <c r="K164" s="151"/>
      <c r="L164" s="418">
        <f t="shared" si="4"/>
        <v>0</v>
      </c>
      <c r="M164" s="1473"/>
    </row>
    <row r="166" spans="2:13" x14ac:dyDescent="0.35">
      <c r="H166" s="1566"/>
      <c r="I166" s="1567"/>
      <c r="J166" s="1566"/>
      <c r="M166" s="571"/>
    </row>
    <row r="167" spans="2:13" x14ac:dyDescent="0.35">
      <c r="H167" s="1568"/>
      <c r="I167" s="1569"/>
      <c r="J167" s="1566"/>
    </row>
    <row r="168" spans="2:13" x14ac:dyDescent="0.35">
      <c r="H168" s="1566"/>
      <c r="I168" s="1566"/>
      <c r="J168" s="1566"/>
    </row>
  </sheetData>
  <mergeCells count="38">
    <mergeCell ref="B7:F7"/>
    <mergeCell ref="B9:B10"/>
    <mergeCell ref="C9:C10"/>
    <mergeCell ref="D9:D10"/>
    <mergeCell ref="E9:E10"/>
    <mergeCell ref="F9:F10"/>
    <mergeCell ref="B39:B52"/>
    <mergeCell ref="C39:C52"/>
    <mergeCell ref="M39:M52"/>
    <mergeCell ref="G9:G10"/>
    <mergeCell ref="H9:H10"/>
    <mergeCell ref="I9:I10"/>
    <mergeCell ref="J9:J10"/>
    <mergeCell ref="K9:K10"/>
    <mergeCell ref="L9:L10"/>
    <mergeCell ref="M9:M10"/>
    <mergeCell ref="B11:B38"/>
    <mergeCell ref="C11:C24"/>
    <mergeCell ref="M11:M38"/>
    <mergeCell ref="C25:C38"/>
    <mergeCell ref="B53:B80"/>
    <mergeCell ref="C53:C66"/>
    <mergeCell ref="M53:M80"/>
    <mergeCell ref="C67:C80"/>
    <mergeCell ref="B81:B94"/>
    <mergeCell ref="C81:C94"/>
    <mergeCell ref="M81:M94"/>
    <mergeCell ref="B137:B164"/>
    <mergeCell ref="C137:C150"/>
    <mergeCell ref="M137:M164"/>
    <mergeCell ref="C151:C164"/>
    <mergeCell ref="B95:B122"/>
    <mergeCell ref="C95:C108"/>
    <mergeCell ref="M95:M122"/>
    <mergeCell ref="C109:C122"/>
    <mergeCell ref="B123:B136"/>
    <mergeCell ref="C123:C136"/>
    <mergeCell ref="M123:M136"/>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Instructivo</vt:lpstr>
      <vt:lpstr>A) Resumen Ingresos y Egresos</vt:lpstr>
      <vt:lpstr>B) Reajuste Tarifa y Ocupación</vt:lpstr>
      <vt:lpstr>IVA</vt:lpstr>
      <vt:lpstr>% Reajuste</vt:lpstr>
      <vt:lpstr>C) Estimación Costos Directos</vt:lpstr>
      <vt:lpstr>D) Costos Indirectos</vt:lpstr>
      <vt:lpstr>E) Resumen Tarifado </vt:lpstr>
      <vt:lpstr>F) Remuneraciones</vt:lpstr>
      <vt:lpstr>G) Comparación Mercado</vt:lpstr>
      <vt:lpstr>H) Detalle Datos</vt:lpstr>
      <vt:lpstr>I) Costo Desayuno</vt:lpstr>
      <vt:lpstr>J)Estructura Económica Mensual</vt:lpstr>
      <vt:lpstr>K)</vt:lpstr>
      <vt:lpst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352 Joaquin Rodrigo</dc:creator>
  <cp:lastModifiedBy>Asistencia Recreativa</cp:lastModifiedBy>
  <cp:lastPrinted>2024-10-10T14:21:04Z</cp:lastPrinted>
  <dcterms:created xsi:type="dcterms:W3CDTF">2022-05-03T15:31:20Z</dcterms:created>
  <dcterms:modified xsi:type="dcterms:W3CDTF">2025-11-06T16:01:28Z</dcterms:modified>
</cp:coreProperties>
</file>