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G:\Documentos\2025\TARIFAS 2026\A. RECREATIVA\02. PROPUESTA DIREBIEN 2026\"/>
    </mc:Choice>
  </mc:AlternateContent>
  <xr:revisionPtr revIDLastSave="0" documentId="13_ncr:1_{3B12B4AC-7640-4E28-B8CC-085EC759C807}" xr6:coauthVersionLast="47" xr6:coauthVersionMax="47" xr10:uidLastSave="{00000000-0000-0000-0000-000000000000}"/>
  <bookViews>
    <workbookView xWindow="14385" yWindow="-15" windowWidth="14430" windowHeight="15510" tabRatio="889" activeTab="8" xr2:uid="{00000000-000D-0000-FFFF-FFFF00000000}"/>
  </bookViews>
  <sheets>
    <sheet name="Instructivo" sheetId="14" r:id="rId1"/>
    <sheet name="Índice Tablas" sheetId="13" r:id="rId2"/>
    <sheet name="Analisis" sheetId="15" state="hidden" r:id="rId3"/>
    <sheet name="A) Resumen Ingresos y Egresos" sheetId="10" r:id="rId4"/>
    <sheet name="B) Reajuste Tarifas y Ocupación" sheetId="1" r:id="rId5"/>
    <sheet name="Hoja1" sheetId="17" state="hidden" r:id="rId6"/>
    <sheet name="% Reajuste" sheetId="16" state="hidden" r:id="rId7"/>
    <sheet name="C) Estimación Costos Directos" sheetId="2" r:id="rId8"/>
    <sheet name="D) Costos Indirectos " sheetId="3" r:id="rId9"/>
    <sheet name="E) Resumen Tarifado " sheetId="4" r:id="rId10"/>
    <sheet name="F) Remuneraciones" sheetId="5" r:id="rId11"/>
    <sheet name="G) Comparación Mercado" sheetId="6" r:id="rId12"/>
    <sheet name="H) Detalle Datos" sheetId="7" r:id="rId13"/>
    <sheet name="I) Costo Desayuno" sheetId="8" r:id="rId14"/>
    <sheet name="J) Estructura Económica Mensual" sheetId="9" r:id="rId15"/>
  </sheets>
  <externalReferences>
    <externalReference r:id="rId16"/>
  </externalReferences>
  <definedNames>
    <definedName name="_xlnm.Print_Area" localSheetId="3">'A) Resumen Ingresos y Egresos'!$A$20:$J$82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0" l="1"/>
  <c r="D297" i="2"/>
  <c r="H26" i="5" l="1"/>
  <c r="H40" i="5"/>
  <c r="H12" i="5"/>
  <c r="I12" i="5" l="1"/>
  <c r="I15" i="3"/>
  <c r="K7" i="17"/>
  <c r="K11" i="17"/>
  <c r="K13" i="17"/>
  <c r="K16" i="17"/>
  <c r="J6" i="17"/>
  <c r="J10" i="17"/>
  <c r="J15" i="17"/>
  <c r="J18" i="17"/>
  <c r="H6" i="17"/>
  <c r="K6" i="17" s="1"/>
  <c r="H7" i="17"/>
  <c r="H8" i="17"/>
  <c r="K8" i="17" s="1"/>
  <c r="H10" i="17"/>
  <c r="K10" i="17" s="1"/>
  <c r="H11" i="17"/>
  <c r="H12" i="17"/>
  <c r="K12" i="17" s="1"/>
  <c r="H13" i="17"/>
  <c r="H14" i="17"/>
  <c r="K14" i="17" s="1"/>
  <c r="H15" i="17"/>
  <c r="K15" i="17" s="1"/>
  <c r="H16" i="17"/>
  <c r="H17" i="17"/>
  <c r="K17" i="17" s="1"/>
  <c r="H18" i="17"/>
  <c r="K18" i="17" s="1"/>
  <c r="H19" i="17"/>
  <c r="K19" i="17" s="1"/>
  <c r="H5" i="17"/>
  <c r="K5" i="17" s="1"/>
  <c r="G6" i="17"/>
  <c r="G7" i="17"/>
  <c r="J7" i="17" s="1"/>
  <c r="G8" i="17"/>
  <c r="J8" i="17" s="1"/>
  <c r="G10" i="17"/>
  <c r="G11" i="17"/>
  <c r="J11" i="17" s="1"/>
  <c r="G12" i="17"/>
  <c r="J12" i="17" s="1"/>
  <c r="G13" i="17"/>
  <c r="J13" i="17" s="1"/>
  <c r="G14" i="17"/>
  <c r="J14" i="17" s="1"/>
  <c r="G15" i="17"/>
  <c r="G16" i="17"/>
  <c r="J16" i="17" s="1"/>
  <c r="G17" i="17"/>
  <c r="J17" i="17" s="1"/>
  <c r="G18" i="17"/>
  <c r="G19" i="17"/>
  <c r="J19" i="17" s="1"/>
  <c r="G5" i="17"/>
  <c r="J5" i="17" s="1"/>
  <c r="M25" i="1"/>
  <c r="Q25" i="1" s="1"/>
  <c r="L25" i="1"/>
  <c r="P25" i="1" s="1"/>
  <c r="K25" i="1"/>
  <c r="O25" i="1" s="1"/>
  <c r="I13" i="5"/>
  <c r="I14" i="5"/>
  <c r="I15" i="5"/>
  <c r="I16" i="5"/>
  <c r="I17" i="5"/>
  <c r="I18" i="5"/>
  <c r="I19" i="5"/>
  <c r="I20" i="5"/>
  <c r="I21" i="5"/>
  <c r="I22" i="5"/>
  <c r="I23" i="5"/>
  <c r="I24" i="5"/>
  <c r="I25" i="5"/>
  <c r="I26" i="5"/>
  <c r="D45" i="2"/>
  <c r="I6" i="16"/>
  <c r="L6" i="16" s="1"/>
  <c r="J6" i="16"/>
  <c r="M6" i="16" s="1"/>
  <c r="I7" i="16"/>
  <c r="L7" i="16" s="1"/>
  <c r="J7" i="16"/>
  <c r="M7" i="16" s="1"/>
  <c r="I8" i="16"/>
  <c r="L8" i="16" s="1"/>
  <c r="J8" i="16"/>
  <c r="M8" i="16" s="1"/>
  <c r="I9" i="16"/>
  <c r="J9" i="16"/>
  <c r="I10" i="16"/>
  <c r="L10" i="16" s="1"/>
  <c r="J10" i="16"/>
  <c r="M10" i="16" s="1"/>
  <c r="I11" i="16"/>
  <c r="L11" i="16" s="1"/>
  <c r="J11" i="16"/>
  <c r="M11" i="16" s="1"/>
  <c r="I12" i="16"/>
  <c r="L12" i="16" s="1"/>
  <c r="J12" i="16"/>
  <c r="M12" i="16" s="1"/>
  <c r="I13" i="16"/>
  <c r="L13" i="16" s="1"/>
  <c r="J13" i="16"/>
  <c r="M13" i="16" s="1"/>
  <c r="I14" i="16"/>
  <c r="L14" i="16" s="1"/>
  <c r="J14" i="16"/>
  <c r="M14" i="16" s="1"/>
  <c r="I15" i="16"/>
  <c r="L15" i="16" s="1"/>
  <c r="J15" i="16"/>
  <c r="M15" i="16" s="1"/>
  <c r="I16" i="16"/>
  <c r="L16" i="16" s="1"/>
  <c r="J16" i="16"/>
  <c r="M16" i="16" s="1"/>
  <c r="I17" i="16"/>
  <c r="L17" i="16" s="1"/>
  <c r="J17" i="16"/>
  <c r="M17" i="16" s="1"/>
  <c r="I18" i="16"/>
  <c r="L18" i="16" s="1"/>
  <c r="J18" i="16"/>
  <c r="M18" i="16" s="1"/>
  <c r="I19" i="16"/>
  <c r="L19" i="16" s="1"/>
  <c r="J19" i="16"/>
  <c r="M19" i="16" s="1"/>
  <c r="J5" i="16"/>
  <c r="M5" i="16" s="1"/>
  <c r="I5" i="16"/>
  <c r="L5" i="16" s="1"/>
  <c r="J25" i="1" l="1"/>
  <c r="N25" i="1" s="1"/>
  <c r="K88" i="3"/>
  <c r="J88" i="3"/>
  <c r="K87" i="3"/>
  <c r="J87" i="3"/>
  <c r="K86" i="3"/>
  <c r="J86" i="3"/>
  <c r="K85" i="3"/>
  <c r="J85" i="3"/>
  <c r="K84" i="3"/>
  <c r="J84" i="3"/>
  <c r="K80" i="3"/>
  <c r="J80" i="3"/>
  <c r="K79" i="3"/>
  <c r="J79" i="3"/>
  <c r="W78" i="3"/>
  <c r="K78" i="3"/>
  <c r="J78" i="3"/>
  <c r="K77" i="3"/>
  <c r="J77" i="3"/>
  <c r="K76" i="3"/>
  <c r="J76" i="3"/>
  <c r="K72" i="3"/>
  <c r="J72" i="3"/>
  <c r="K71" i="3"/>
  <c r="J71" i="3"/>
  <c r="W70" i="3"/>
  <c r="K70" i="3"/>
  <c r="J70" i="3"/>
  <c r="K69" i="3"/>
  <c r="J69" i="3"/>
  <c r="K68" i="3"/>
  <c r="J68" i="3"/>
  <c r="S61" i="3"/>
  <c r="K61" i="3"/>
  <c r="R61" i="3" s="1"/>
  <c r="J61" i="3"/>
  <c r="W60" i="3"/>
  <c r="S60" i="3"/>
  <c r="K60" i="3"/>
  <c r="P60" i="3" s="1"/>
  <c r="J60" i="3"/>
  <c r="S59" i="3"/>
  <c r="K59" i="3"/>
  <c r="P59" i="3" s="1"/>
  <c r="J59" i="3"/>
  <c r="S58" i="3"/>
  <c r="K58" i="3"/>
  <c r="P58" i="3" s="1"/>
  <c r="J58" i="3"/>
  <c r="S57" i="3"/>
  <c r="K57" i="3"/>
  <c r="R57" i="3" s="1"/>
  <c r="J57" i="3"/>
  <c r="S56" i="3"/>
  <c r="K56" i="3"/>
  <c r="P56" i="3" s="1"/>
  <c r="J56" i="3"/>
  <c r="S55" i="3"/>
  <c r="K55" i="3"/>
  <c r="R55" i="3" s="1"/>
  <c r="J55" i="3"/>
  <c r="S54" i="3"/>
  <c r="K54" i="3"/>
  <c r="P54" i="3" s="1"/>
  <c r="J54" i="3"/>
  <c r="S53" i="3"/>
  <c r="K53" i="3"/>
  <c r="R53" i="3" s="1"/>
  <c r="J53" i="3"/>
  <c r="S52" i="3"/>
  <c r="K52" i="3"/>
  <c r="P52" i="3" s="1"/>
  <c r="J52" i="3"/>
  <c r="S51" i="3"/>
  <c r="K51" i="3"/>
  <c r="P51" i="3" s="1"/>
  <c r="J51" i="3"/>
  <c r="S50" i="3"/>
  <c r="K50" i="3"/>
  <c r="P50" i="3" s="1"/>
  <c r="J50" i="3"/>
  <c r="W49" i="3"/>
  <c r="S49" i="3"/>
  <c r="K49" i="3"/>
  <c r="N49" i="3" s="1"/>
  <c r="J49" i="3"/>
  <c r="S48" i="3"/>
  <c r="K48" i="3"/>
  <c r="R48" i="3" s="1"/>
  <c r="J48" i="3"/>
  <c r="S47" i="3"/>
  <c r="K47" i="3"/>
  <c r="N47" i="3" s="1"/>
  <c r="J47" i="3"/>
  <c r="W46" i="3"/>
  <c r="S46" i="3"/>
  <c r="K46" i="3"/>
  <c r="R46" i="3" s="1"/>
  <c r="J46" i="3"/>
  <c r="S45" i="3"/>
  <c r="K45" i="3"/>
  <c r="P45" i="3" s="1"/>
  <c r="J45" i="3"/>
  <c r="S44" i="3"/>
  <c r="K44" i="3"/>
  <c r="R44" i="3" s="1"/>
  <c r="J44" i="3"/>
  <c r="S43" i="3"/>
  <c r="K43" i="3"/>
  <c r="P43" i="3" s="1"/>
  <c r="J43" i="3"/>
  <c r="S42" i="3"/>
  <c r="K42" i="3"/>
  <c r="R42" i="3" s="1"/>
  <c r="J42" i="3"/>
  <c r="W41" i="3"/>
  <c r="S41" i="3"/>
  <c r="K41" i="3"/>
  <c r="R41" i="3" s="1"/>
  <c r="J41" i="3"/>
  <c r="S40" i="3"/>
  <c r="K40" i="3"/>
  <c r="P40" i="3" s="1"/>
  <c r="J40" i="3"/>
  <c r="S39" i="3"/>
  <c r="K39" i="3"/>
  <c r="R39" i="3" s="1"/>
  <c r="J39" i="3"/>
  <c r="S38" i="3"/>
  <c r="K38" i="3"/>
  <c r="P38" i="3" s="1"/>
  <c r="J38" i="3"/>
  <c r="S37" i="3"/>
  <c r="K37" i="3"/>
  <c r="R37" i="3" s="1"/>
  <c r="J37" i="3"/>
  <c r="S36" i="3"/>
  <c r="K36" i="3"/>
  <c r="P36" i="3" s="1"/>
  <c r="J36" i="3"/>
  <c r="S35" i="3"/>
  <c r="K35" i="3"/>
  <c r="P35" i="3" s="1"/>
  <c r="J35" i="3"/>
  <c r="S34" i="3"/>
  <c r="K34" i="3"/>
  <c r="P34" i="3" s="1"/>
  <c r="J34" i="3"/>
  <c r="S33" i="3"/>
  <c r="K33" i="3"/>
  <c r="R33" i="3" s="1"/>
  <c r="J33" i="3"/>
  <c r="S32" i="3"/>
  <c r="K32" i="3"/>
  <c r="P32" i="3" s="1"/>
  <c r="J32" i="3"/>
  <c r="S31" i="3"/>
  <c r="K31" i="3"/>
  <c r="R31" i="3" s="1"/>
  <c r="J31" i="3"/>
  <c r="S30" i="3"/>
  <c r="K30" i="3"/>
  <c r="P30" i="3" s="1"/>
  <c r="J30" i="3"/>
  <c r="S29" i="3"/>
  <c r="K29" i="3"/>
  <c r="R29" i="3" s="1"/>
  <c r="J29" i="3"/>
  <c r="S28" i="3"/>
  <c r="K28" i="3"/>
  <c r="P28" i="3" s="1"/>
  <c r="J28" i="3"/>
  <c r="S27" i="3"/>
  <c r="K27" i="3"/>
  <c r="P27" i="3" s="1"/>
  <c r="J27" i="3"/>
  <c r="S26" i="3"/>
  <c r="K26" i="3"/>
  <c r="P26" i="3" s="1"/>
  <c r="J26" i="3"/>
  <c r="S25" i="3"/>
  <c r="K25" i="3"/>
  <c r="R25" i="3" s="1"/>
  <c r="J25" i="3"/>
  <c r="S24" i="3"/>
  <c r="K24" i="3"/>
  <c r="P24" i="3" s="1"/>
  <c r="J24" i="3"/>
  <c r="S23" i="3"/>
  <c r="K23" i="3"/>
  <c r="R23" i="3" s="1"/>
  <c r="J23" i="3"/>
  <c r="S22" i="3"/>
  <c r="K22" i="3"/>
  <c r="P22" i="3" s="1"/>
  <c r="J22" i="3"/>
  <c r="S21" i="3"/>
  <c r="K21" i="3"/>
  <c r="R21" i="3" s="1"/>
  <c r="J21" i="3"/>
  <c r="W20" i="3"/>
  <c r="S20" i="3"/>
  <c r="K20" i="3"/>
  <c r="R20" i="3" s="1"/>
  <c r="J20" i="3"/>
  <c r="S19" i="3"/>
  <c r="K19" i="3"/>
  <c r="N19" i="3" s="1"/>
  <c r="J19" i="3"/>
  <c r="S18" i="3"/>
  <c r="K18" i="3"/>
  <c r="R18" i="3" s="1"/>
  <c r="J18" i="3"/>
  <c r="S17" i="3"/>
  <c r="K17" i="3"/>
  <c r="N17" i="3" s="1"/>
  <c r="J17" i="3"/>
  <c r="W16" i="3"/>
  <c r="S16" i="3"/>
  <c r="K16" i="3"/>
  <c r="P16" i="3" s="1"/>
  <c r="J16" i="3"/>
  <c r="S15" i="3"/>
  <c r="K15" i="3"/>
  <c r="P15" i="3" s="1"/>
  <c r="J15" i="3"/>
  <c r="K56" i="9"/>
  <c r="C56" i="9"/>
  <c r="N56" i="9" s="1"/>
  <c r="O56" i="9" s="1"/>
  <c r="K45" i="9"/>
  <c r="C45" i="9"/>
  <c r="K34" i="9"/>
  <c r="C34" i="9"/>
  <c r="K23" i="9"/>
  <c r="C23" i="9"/>
  <c r="J10" i="9"/>
  <c r="K12" i="9"/>
  <c r="C12" i="9"/>
  <c r="D10" i="9"/>
  <c r="F10" i="9"/>
  <c r="G10" i="9"/>
  <c r="H10" i="9"/>
  <c r="I10" i="9"/>
  <c r="M10" i="9"/>
  <c r="N10" i="9"/>
  <c r="G32" i="2"/>
  <c r="H32" i="2" s="1"/>
  <c r="J21" i="1"/>
  <c r="N21" i="1" s="1"/>
  <c r="J22" i="1"/>
  <c r="N22" i="1" s="1"/>
  <c r="J23" i="1"/>
  <c r="N23" i="1" s="1"/>
  <c r="J24" i="1"/>
  <c r="N24" i="1" s="1"/>
  <c r="E12" i="9"/>
  <c r="I68" i="5"/>
  <c r="D54" i="9" s="1"/>
  <c r="I54" i="5"/>
  <c r="D43" i="9" s="1"/>
  <c r="I40" i="5"/>
  <c r="G32" i="9" s="1"/>
  <c r="G21" i="9"/>
  <c r="L12" i="1"/>
  <c r="D25" i="10"/>
  <c r="E25" i="10"/>
  <c r="L13" i="1"/>
  <c r="D28" i="10"/>
  <c r="L14" i="1"/>
  <c r="E12" i="4" s="1"/>
  <c r="D31" i="10"/>
  <c r="L15" i="1"/>
  <c r="M15" i="1"/>
  <c r="L21" i="1"/>
  <c r="E19" i="4" s="1"/>
  <c r="M21" i="1"/>
  <c r="E53" i="10"/>
  <c r="L22" i="1"/>
  <c r="D27" i="6" s="1"/>
  <c r="G27" i="6" s="1"/>
  <c r="M22" i="1"/>
  <c r="F20" i="4" s="1"/>
  <c r="E56" i="10"/>
  <c r="L23" i="1"/>
  <c r="M23" i="1"/>
  <c r="F21" i="4" s="1"/>
  <c r="E60" i="10"/>
  <c r="L24" i="1"/>
  <c r="M24" i="1"/>
  <c r="E63" i="10"/>
  <c r="L26" i="1"/>
  <c r="P26" i="1" s="1"/>
  <c r="E67" i="10"/>
  <c r="K13" i="1"/>
  <c r="K14" i="1"/>
  <c r="K19" i="1" s="1"/>
  <c r="K15" i="1"/>
  <c r="K12" i="1"/>
  <c r="E24" i="10" s="1"/>
  <c r="L18" i="5"/>
  <c r="G339" i="2"/>
  <c r="H339" i="2" s="1"/>
  <c r="E16" i="8"/>
  <c r="E17" i="8"/>
  <c r="E18" i="8"/>
  <c r="E19" i="8"/>
  <c r="E20" i="8"/>
  <c r="E21" i="8"/>
  <c r="E22" i="8"/>
  <c r="E23" i="8"/>
  <c r="E24" i="8"/>
  <c r="E25" i="8"/>
  <c r="E26" i="8"/>
  <c r="E15" i="8"/>
  <c r="I11" i="5"/>
  <c r="L11" i="5" s="1"/>
  <c r="H196" i="2"/>
  <c r="H197" i="2"/>
  <c r="M31" i="6"/>
  <c r="Q58" i="9"/>
  <c r="Q57" i="9"/>
  <c r="Q56" i="9"/>
  <c r="Q54" i="9"/>
  <c r="Q53" i="9"/>
  <c r="Q47" i="9"/>
  <c r="Q46" i="9"/>
  <c r="Q45" i="9"/>
  <c r="Q43" i="9"/>
  <c r="Q42" i="9"/>
  <c r="Q36" i="9"/>
  <c r="Q35" i="9"/>
  <c r="Q34" i="9"/>
  <c r="Q32" i="9"/>
  <c r="Q31" i="9"/>
  <c r="Q25" i="9"/>
  <c r="Q24" i="9"/>
  <c r="Q23" i="9"/>
  <c r="Q21" i="9"/>
  <c r="Q20" i="9"/>
  <c r="Q14" i="9"/>
  <c r="Q13" i="9"/>
  <c r="Q12" i="9"/>
  <c r="Q10" i="9"/>
  <c r="Q9" i="9"/>
  <c r="A28" i="6"/>
  <c r="B67" i="5"/>
  <c r="I80" i="5"/>
  <c r="L80" i="5" s="1"/>
  <c r="I79" i="5"/>
  <c r="L79" i="5" s="1"/>
  <c r="I78" i="5"/>
  <c r="L78" i="5" s="1"/>
  <c r="I77" i="5"/>
  <c r="L77" i="5" s="1"/>
  <c r="I76" i="5"/>
  <c r="L76" i="5" s="1"/>
  <c r="I75" i="5"/>
  <c r="L75" i="5" s="1"/>
  <c r="I74" i="5"/>
  <c r="L74" i="5" s="1"/>
  <c r="I73" i="5"/>
  <c r="L73" i="5" s="1"/>
  <c r="I72" i="5"/>
  <c r="L72" i="5" s="1"/>
  <c r="I71" i="5"/>
  <c r="L71" i="5" s="1"/>
  <c r="I70" i="5"/>
  <c r="L70" i="5" s="1"/>
  <c r="I69" i="5"/>
  <c r="L69" i="5" s="1"/>
  <c r="I67" i="5"/>
  <c r="L67" i="5" s="1"/>
  <c r="A297" i="2"/>
  <c r="G365" i="2"/>
  <c r="H365" i="2" s="1"/>
  <c r="G364" i="2"/>
  <c r="H364" i="2" s="1"/>
  <c r="D363" i="2"/>
  <c r="G362" i="2"/>
  <c r="H362" i="2"/>
  <c r="G361" i="2"/>
  <c r="H361" i="2" s="1"/>
  <c r="G360" i="2"/>
  <c r="H360" i="2" s="1"/>
  <c r="G359" i="2"/>
  <c r="H359" i="2"/>
  <c r="G358" i="2"/>
  <c r="H358" i="2" s="1"/>
  <c r="G357" i="2"/>
  <c r="H357" i="2"/>
  <c r="G356" i="2"/>
  <c r="H356" i="2" s="1"/>
  <c r="D355" i="2"/>
  <c r="G354" i="2"/>
  <c r="H354" i="2" s="1"/>
  <c r="G13" i="10" s="1"/>
  <c r="G353" i="2"/>
  <c r="H353" i="2" s="1"/>
  <c r="G352" i="2"/>
  <c r="H352" i="2" s="1"/>
  <c r="G351" i="2"/>
  <c r="H351" i="2"/>
  <c r="G350" i="2"/>
  <c r="H350" i="2" s="1"/>
  <c r="G349" i="2"/>
  <c r="H349" i="2" s="1"/>
  <c r="G348" i="2"/>
  <c r="H348" i="2" s="1"/>
  <c r="G347" i="2"/>
  <c r="H347" i="2" s="1"/>
  <c r="G346" i="2"/>
  <c r="H346" i="2"/>
  <c r="D345" i="2"/>
  <c r="G344" i="2"/>
  <c r="H344" i="2" s="1"/>
  <c r="G343" i="2"/>
  <c r="H343" i="2" s="1"/>
  <c r="G342" i="2"/>
  <c r="H342" i="2" s="1"/>
  <c r="G341" i="2"/>
  <c r="H341" i="2"/>
  <c r="G340" i="2"/>
  <c r="H340" i="2" s="1"/>
  <c r="D334" i="2"/>
  <c r="G338" i="2"/>
  <c r="H338" i="2" s="1"/>
  <c r="G337" i="2"/>
  <c r="H337" i="2" s="1"/>
  <c r="G336" i="2"/>
  <c r="H336" i="2"/>
  <c r="G335" i="2"/>
  <c r="H335" i="2" s="1"/>
  <c r="G333" i="2"/>
  <c r="H333" i="2" s="1"/>
  <c r="G332" i="2"/>
  <c r="G331" i="2"/>
  <c r="D331" i="2"/>
  <c r="G330" i="2"/>
  <c r="H330" i="2"/>
  <c r="G329" i="2"/>
  <c r="H329" i="2" s="1"/>
  <c r="G328" i="2"/>
  <c r="H328" i="2" s="1"/>
  <c r="G327" i="2"/>
  <c r="H327" i="2" s="1"/>
  <c r="D326" i="2"/>
  <c r="G324" i="2"/>
  <c r="H324" i="2" s="1"/>
  <c r="G323" i="2"/>
  <c r="H323" i="2"/>
  <c r="G322" i="2"/>
  <c r="H322" i="2"/>
  <c r="G321" i="2"/>
  <c r="H321" i="2" s="1"/>
  <c r="G320" i="2"/>
  <c r="H320" i="2" s="1"/>
  <c r="G319" i="2"/>
  <c r="H319" i="2" s="1"/>
  <c r="G318" i="2"/>
  <c r="H318" i="2"/>
  <c r="G317" i="2"/>
  <c r="H317" i="2"/>
  <c r="G316" i="2"/>
  <c r="H316" i="2"/>
  <c r="G315" i="2"/>
  <c r="H315" i="2" s="1"/>
  <c r="G314" i="2"/>
  <c r="H314" i="2" s="1"/>
  <c r="G313" i="2"/>
  <c r="H313" i="2" s="1"/>
  <c r="G312" i="2"/>
  <c r="H312" i="2"/>
  <c r="G311" i="2"/>
  <c r="H311" i="2"/>
  <c r="G310" i="2"/>
  <c r="H310" i="2" s="1"/>
  <c r="G309" i="2"/>
  <c r="H309" i="2"/>
  <c r="G308" i="2"/>
  <c r="H308" i="2" s="1"/>
  <c r="G307" i="2"/>
  <c r="H307" i="2" s="1"/>
  <c r="G306" i="2"/>
  <c r="H306" i="2" s="1"/>
  <c r="D305" i="2"/>
  <c r="G304" i="2"/>
  <c r="G303" i="2" s="1"/>
  <c r="D303" i="2"/>
  <c r="G302" i="2"/>
  <c r="G301" i="2"/>
  <c r="H301" i="2" s="1"/>
  <c r="G300" i="2"/>
  <c r="H300" i="2" s="1"/>
  <c r="Y27" i="1"/>
  <c r="X65" i="15"/>
  <c r="Y65" i="15" s="1"/>
  <c r="Z65" i="15" s="1"/>
  <c r="AA65" i="15" s="1"/>
  <c r="X53" i="15"/>
  <c r="Y53" i="15"/>
  <c r="Z53" i="15" s="1"/>
  <c r="AA53" i="15" s="1"/>
  <c r="X41" i="15"/>
  <c r="Y41" i="15" s="1"/>
  <c r="Z41" i="15" s="1"/>
  <c r="AA41" i="15" s="1"/>
  <c r="X29" i="15"/>
  <c r="Y29" i="15"/>
  <c r="Z29" i="15" s="1"/>
  <c r="AA29" i="15" s="1"/>
  <c r="N6" i="15"/>
  <c r="L59" i="15"/>
  <c r="L61" i="15" s="1"/>
  <c r="L72" i="15"/>
  <c r="L73" i="15" s="1"/>
  <c r="K73" i="15"/>
  <c r="L71" i="15"/>
  <c r="K61" i="15"/>
  <c r="L60" i="15"/>
  <c r="L48" i="15"/>
  <c r="L47" i="15"/>
  <c r="L49" i="15" s="1"/>
  <c r="K49" i="15"/>
  <c r="K37" i="15"/>
  <c r="L36" i="15"/>
  <c r="L35" i="15"/>
  <c r="L67" i="15"/>
  <c r="M67" i="15"/>
  <c r="N67" i="15"/>
  <c r="O67" i="15"/>
  <c r="P67" i="15"/>
  <c r="Q67" i="15"/>
  <c r="R67" i="15"/>
  <c r="S67" i="15"/>
  <c r="T67" i="15"/>
  <c r="U67" i="15"/>
  <c r="V67" i="15"/>
  <c r="W67" i="15"/>
  <c r="K67" i="15"/>
  <c r="L55" i="15"/>
  <c r="M55" i="15"/>
  <c r="N55" i="15"/>
  <c r="O55" i="15"/>
  <c r="P55" i="15"/>
  <c r="Q55" i="15"/>
  <c r="R55" i="15"/>
  <c r="S55" i="15"/>
  <c r="T55" i="15"/>
  <c r="U55" i="15"/>
  <c r="V55" i="15"/>
  <c r="W55" i="15"/>
  <c r="K55" i="15"/>
  <c r="L43" i="15"/>
  <c r="M43" i="15"/>
  <c r="N43" i="15"/>
  <c r="O43" i="15"/>
  <c r="P43" i="15"/>
  <c r="Q43" i="15"/>
  <c r="R43" i="15"/>
  <c r="S43" i="15"/>
  <c r="T43" i="15"/>
  <c r="U43" i="15"/>
  <c r="V43" i="15"/>
  <c r="W43" i="15"/>
  <c r="K43" i="15"/>
  <c r="L31" i="15"/>
  <c r="M31" i="15"/>
  <c r="N31" i="15"/>
  <c r="O31" i="15"/>
  <c r="P31" i="15"/>
  <c r="Q31" i="15"/>
  <c r="R31" i="15"/>
  <c r="S31" i="15"/>
  <c r="T31" i="15"/>
  <c r="U31" i="15"/>
  <c r="V31" i="15"/>
  <c r="W31" i="15"/>
  <c r="K31" i="15"/>
  <c r="C32" i="15"/>
  <c r="D20" i="15"/>
  <c r="D22" i="15" s="1"/>
  <c r="D23" i="15" s="1"/>
  <c r="E20" i="15"/>
  <c r="E22" i="15" s="1"/>
  <c r="E23" i="15" s="1"/>
  <c r="F20" i="15"/>
  <c r="F22" i="15" s="1"/>
  <c r="F23" i="15" s="1"/>
  <c r="G20" i="15"/>
  <c r="G22" i="15" s="1"/>
  <c r="G23" i="15" s="1"/>
  <c r="H20" i="15"/>
  <c r="H22" i="15"/>
  <c r="H23" i="15" s="1"/>
  <c r="I20" i="15"/>
  <c r="I22" i="15" s="1"/>
  <c r="I23" i="15" s="1"/>
  <c r="J20" i="15"/>
  <c r="J22" i="15" s="1"/>
  <c r="J23" i="15" s="1"/>
  <c r="K20" i="15"/>
  <c r="K22" i="15" s="1"/>
  <c r="K23" i="15" s="1"/>
  <c r="L20" i="15"/>
  <c r="L22" i="15"/>
  <c r="L23" i="15"/>
  <c r="M20" i="15"/>
  <c r="M22" i="15" s="1"/>
  <c r="M23" i="15" s="1"/>
  <c r="N20" i="15"/>
  <c r="N22" i="15" s="1"/>
  <c r="N23" i="15" s="1"/>
  <c r="C20" i="15"/>
  <c r="C22" i="15" s="1"/>
  <c r="O19" i="15"/>
  <c r="O20" i="15"/>
  <c r="D17" i="15"/>
  <c r="E17" i="15"/>
  <c r="F17" i="15"/>
  <c r="G17" i="15"/>
  <c r="H17" i="15"/>
  <c r="I17" i="15"/>
  <c r="J17" i="15"/>
  <c r="K17" i="15"/>
  <c r="L17" i="15"/>
  <c r="M17" i="15"/>
  <c r="N17" i="15"/>
  <c r="C17" i="15"/>
  <c r="O16" i="15"/>
  <c r="O17" i="15" s="1"/>
  <c r="D14" i="15"/>
  <c r="E14" i="15"/>
  <c r="F14" i="15"/>
  <c r="G14" i="15"/>
  <c r="H14" i="15"/>
  <c r="I14" i="15"/>
  <c r="J14" i="15"/>
  <c r="K14" i="15"/>
  <c r="L14" i="15"/>
  <c r="M14" i="15"/>
  <c r="N14" i="15"/>
  <c r="O14" i="15"/>
  <c r="C14" i="15"/>
  <c r="H269" i="2"/>
  <c r="D264" i="2"/>
  <c r="M33" i="6"/>
  <c r="M30" i="6"/>
  <c r="M28" i="6"/>
  <c r="B34" i="6"/>
  <c r="B33" i="6"/>
  <c r="A30" i="6"/>
  <c r="B27" i="6"/>
  <c r="B28" i="6"/>
  <c r="B29" i="6"/>
  <c r="B18" i="6"/>
  <c r="B19" i="6"/>
  <c r="B20" i="6"/>
  <c r="B21" i="6"/>
  <c r="B22" i="6"/>
  <c r="B23" i="6"/>
  <c r="B24" i="6"/>
  <c r="B25" i="6"/>
  <c r="B26" i="6"/>
  <c r="B30" i="6"/>
  <c r="B31" i="6"/>
  <c r="B32" i="6"/>
  <c r="G160" i="2"/>
  <c r="H160" i="2" s="1"/>
  <c r="G88" i="2"/>
  <c r="L25" i="5"/>
  <c r="R22" i="4"/>
  <c r="Q22" i="4"/>
  <c r="P22" i="4"/>
  <c r="O22" i="4" s="1"/>
  <c r="J22" i="4"/>
  <c r="I22" i="4"/>
  <c r="H22" i="4"/>
  <c r="B22" i="4"/>
  <c r="R21" i="4"/>
  <c r="Q21" i="4"/>
  <c r="P21" i="4"/>
  <c r="O21" i="4" s="1"/>
  <c r="J21" i="4"/>
  <c r="I21" i="4"/>
  <c r="H21" i="4"/>
  <c r="B21" i="4"/>
  <c r="R20" i="4"/>
  <c r="Q20" i="4"/>
  <c r="P20" i="4"/>
  <c r="O20" i="4" s="1"/>
  <c r="J20" i="4"/>
  <c r="I20" i="4"/>
  <c r="H20" i="4"/>
  <c r="B20" i="4"/>
  <c r="R27" i="4"/>
  <c r="J27" i="4"/>
  <c r="R26" i="4"/>
  <c r="J26" i="4"/>
  <c r="B27" i="4"/>
  <c r="B26" i="4"/>
  <c r="D70" i="10"/>
  <c r="D69" i="10"/>
  <c r="G80" i="10"/>
  <c r="B79" i="10"/>
  <c r="B76" i="10"/>
  <c r="D79" i="10"/>
  <c r="E79" i="10"/>
  <c r="F79" i="10"/>
  <c r="D80" i="10"/>
  <c r="E80" i="10"/>
  <c r="F80" i="10"/>
  <c r="F63" i="10"/>
  <c r="G63" i="10"/>
  <c r="F60" i="10"/>
  <c r="G60" i="10"/>
  <c r="Y23" i="1"/>
  <c r="T24" i="1"/>
  <c r="T23" i="1"/>
  <c r="T22" i="1"/>
  <c r="Y28" i="1"/>
  <c r="G77" i="10" s="1"/>
  <c r="T28" i="1"/>
  <c r="M28" i="1"/>
  <c r="B62" i="10"/>
  <c r="B59" i="10"/>
  <c r="K23" i="1"/>
  <c r="H61" i="10"/>
  <c r="D61" i="10"/>
  <c r="D65" i="10" s="1"/>
  <c r="D77" i="10"/>
  <c r="D76" i="10"/>
  <c r="D74" i="10"/>
  <c r="D73" i="10"/>
  <c r="D67" i="10"/>
  <c r="B17" i="6"/>
  <c r="A32" i="6"/>
  <c r="A26" i="6"/>
  <c r="A17" i="6"/>
  <c r="B53" i="5"/>
  <c r="B39" i="5"/>
  <c r="B25" i="5"/>
  <c r="B11" i="5"/>
  <c r="R25" i="4"/>
  <c r="P23" i="4"/>
  <c r="O23" i="4" s="1"/>
  <c r="Q23" i="4"/>
  <c r="R23" i="4"/>
  <c r="Q19" i="4"/>
  <c r="R19" i="4"/>
  <c r="P19" i="4"/>
  <c r="O19" i="4" s="1"/>
  <c r="P11" i="4"/>
  <c r="O11" i="4" s="1"/>
  <c r="Q11" i="4"/>
  <c r="R11" i="4"/>
  <c r="P12" i="4"/>
  <c r="O12" i="4" s="1"/>
  <c r="Q12" i="4"/>
  <c r="R12" i="4"/>
  <c r="P13" i="4"/>
  <c r="O13" i="4" s="1"/>
  <c r="Q13" i="4"/>
  <c r="R13" i="4"/>
  <c r="Q10" i="4"/>
  <c r="R10" i="4"/>
  <c r="P10" i="4"/>
  <c r="O10" i="4" s="1"/>
  <c r="B25" i="4"/>
  <c r="B24" i="4"/>
  <c r="B23" i="4"/>
  <c r="B19" i="4"/>
  <c r="B16" i="4"/>
  <c r="B17" i="4"/>
  <c r="B18" i="4"/>
  <c r="B15" i="4"/>
  <c r="B14" i="4"/>
  <c r="B11" i="4"/>
  <c r="B12" i="4"/>
  <c r="B13" i="4"/>
  <c r="B10" i="4"/>
  <c r="A25" i="4"/>
  <c r="A23" i="4"/>
  <c r="A19" i="4"/>
  <c r="A10" i="4"/>
  <c r="A227" i="2"/>
  <c r="A155" i="2"/>
  <c r="A83" i="2"/>
  <c r="A11" i="2"/>
  <c r="B73" i="10"/>
  <c r="B69" i="10"/>
  <c r="B66" i="10"/>
  <c r="B55" i="10"/>
  <c r="B52" i="10"/>
  <c r="B48" i="10"/>
  <c r="B45" i="10"/>
  <c r="B42" i="10"/>
  <c r="B39" i="10"/>
  <c r="B36" i="10"/>
  <c r="B33" i="10"/>
  <c r="B30" i="10"/>
  <c r="B27" i="10"/>
  <c r="B24" i="10"/>
  <c r="A73" i="10"/>
  <c r="A66" i="10"/>
  <c r="A52" i="10"/>
  <c r="A24" i="10"/>
  <c r="A12" i="10"/>
  <c r="A11" i="10"/>
  <c r="A10" i="10"/>
  <c r="A9" i="10"/>
  <c r="J25" i="4"/>
  <c r="J19" i="4"/>
  <c r="J23" i="4"/>
  <c r="J11" i="4"/>
  <c r="J12" i="4"/>
  <c r="J13" i="4"/>
  <c r="J10" i="4"/>
  <c r="I19" i="4"/>
  <c r="I23" i="4"/>
  <c r="I11" i="4"/>
  <c r="I12" i="4"/>
  <c r="I13" i="4"/>
  <c r="I10" i="4"/>
  <c r="H19" i="4"/>
  <c r="H23" i="4"/>
  <c r="H11" i="4"/>
  <c r="H12" i="4"/>
  <c r="H13" i="4"/>
  <c r="H10" i="4"/>
  <c r="G23" i="4"/>
  <c r="G11" i="4"/>
  <c r="G12" i="4"/>
  <c r="G13" i="4"/>
  <c r="G10" i="4"/>
  <c r="G74" i="10"/>
  <c r="G70" i="10"/>
  <c r="G67" i="10"/>
  <c r="G56" i="10"/>
  <c r="G53" i="10"/>
  <c r="G49" i="10"/>
  <c r="G46" i="10"/>
  <c r="G43" i="10"/>
  <c r="F76" i="10"/>
  <c r="F74" i="10"/>
  <c r="F73" i="10"/>
  <c r="F70" i="10"/>
  <c r="F67" i="10"/>
  <c r="F56" i="10"/>
  <c r="F53" i="10"/>
  <c r="F49" i="10"/>
  <c r="F46" i="10"/>
  <c r="F43" i="10"/>
  <c r="F40" i="10"/>
  <c r="F77" i="10"/>
  <c r="E77" i="10"/>
  <c r="E76" i="10"/>
  <c r="H78" i="10" s="1"/>
  <c r="E74" i="10"/>
  <c r="E73" i="10"/>
  <c r="E70" i="10"/>
  <c r="E49" i="10"/>
  <c r="E46" i="10"/>
  <c r="E43" i="10"/>
  <c r="G40" i="10"/>
  <c r="G28" i="10"/>
  <c r="G31" i="10"/>
  <c r="G34" i="10"/>
  <c r="F34" i="10"/>
  <c r="F31" i="10"/>
  <c r="F28" i="10"/>
  <c r="E28" i="10"/>
  <c r="E31" i="10"/>
  <c r="E34" i="10"/>
  <c r="G25" i="10"/>
  <c r="F25" i="10"/>
  <c r="M34" i="6"/>
  <c r="M32" i="6"/>
  <c r="M29" i="6"/>
  <c r="M27" i="6"/>
  <c r="M26" i="6"/>
  <c r="M25" i="6"/>
  <c r="M24" i="6"/>
  <c r="M23" i="6"/>
  <c r="M22" i="6"/>
  <c r="M20" i="6"/>
  <c r="M19" i="6"/>
  <c r="M18" i="6"/>
  <c r="M17" i="6"/>
  <c r="I65" i="5"/>
  <c r="L65" i="5" s="1"/>
  <c r="I63" i="5"/>
  <c r="L63" i="5" s="1"/>
  <c r="I61" i="5"/>
  <c r="L61" i="5" s="1"/>
  <c r="I59" i="5"/>
  <c r="L59" i="5" s="1"/>
  <c r="I57" i="5"/>
  <c r="L57" i="5" s="1"/>
  <c r="I55" i="5"/>
  <c r="L55" i="5" s="1"/>
  <c r="I52" i="5"/>
  <c r="L52" i="5" s="1"/>
  <c r="I50" i="5"/>
  <c r="L50" i="5" s="1"/>
  <c r="I48" i="5"/>
  <c r="L48" i="5" s="1"/>
  <c r="I46" i="5"/>
  <c r="L46" i="5" s="1"/>
  <c r="C33" i="9" s="1"/>
  <c r="I44" i="5"/>
  <c r="L44" i="5" s="1"/>
  <c r="I42" i="5"/>
  <c r="L42" i="5" s="1"/>
  <c r="I37" i="5"/>
  <c r="L37" i="5" s="1"/>
  <c r="I35" i="5"/>
  <c r="L35" i="5" s="1"/>
  <c r="I33" i="5"/>
  <c r="L33" i="5" s="1"/>
  <c r="I31" i="5"/>
  <c r="L31" i="5" s="1"/>
  <c r="I30" i="5"/>
  <c r="L30" i="5" s="1"/>
  <c r="I29" i="5"/>
  <c r="L29" i="5" s="1"/>
  <c r="I28" i="5"/>
  <c r="L28" i="5" s="1"/>
  <c r="I27" i="5"/>
  <c r="L27" i="5" s="1"/>
  <c r="L24" i="5"/>
  <c r="L23" i="5"/>
  <c r="L22" i="5"/>
  <c r="L21" i="5"/>
  <c r="L20" i="5"/>
  <c r="L19" i="5"/>
  <c r="L17" i="5"/>
  <c r="L16" i="5"/>
  <c r="L15" i="5"/>
  <c r="L14" i="5"/>
  <c r="I53" i="5"/>
  <c r="L53" i="5" s="1"/>
  <c r="B9" i="4"/>
  <c r="A9" i="4"/>
  <c r="G295" i="2"/>
  <c r="H295" i="2"/>
  <c r="G294" i="2"/>
  <c r="G293" i="2" s="1"/>
  <c r="H294" i="2"/>
  <c r="H293" i="2" s="1"/>
  <c r="D293" i="2"/>
  <c r="G292" i="2"/>
  <c r="H292" i="2" s="1"/>
  <c r="G291" i="2"/>
  <c r="H291" i="2" s="1"/>
  <c r="G290" i="2"/>
  <c r="H290" i="2" s="1"/>
  <c r="G289" i="2"/>
  <c r="H289" i="2"/>
  <c r="G288" i="2"/>
  <c r="H288" i="2" s="1"/>
  <c r="G287" i="2"/>
  <c r="H287" i="2" s="1"/>
  <c r="G286" i="2"/>
  <c r="D285" i="2"/>
  <c r="G284" i="2"/>
  <c r="H284" i="2" s="1"/>
  <c r="G12" i="10" s="1"/>
  <c r="G283" i="2"/>
  <c r="H283" i="2" s="1"/>
  <c r="G282" i="2"/>
  <c r="H282" i="2" s="1"/>
  <c r="G281" i="2"/>
  <c r="H281" i="2"/>
  <c r="G280" i="2"/>
  <c r="H280" i="2"/>
  <c r="G279" i="2"/>
  <c r="H279" i="2" s="1"/>
  <c r="G278" i="2"/>
  <c r="H278" i="2" s="1"/>
  <c r="G277" i="2"/>
  <c r="H277" i="2"/>
  <c r="G276" i="2"/>
  <c r="H276" i="2" s="1"/>
  <c r="D275" i="2"/>
  <c r="G274" i="2"/>
  <c r="H274" i="2"/>
  <c r="G272" i="2"/>
  <c r="H272" i="2" s="1"/>
  <c r="G271" i="2"/>
  <c r="H271" i="2" s="1"/>
  <c r="G270" i="2"/>
  <c r="H270" i="2"/>
  <c r="G268" i="2"/>
  <c r="H268" i="2" s="1"/>
  <c r="G267" i="2"/>
  <c r="H267" i="2" s="1"/>
  <c r="G266" i="2"/>
  <c r="H266" i="2" s="1"/>
  <c r="G265" i="2"/>
  <c r="G263" i="2"/>
  <c r="H263" i="2" s="1"/>
  <c r="G262" i="2"/>
  <c r="H262" i="2" s="1"/>
  <c r="D261" i="2"/>
  <c r="G260" i="2"/>
  <c r="H260" i="2" s="1"/>
  <c r="G259" i="2"/>
  <c r="G258" i="2"/>
  <c r="H258" i="2" s="1"/>
  <c r="G257" i="2"/>
  <c r="H257" i="2"/>
  <c r="D256" i="2"/>
  <c r="G254" i="2"/>
  <c r="H254" i="2" s="1"/>
  <c r="G253" i="2"/>
  <c r="H253" i="2" s="1"/>
  <c r="G252" i="2"/>
  <c r="H252" i="2" s="1"/>
  <c r="G251" i="2"/>
  <c r="H251" i="2" s="1"/>
  <c r="G250" i="2"/>
  <c r="H250" i="2" s="1"/>
  <c r="G249" i="2"/>
  <c r="H249" i="2" s="1"/>
  <c r="G248" i="2"/>
  <c r="H248" i="2" s="1"/>
  <c r="G247" i="2"/>
  <c r="H247" i="2" s="1"/>
  <c r="G246" i="2"/>
  <c r="H246" i="2" s="1"/>
  <c r="G245" i="2"/>
  <c r="H245" i="2"/>
  <c r="G244" i="2"/>
  <c r="H244" i="2" s="1"/>
  <c r="G243" i="2"/>
  <c r="H243" i="2" s="1"/>
  <c r="G242" i="2"/>
  <c r="H242" i="2" s="1"/>
  <c r="G241" i="2"/>
  <c r="H241" i="2" s="1"/>
  <c r="G240" i="2"/>
  <c r="H240" i="2" s="1"/>
  <c r="G239" i="2"/>
  <c r="H239" i="2" s="1"/>
  <c r="G238" i="2"/>
  <c r="H238" i="2" s="1"/>
  <c r="G237" i="2"/>
  <c r="H237" i="2" s="1"/>
  <c r="G236" i="2"/>
  <c r="H236" i="2" s="1"/>
  <c r="D235" i="2"/>
  <c r="G234" i="2"/>
  <c r="H234" i="2" s="1"/>
  <c r="H233" i="2" s="1"/>
  <c r="G233" i="2"/>
  <c r="D233" i="2"/>
  <c r="G232" i="2"/>
  <c r="H232" i="2" s="1"/>
  <c r="G231" i="2"/>
  <c r="H231" i="2" s="1"/>
  <c r="G230" i="2"/>
  <c r="H230" i="2" s="1"/>
  <c r="G223" i="2"/>
  <c r="H223" i="2"/>
  <c r="G222" i="2"/>
  <c r="H222" i="2" s="1"/>
  <c r="H221" i="2" s="1"/>
  <c r="D221" i="2"/>
  <c r="G220" i="2"/>
  <c r="H220" i="2" s="1"/>
  <c r="G219" i="2"/>
  <c r="H219" i="2" s="1"/>
  <c r="G218" i="2"/>
  <c r="H218" i="2" s="1"/>
  <c r="G217" i="2"/>
  <c r="H217" i="2" s="1"/>
  <c r="G216" i="2"/>
  <c r="H216" i="2" s="1"/>
  <c r="G215" i="2"/>
  <c r="H215" i="2" s="1"/>
  <c r="G214" i="2"/>
  <c r="H214" i="2" s="1"/>
  <c r="D213" i="2"/>
  <c r="G212" i="2"/>
  <c r="H212" i="2" s="1"/>
  <c r="G11" i="10" s="1"/>
  <c r="G211" i="2"/>
  <c r="H211" i="2" s="1"/>
  <c r="G210" i="2"/>
  <c r="H210" i="2"/>
  <c r="G209" i="2"/>
  <c r="H209" i="2" s="1"/>
  <c r="G208" i="2"/>
  <c r="H208" i="2" s="1"/>
  <c r="G207" i="2"/>
  <c r="H207" i="2" s="1"/>
  <c r="G206" i="2"/>
  <c r="H206" i="2" s="1"/>
  <c r="G205" i="2"/>
  <c r="H205" i="2" s="1"/>
  <c r="G204" i="2"/>
  <c r="H204" i="2" s="1"/>
  <c r="D203" i="2"/>
  <c r="G202" i="2"/>
  <c r="H202" i="2" s="1"/>
  <c r="G200" i="2"/>
  <c r="H200" i="2"/>
  <c r="G199" i="2"/>
  <c r="H199" i="2" s="1"/>
  <c r="G198" i="2"/>
  <c r="H198" i="2" s="1"/>
  <c r="G195" i="2"/>
  <c r="H195" i="2" s="1"/>
  <c r="G194" i="2"/>
  <c r="H194" i="2" s="1"/>
  <c r="G193" i="2"/>
  <c r="H193" i="2" s="1"/>
  <c r="D192" i="2"/>
  <c r="G191" i="2"/>
  <c r="H191" i="2" s="1"/>
  <c r="G190" i="2"/>
  <c r="H190" i="2" s="1"/>
  <c r="D189" i="2"/>
  <c r="G188" i="2"/>
  <c r="H188" i="2" s="1"/>
  <c r="G187" i="2"/>
  <c r="H187" i="2" s="1"/>
  <c r="G186" i="2"/>
  <c r="H186" i="2" s="1"/>
  <c r="G185" i="2"/>
  <c r="D184" i="2"/>
  <c r="G182" i="2"/>
  <c r="H182" i="2" s="1"/>
  <c r="G181" i="2"/>
  <c r="H181" i="2"/>
  <c r="G180" i="2"/>
  <c r="H180" i="2" s="1"/>
  <c r="G179" i="2"/>
  <c r="H179" i="2" s="1"/>
  <c r="G178" i="2"/>
  <c r="H178" i="2" s="1"/>
  <c r="G177" i="2"/>
  <c r="H177" i="2" s="1"/>
  <c r="G176" i="2"/>
  <c r="H176" i="2" s="1"/>
  <c r="G175" i="2"/>
  <c r="H175" i="2" s="1"/>
  <c r="G174" i="2"/>
  <c r="H174" i="2" s="1"/>
  <c r="G173" i="2"/>
  <c r="H173" i="2" s="1"/>
  <c r="G172" i="2"/>
  <c r="H172" i="2" s="1"/>
  <c r="G171" i="2"/>
  <c r="H171" i="2" s="1"/>
  <c r="G170" i="2"/>
  <c r="H170" i="2" s="1"/>
  <c r="G169" i="2"/>
  <c r="H169" i="2" s="1"/>
  <c r="G168" i="2"/>
  <c r="H168" i="2" s="1"/>
  <c r="G167" i="2"/>
  <c r="H167" i="2"/>
  <c r="G166" i="2"/>
  <c r="H166" i="2"/>
  <c r="G165" i="2"/>
  <c r="H165" i="2" s="1"/>
  <c r="G164" i="2"/>
  <c r="D163" i="2"/>
  <c r="G162" i="2"/>
  <c r="H162" i="2" s="1"/>
  <c r="H161" i="2" s="1"/>
  <c r="G161" i="2"/>
  <c r="D161" i="2"/>
  <c r="G159" i="2"/>
  <c r="H159" i="2" s="1"/>
  <c r="G158" i="2"/>
  <c r="H158" i="2" s="1"/>
  <c r="G151" i="2"/>
  <c r="H151" i="2" s="1"/>
  <c r="G150" i="2"/>
  <c r="D149" i="2"/>
  <c r="G148" i="2"/>
  <c r="H148" i="2"/>
  <c r="G147" i="2"/>
  <c r="G141" i="2" s="1"/>
  <c r="H147" i="2"/>
  <c r="G146" i="2"/>
  <c r="H146" i="2" s="1"/>
  <c r="G145" i="2"/>
  <c r="H145" i="2" s="1"/>
  <c r="G144" i="2"/>
  <c r="H144" i="2" s="1"/>
  <c r="G143" i="2"/>
  <c r="H143" i="2" s="1"/>
  <c r="G142" i="2"/>
  <c r="D141" i="2"/>
  <c r="D120" i="2"/>
  <c r="D112" i="2"/>
  <c r="D111" i="2" s="1"/>
  <c r="G140" i="2"/>
  <c r="H140" i="2" s="1"/>
  <c r="G10" i="10" s="1"/>
  <c r="G139" i="2"/>
  <c r="H139" i="2" s="1"/>
  <c r="G138" i="2"/>
  <c r="H138" i="2" s="1"/>
  <c r="G137" i="2"/>
  <c r="H137" i="2" s="1"/>
  <c r="G136" i="2"/>
  <c r="H136" i="2"/>
  <c r="G135" i="2"/>
  <c r="H135" i="2" s="1"/>
  <c r="G134" i="2"/>
  <c r="H134" i="2" s="1"/>
  <c r="G133" i="2"/>
  <c r="H133" i="2" s="1"/>
  <c r="G132" i="2"/>
  <c r="H132" i="2" s="1"/>
  <c r="D131" i="2"/>
  <c r="G130" i="2"/>
  <c r="H130" i="2"/>
  <c r="G128" i="2"/>
  <c r="H128" i="2" s="1"/>
  <c r="G127" i="2"/>
  <c r="H127" i="2" s="1"/>
  <c r="G126" i="2"/>
  <c r="H126" i="2" s="1"/>
  <c r="G125" i="2"/>
  <c r="H125" i="2" s="1"/>
  <c r="G124" i="2"/>
  <c r="H124" i="2"/>
  <c r="G123" i="2"/>
  <c r="H123" i="2" s="1"/>
  <c r="G122" i="2"/>
  <c r="G120" i="2" s="1"/>
  <c r="G121" i="2"/>
  <c r="G119" i="2"/>
  <c r="H119" i="2"/>
  <c r="G118" i="2"/>
  <c r="D117" i="2"/>
  <c r="G116" i="2"/>
  <c r="H116" i="2" s="1"/>
  <c r="G115" i="2"/>
  <c r="H115" i="2" s="1"/>
  <c r="G114" i="2"/>
  <c r="H114" i="2" s="1"/>
  <c r="G113" i="2"/>
  <c r="H113" i="2" s="1"/>
  <c r="G110" i="2"/>
  <c r="H110" i="2" s="1"/>
  <c r="G109" i="2"/>
  <c r="H109" i="2" s="1"/>
  <c r="G108" i="2"/>
  <c r="H108" i="2" s="1"/>
  <c r="G107" i="2"/>
  <c r="H107" i="2" s="1"/>
  <c r="G106" i="2"/>
  <c r="H106" i="2" s="1"/>
  <c r="G105" i="2"/>
  <c r="H105" i="2"/>
  <c r="G104" i="2"/>
  <c r="H104" i="2" s="1"/>
  <c r="G103" i="2"/>
  <c r="H103" i="2" s="1"/>
  <c r="G102" i="2"/>
  <c r="H102" i="2" s="1"/>
  <c r="G101" i="2"/>
  <c r="H101" i="2" s="1"/>
  <c r="G100" i="2"/>
  <c r="H100" i="2" s="1"/>
  <c r="G99" i="2"/>
  <c r="H99" i="2" s="1"/>
  <c r="G98" i="2"/>
  <c r="H98" i="2" s="1"/>
  <c r="G97" i="2"/>
  <c r="H97" i="2" s="1"/>
  <c r="G96" i="2"/>
  <c r="H96" i="2" s="1"/>
  <c r="G95" i="2"/>
  <c r="H95" i="2" s="1"/>
  <c r="G94" i="2"/>
  <c r="H94" i="2"/>
  <c r="G93" i="2"/>
  <c r="H93" i="2" s="1"/>
  <c r="G92" i="2"/>
  <c r="H92" i="2"/>
  <c r="D91" i="2"/>
  <c r="G90" i="2"/>
  <c r="D89" i="2"/>
  <c r="G87" i="2"/>
  <c r="H87" i="2" s="1"/>
  <c r="G86" i="2"/>
  <c r="H86" i="2" s="1"/>
  <c r="H81" i="2"/>
  <c r="H153" i="2" s="1"/>
  <c r="H225" i="2" s="1"/>
  <c r="G79" i="2"/>
  <c r="H79" i="2" s="1"/>
  <c r="G78" i="2"/>
  <c r="G77" i="2" s="1"/>
  <c r="D77" i="2"/>
  <c r="G76" i="2"/>
  <c r="H76" i="2" s="1"/>
  <c r="G75" i="2"/>
  <c r="H75" i="2"/>
  <c r="G74" i="2"/>
  <c r="H74" i="2" s="1"/>
  <c r="G73" i="2"/>
  <c r="H73" i="2" s="1"/>
  <c r="G72" i="2"/>
  <c r="H72" i="2" s="1"/>
  <c r="G71" i="2"/>
  <c r="H71" i="2" s="1"/>
  <c r="G70" i="2"/>
  <c r="D69" i="2"/>
  <c r="G68" i="2"/>
  <c r="H68" i="2" s="1"/>
  <c r="G9" i="10" s="1"/>
  <c r="G67" i="2"/>
  <c r="H67" i="2"/>
  <c r="G66" i="2"/>
  <c r="H66" i="2" s="1"/>
  <c r="G65" i="2"/>
  <c r="H65" i="2" s="1"/>
  <c r="G64" i="2"/>
  <c r="H64" i="2" s="1"/>
  <c r="G63" i="2"/>
  <c r="H63" i="2" s="1"/>
  <c r="G62" i="2"/>
  <c r="H62" i="2"/>
  <c r="G61" i="2"/>
  <c r="H61" i="2" s="1"/>
  <c r="G60" i="2"/>
  <c r="H60" i="2" s="1"/>
  <c r="D59" i="2"/>
  <c r="G58" i="2"/>
  <c r="H58" i="2" s="1"/>
  <c r="G56" i="2"/>
  <c r="H56" i="2"/>
  <c r="G55" i="2"/>
  <c r="H55" i="2" s="1"/>
  <c r="G54" i="2"/>
  <c r="H54" i="2" s="1"/>
  <c r="G53" i="2"/>
  <c r="H53" i="2" s="1"/>
  <c r="G52" i="2"/>
  <c r="H52" i="2" s="1"/>
  <c r="G51" i="2"/>
  <c r="H51" i="2" s="1"/>
  <c r="G50" i="2"/>
  <c r="H50" i="2"/>
  <c r="G49" i="2"/>
  <c r="H49" i="2" s="1"/>
  <c r="D48" i="2"/>
  <c r="G47" i="2"/>
  <c r="H47" i="2" s="1"/>
  <c r="G46" i="2"/>
  <c r="G44" i="2"/>
  <c r="H44" i="2" s="1"/>
  <c r="G43" i="2"/>
  <c r="H43" i="2" s="1"/>
  <c r="G42" i="2"/>
  <c r="H42" i="2"/>
  <c r="G41" i="2"/>
  <c r="H41" i="2" s="1"/>
  <c r="D40" i="2"/>
  <c r="G38" i="2"/>
  <c r="H38" i="2" s="1"/>
  <c r="G37" i="2"/>
  <c r="H37" i="2" s="1"/>
  <c r="G36" i="2"/>
  <c r="H36" i="2" s="1"/>
  <c r="G35" i="2"/>
  <c r="H35" i="2" s="1"/>
  <c r="G34" i="2"/>
  <c r="H34" i="2" s="1"/>
  <c r="G33" i="2"/>
  <c r="H33" i="2" s="1"/>
  <c r="G31" i="2"/>
  <c r="H31" i="2" s="1"/>
  <c r="G30" i="2"/>
  <c r="H30" i="2" s="1"/>
  <c r="G29" i="2"/>
  <c r="H29" i="2" s="1"/>
  <c r="G28" i="2"/>
  <c r="H28" i="2" s="1"/>
  <c r="G27" i="2"/>
  <c r="H27" i="2" s="1"/>
  <c r="G26" i="2"/>
  <c r="H26" i="2" s="1"/>
  <c r="G25" i="2"/>
  <c r="H25" i="2" s="1"/>
  <c r="G24" i="2"/>
  <c r="H24" i="2" s="1"/>
  <c r="G23" i="2"/>
  <c r="G22" i="2"/>
  <c r="H22" i="2" s="1"/>
  <c r="G21" i="2"/>
  <c r="H21" i="2" s="1"/>
  <c r="G20" i="2"/>
  <c r="H20" i="2" s="1"/>
  <c r="D19" i="2"/>
  <c r="G18" i="2"/>
  <c r="G17" i="2" s="1"/>
  <c r="D17" i="2"/>
  <c r="G16" i="2"/>
  <c r="G15" i="2"/>
  <c r="G14" i="2"/>
  <c r="H14" i="2" s="1"/>
  <c r="Y29" i="1"/>
  <c r="T29" i="1"/>
  <c r="M29" i="1"/>
  <c r="T27" i="1"/>
  <c r="S27" i="1"/>
  <c r="M27" i="1"/>
  <c r="Y26" i="1"/>
  <c r="T26" i="1"/>
  <c r="J24" i="4"/>
  <c r="I24" i="4"/>
  <c r="H24" i="4"/>
  <c r="Y25" i="1"/>
  <c r="T25" i="1"/>
  <c r="S25" i="1"/>
  <c r="E30" i="6"/>
  <c r="H30" i="6" s="1"/>
  <c r="E23" i="4"/>
  <c r="Y24" i="1"/>
  <c r="K24" i="1"/>
  <c r="O24" i="1" s="1"/>
  <c r="Y22" i="1"/>
  <c r="K22" i="1"/>
  <c r="O22" i="1" s="1"/>
  <c r="Y21" i="1"/>
  <c r="T21" i="1"/>
  <c r="S21" i="1"/>
  <c r="K21" i="1"/>
  <c r="E52" i="10" s="1"/>
  <c r="Y20" i="1"/>
  <c r="J18" i="4"/>
  <c r="I18" i="4"/>
  <c r="H18" i="4"/>
  <c r="Y19" i="1"/>
  <c r="J17" i="4"/>
  <c r="I17" i="4"/>
  <c r="H17" i="4"/>
  <c r="Y18" i="1"/>
  <c r="J16" i="4"/>
  <c r="I16" i="4"/>
  <c r="H16" i="4"/>
  <c r="Y17" i="1"/>
  <c r="J15" i="4"/>
  <c r="I15" i="4"/>
  <c r="H15" i="4"/>
  <c r="T16" i="1"/>
  <c r="Y15" i="1"/>
  <c r="T15" i="1"/>
  <c r="Y14" i="1"/>
  <c r="T14" i="1"/>
  <c r="M14" i="1"/>
  <c r="Y13" i="1"/>
  <c r="T13" i="1"/>
  <c r="M13" i="1"/>
  <c r="Y12" i="1"/>
  <c r="T12" i="1"/>
  <c r="S12" i="1"/>
  <c r="M12" i="1"/>
  <c r="H64" i="10"/>
  <c r="H65" i="10" s="1"/>
  <c r="D64" i="10"/>
  <c r="H57" i="10"/>
  <c r="H58" i="10" s="1"/>
  <c r="D57" i="10"/>
  <c r="D58" i="10" s="1"/>
  <c r="H54" i="10"/>
  <c r="D54" i="10"/>
  <c r="J50" i="10"/>
  <c r="I50" i="10"/>
  <c r="H50" i="10"/>
  <c r="D50" i="10"/>
  <c r="D47" i="10"/>
  <c r="D44" i="10"/>
  <c r="D41" i="10"/>
  <c r="H38" i="10"/>
  <c r="G38" i="10"/>
  <c r="F38" i="10"/>
  <c r="E38" i="10"/>
  <c r="D38" i="10"/>
  <c r="D30" i="6"/>
  <c r="H121" i="2"/>
  <c r="H142" i="2"/>
  <c r="I39" i="5"/>
  <c r="L39" i="5" s="1"/>
  <c r="I32" i="5"/>
  <c r="L32" i="5" s="1"/>
  <c r="C22" i="9" s="1"/>
  <c r="I34" i="5"/>
  <c r="L34" i="5" s="1"/>
  <c r="I36" i="5"/>
  <c r="L36" i="5" s="1"/>
  <c r="I38" i="5"/>
  <c r="L38" i="5" s="1"/>
  <c r="I47" i="5"/>
  <c r="L47" i="5" s="1"/>
  <c r="I41" i="5"/>
  <c r="L41" i="5" s="1"/>
  <c r="I43" i="5"/>
  <c r="L43" i="5" s="1"/>
  <c r="I45" i="5"/>
  <c r="L45" i="5" s="1"/>
  <c r="I49" i="5"/>
  <c r="L49" i="5" s="1"/>
  <c r="I51" i="5"/>
  <c r="L51" i="5" s="1"/>
  <c r="I56" i="5"/>
  <c r="L56" i="5" s="1"/>
  <c r="I58" i="5"/>
  <c r="L58" i="5" s="1"/>
  <c r="I60" i="5"/>
  <c r="L60" i="5" s="1"/>
  <c r="I62" i="5"/>
  <c r="L62" i="5" s="1"/>
  <c r="I64" i="5"/>
  <c r="L64" i="5" s="1"/>
  <c r="I66" i="5"/>
  <c r="L66" i="5" s="1"/>
  <c r="G89" i="2"/>
  <c r="H90" i="2"/>
  <c r="H89" i="2" s="1"/>
  <c r="H150" i="2"/>
  <c r="H149" i="2" s="1"/>
  <c r="H164" i="2"/>
  <c r="H265" i="2"/>
  <c r="G117" i="2"/>
  <c r="H118" i="2"/>
  <c r="H117" i="2"/>
  <c r="H286" i="2"/>
  <c r="H15" i="2"/>
  <c r="H185" i="2"/>
  <c r="K20" i="1"/>
  <c r="G273" i="2"/>
  <c r="H273" i="2"/>
  <c r="G201" i="2"/>
  <c r="H201" i="2" s="1"/>
  <c r="G129" i="2"/>
  <c r="H129" i="2"/>
  <c r="H16" i="2"/>
  <c r="J22" i="9"/>
  <c r="K22" i="9" s="1"/>
  <c r="L22" i="9" s="1"/>
  <c r="M22" i="9" s="1"/>
  <c r="H88" i="2"/>
  <c r="H23" i="2"/>
  <c r="M26" i="1"/>
  <c r="L37" i="15"/>
  <c r="G149" i="2"/>
  <c r="E28" i="6"/>
  <c r="H28" i="6" s="1"/>
  <c r="K76" i="15"/>
  <c r="H18" i="2"/>
  <c r="H17" i="2" s="1"/>
  <c r="G363" i="2"/>
  <c r="G84" i="2"/>
  <c r="L13" i="5"/>
  <c r="G45" i="2"/>
  <c r="H46" i="2"/>
  <c r="H259" i="2"/>
  <c r="H332" i="2"/>
  <c r="H331" i="2" s="1"/>
  <c r="H302" i="2"/>
  <c r="G326" i="2"/>
  <c r="H304" i="2"/>
  <c r="H303" i="2" s="1"/>
  <c r="N20" i="4" l="1"/>
  <c r="I38" i="10"/>
  <c r="J38" i="10" s="1"/>
  <c r="D78" i="10"/>
  <c r="H112" i="2"/>
  <c r="F9" i="10"/>
  <c r="N55" i="3"/>
  <c r="H261" i="2"/>
  <c r="G131" i="2"/>
  <c r="G213" i="2"/>
  <c r="H189" i="2"/>
  <c r="G285" i="2"/>
  <c r="E75" i="10"/>
  <c r="G298" i="2"/>
  <c r="D183" i="2"/>
  <c r="D75" i="10"/>
  <c r="E29" i="8"/>
  <c r="E57" i="2" s="1"/>
  <c r="G57" i="2" s="1"/>
  <c r="H57" i="2" s="1"/>
  <c r="H48" i="2" s="1"/>
  <c r="H256" i="2"/>
  <c r="M19" i="4"/>
  <c r="G261" i="2"/>
  <c r="D19" i="6"/>
  <c r="G19" i="6" s="1"/>
  <c r="G221" i="2"/>
  <c r="G69" i="2"/>
  <c r="H131" i="2"/>
  <c r="H264" i="2"/>
  <c r="D255" i="2"/>
  <c r="H345" i="2"/>
  <c r="H363" i="2"/>
  <c r="N34" i="9"/>
  <c r="O34" i="9" s="1"/>
  <c r="H40" i="2"/>
  <c r="G355" i="2"/>
  <c r="H12" i="10"/>
  <c r="G12" i="2"/>
  <c r="G305" i="2"/>
  <c r="H59" i="2"/>
  <c r="G112" i="2"/>
  <c r="G111" i="2" s="1"/>
  <c r="F81" i="10"/>
  <c r="W15" i="3"/>
  <c r="H275" i="2"/>
  <c r="H45" i="2"/>
  <c r="H122" i="2"/>
  <c r="G235" i="2"/>
  <c r="G156" i="2"/>
  <c r="N45" i="9"/>
  <c r="O45" i="9" s="1"/>
  <c r="M32" i="9"/>
  <c r="R43" i="3"/>
  <c r="N28" i="3"/>
  <c r="N52" i="3"/>
  <c r="N21" i="4"/>
  <c r="G30" i="6"/>
  <c r="I32" i="9"/>
  <c r="F32" i="9"/>
  <c r="N32" i="9"/>
  <c r="C43" i="9"/>
  <c r="K43" i="9"/>
  <c r="G43" i="9"/>
  <c r="K54" i="9"/>
  <c r="L32" i="9"/>
  <c r="N55" i="9"/>
  <c r="N23" i="9"/>
  <c r="O23" i="9" s="1"/>
  <c r="N23" i="3"/>
  <c r="N54" i="3"/>
  <c r="R54" i="3"/>
  <c r="K89" i="3"/>
  <c r="R28" i="3"/>
  <c r="P39" i="3"/>
  <c r="N46" i="3"/>
  <c r="N22" i="3"/>
  <c r="P25" i="3"/>
  <c r="N36" i="3"/>
  <c r="P46" i="3"/>
  <c r="R59" i="3"/>
  <c r="P55" i="3"/>
  <c r="R22" i="3"/>
  <c r="R36" i="3"/>
  <c r="W40" i="3"/>
  <c r="N16" i="3"/>
  <c r="R16" i="3"/>
  <c r="D325" i="2"/>
  <c r="H13" i="10"/>
  <c r="G91" i="2"/>
  <c r="F10" i="10"/>
  <c r="D39" i="2"/>
  <c r="G19" i="2"/>
  <c r="G11" i="2" s="1"/>
  <c r="M23" i="4"/>
  <c r="D12" i="4"/>
  <c r="L12" i="4" s="1"/>
  <c r="D26" i="6"/>
  <c r="C26" i="6"/>
  <c r="F26" i="6" s="1"/>
  <c r="C19" i="6"/>
  <c r="F19" i="6" s="1"/>
  <c r="E30" i="10"/>
  <c r="E32" i="10" s="1"/>
  <c r="H19" i="2"/>
  <c r="F13" i="10"/>
  <c r="H285" i="2"/>
  <c r="H255" i="2" s="1"/>
  <c r="H141" i="2"/>
  <c r="H235" i="2"/>
  <c r="H305" i="2"/>
  <c r="H203" i="2"/>
  <c r="O22" i="15"/>
  <c r="O23" i="15" s="1"/>
  <c r="M5" i="15" s="1"/>
  <c r="C23" i="15"/>
  <c r="H91" i="2"/>
  <c r="F11" i="10"/>
  <c r="H213" i="2"/>
  <c r="G83" i="2"/>
  <c r="H192" i="2"/>
  <c r="H10" i="10"/>
  <c r="H120" i="2"/>
  <c r="H163" i="2"/>
  <c r="H355" i="2"/>
  <c r="H184" i="2"/>
  <c r="H11" i="10"/>
  <c r="F12" i="10"/>
  <c r="H326" i="2"/>
  <c r="H334" i="2"/>
  <c r="G73" i="10"/>
  <c r="G75" i="10" s="1"/>
  <c r="Q27" i="1"/>
  <c r="F33" i="10"/>
  <c r="F35" i="10" s="1"/>
  <c r="P15" i="1"/>
  <c r="D29" i="6"/>
  <c r="G29" i="6" s="1"/>
  <c r="P24" i="1"/>
  <c r="R35" i="3"/>
  <c r="N38" i="3"/>
  <c r="F75" i="10"/>
  <c r="F30" i="10"/>
  <c r="F32" i="10" s="1"/>
  <c r="P14" i="1"/>
  <c r="R38" i="3"/>
  <c r="G59" i="10"/>
  <c r="G61" i="10" s="1"/>
  <c r="Q23" i="1"/>
  <c r="R27" i="3"/>
  <c r="N30" i="3"/>
  <c r="P41" i="3"/>
  <c r="E18" i="6"/>
  <c r="H18" i="6" s="1"/>
  <c r="Q13" i="1"/>
  <c r="F59" i="10"/>
  <c r="F61" i="10" s="1"/>
  <c r="P23" i="1"/>
  <c r="F27" i="10"/>
  <c r="F29" i="10" s="1"/>
  <c r="P13" i="1"/>
  <c r="E10" i="9"/>
  <c r="J32" i="9"/>
  <c r="R30" i="3"/>
  <c r="N33" i="3"/>
  <c r="N44" i="3"/>
  <c r="D22" i="4"/>
  <c r="L22" i="4" s="1"/>
  <c r="G275" i="2"/>
  <c r="G334" i="2"/>
  <c r="G325" i="2" s="1"/>
  <c r="D19" i="4"/>
  <c r="L19" i="4" s="1"/>
  <c r="O21" i="1"/>
  <c r="P33" i="3"/>
  <c r="P44" i="3"/>
  <c r="H70" i="2"/>
  <c r="H69" i="2" s="1"/>
  <c r="G59" i="2"/>
  <c r="G79" i="10"/>
  <c r="G81" i="10" s="1"/>
  <c r="Q29" i="1"/>
  <c r="D18" i="4"/>
  <c r="L18" i="4" s="1"/>
  <c r="O20" i="1"/>
  <c r="C28" i="6"/>
  <c r="F28" i="6" s="1"/>
  <c r="O23" i="1"/>
  <c r="E27" i="6"/>
  <c r="H27" i="6" s="1"/>
  <c r="Q22" i="1"/>
  <c r="C10" i="9"/>
  <c r="H32" i="9"/>
  <c r="C54" i="9"/>
  <c r="N25" i="3"/>
  <c r="N39" i="3"/>
  <c r="G184" i="2"/>
  <c r="C24" i="6"/>
  <c r="F24" i="6" s="1"/>
  <c r="O19" i="1"/>
  <c r="G189" i="2"/>
  <c r="F12" i="4"/>
  <c r="N12" i="4" s="1"/>
  <c r="Q14" i="1"/>
  <c r="F55" i="10"/>
  <c r="F57" i="10" s="1"/>
  <c r="P22" i="1"/>
  <c r="L17" i="1"/>
  <c r="P17" i="1" s="1"/>
  <c r="P12" i="1"/>
  <c r="G62" i="10"/>
  <c r="G64" i="10" s="1"/>
  <c r="Q24" i="1"/>
  <c r="G228" i="2"/>
  <c r="G227" i="2" s="1"/>
  <c r="H78" i="2"/>
  <c r="H77" i="2" s="1"/>
  <c r="C29" i="6"/>
  <c r="F29" i="6" s="1"/>
  <c r="E32" i="9"/>
  <c r="G54" i="9"/>
  <c r="N31" i="3"/>
  <c r="R51" i="3"/>
  <c r="N57" i="3"/>
  <c r="G40" i="2"/>
  <c r="G203" i="2"/>
  <c r="G26" i="6"/>
  <c r="F26" i="4"/>
  <c r="N26" i="4" s="1"/>
  <c r="Q28" i="1"/>
  <c r="J12" i="1"/>
  <c r="N12" i="1" s="1"/>
  <c r="O12" i="1"/>
  <c r="G52" i="10"/>
  <c r="G54" i="10" s="1"/>
  <c r="Q21" i="1"/>
  <c r="L10" i="9"/>
  <c r="L12" i="5"/>
  <c r="M11" i="5" s="1"/>
  <c r="D32" i="9"/>
  <c r="P20" i="3"/>
  <c r="P31" i="3"/>
  <c r="P57" i="3"/>
  <c r="N60" i="3"/>
  <c r="E17" i="6"/>
  <c r="H17" i="6" s="1"/>
  <c r="Q12" i="1"/>
  <c r="J13" i="1"/>
  <c r="N13" i="1" s="1"/>
  <c r="O13" i="1"/>
  <c r="G345" i="2"/>
  <c r="G264" i="2"/>
  <c r="J15" i="1"/>
  <c r="O15" i="1"/>
  <c r="F52" i="10"/>
  <c r="F54" i="10" s="1"/>
  <c r="P21" i="1"/>
  <c r="K10" i="9"/>
  <c r="L40" i="5"/>
  <c r="M39" i="5" s="1"/>
  <c r="D157" i="2" s="1"/>
  <c r="D156" i="2" s="1"/>
  <c r="D155" i="2" s="1"/>
  <c r="R60" i="3"/>
  <c r="G256" i="2"/>
  <c r="G192" i="2"/>
  <c r="G163" i="2"/>
  <c r="G155" i="2" s="1"/>
  <c r="J14" i="1"/>
  <c r="O14" i="1"/>
  <c r="M20" i="1"/>
  <c r="Q20" i="1" s="1"/>
  <c r="Q15" i="1"/>
  <c r="P23" i="3"/>
  <c r="N43" i="3"/>
  <c r="P56" i="9"/>
  <c r="P34" i="9"/>
  <c r="N12" i="9"/>
  <c r="O12" i="9" s="1"/>
  <c r="C11" i="9"/>
  <c r="O11" i="9" s="1"/>
  <c r="P11" i="9"/>
  <c r="O22" i="9"/>
  <c r="P22" i="9"/>
  <c r="O33" i="9"/>
  <c r="P33" i="9"/>
  <c r="N21" i="9"/>
  <c r="J21" i="9"/>
  <c r="F21" i="9"/>
  <c r="D55" i="9"/>
  <c r="C44" i="9"/>
  <c r="L54" i="5"/>
  <c r="M53" i="5" s="1"/>
  <c r="D229" i="2" s="1"/>
  <c r="M21" i="9"/>
  <c r="I21" i="9"/>
  <c r="E21" i="9"/>
  <c r="C32" i="9"/>
  <c r="K32" i="9"/>
  <c r="N43" i="9"/>
  <c r="J43" i="9"/>
  <c r="F43" i="9"/>
  <c r="N54" i="9"/>
  <c r="J54" i="9"/>
  <c r="F54" i="9"/>
  <c r="E55" i="9"/>
  <c r="C55" i="9"/>
  <c r="L68" i="5"/>
  <c r="M67" i="5" s="1"/>
  <c r="D299" i="2" s="1"/>
  <c r="L21" i="9"/>
  <c r="H21" i="9"/>
  <c r="D21" i="9"/>
  <c r="M43" i="9"/>
  <c r="I43" i="9"/>
  <c r="E43" i="9"/>
  <c r="M54" i="9"/>
  <c r="I54" i="9"/>
  <c r="E54" i="9"/>
  <c r="L26" i="5"/>
  <c r="M25" i="5" s="1"/>
  <c r="D85" i="2" s="1"/>
  <c r="C21" i="9"/>
  <c r="K21" i="9"/>
  <c r="L43" i="9"/>
  <c r="H43" i="9"/>
  <c r="L54" i="9"/>
  <c r="H54" i="9"/>
  <c r="N15" i="3"/>
  <c r="P18" i="3"/>
  <c r="N21" i="3"/>
  <c r="N26" i="3"/>
  <c r="N29" i="3"/>
  <c r="N34" i="3"/>
  <c r="N37" i="3"/>
  <c r="N42" i="3"/>
  <c r="P48" i="3"/>
  <c r="N50" i="3"/>
  <c r="R52" i="3"/>
  <c r="N53" i="3"/>
  <c r="N58" i="3"/>
  <c r="K73" i="3"/>
  <c r="R15" i="3"/>
  <c r="P21" i="3"/>
  <c r="N24" i="3"/>
  <c r="R26" i="3"/>
  <c r="N27" i="3"/>
  <c r="P29" i="3"/>
  <c r="N32" i="3"/>
  <c r="R34" i="3"/>
  <c r="N35" i="3"/>
  <c r="P37" i="3"/>
  <c r="N40" i="3"/>
  <c r="P42" i="3"/>
  <c r="N45" i="3"/>
  <c r="R50" i="3"/>
  <c r="N51" i="3"/>
  <c r="P53" i="3"/>
  <c r="N56" i="3"/>
  <c r="R58" i="3"/>
  <c r="N59" i="3"/>
  <c r="P61" i="3"/>
  <c r="R24" i="3"/>
  <c r="R32" i="3"/>
  <c r="R40" i="3"/>
  <c r="R45" i="3"/>
  <c r="R56" i="3"/>
  <c r="K81" i="3"/>
  <c r="F24" i="4"/>
  <c r="N24" i="4" s="1"/>
  <c r="Q26" i="1"/>
  <c r="C23" i="4"/>
  <c r="K23" i="4" s="1"/>
  <c r="K26" i="1"/>
  <c r="O26" i="1" s="1"/>
  <c r="D23" i="4"/>
  <c r="L23" i="4" s="1"/>
  <c r="C30" i="6"/>
  <c r="F30" i="6" s="1"/>
  <c r="G14" i="10"/>
  <c r="G30" i="10"/>
  <c r="G32" i="10" s="1"/>
  <c r="E62" i="10"/>
  <c r="E64" i="10" s="1"/>
  <c r="F11" i="4"/>
  <c r="N11" i="4" s="1"/>
  <c r="E81" i="10"/>
  <c r="E78" i="10"/>
  <c r="M12" i="4"/>
  <c r="H75" i="10"/>
  <c r="F78" i="10"/>
  <c r="D71" i="10"/>
  <c r="H81" i="10"/>
  <c r="K18" i="1"/>
  <c r="C23" i="6" s="1"/>
  <c r="F23" i="6" s="1"/>
  <c r="E33" i="10"/>
  <c r="E35" i="10" s="1"/>
  <c r="M19" i="1"/>
  <c r="E31" i="6"/>
  <c r="H31" i="6" s="1"/>
  <c r="E19" i="6"/>
  <c r="H19" i="6" s="1"/>
  <c r="F13" i="4"/>
  <c r="N13" i="4" s="1"/>
  <c r="D17" i="6"/>
  <c r="G17" i="6" s="1"/>
  <c r="E22" i="4"/>
  <c r="M22" i="4" s="1"/>
  <c r="D28" i="6"/>
  <c r="G28" i="6" s="1"/>
  <c r="F10" i="4"/>
  <c r="N10" i="4" s="1"/>
  <c r="E54" i="10"/>
  <c r="D66" i="10"/>
  <c r="D68" i="10" s="1"/>
  <c r="D13" i="4"/>
  <c r="L13" i="4" s="1"/>
  <c r="D81" i="10"/>
  <c r="G55" i="10"/>
  <c r="G57" i="10" s="1"/>
  <c r="M17" i="1"/>
  <c r="E66" i="10"/>
  <c r="C20" i="6"/>
  <c r="F20" i="6" s="1"/>
  <c r="E20" i="4"/>
  <c r="M20" i="4" s="1"/>
  <c r="E13" i="4"/>
  <c r="M13" i="4" s="1"/>
  <c r="F69" i="10"/>
  <c r="F71" i="10" s="1"/>
  <c r="D31" i="6"/>
  <c r="G31" i="6" s="1"/>
  <c r="E24" i="4"/>
  <c r="M24" i="4" s="1"/>
  <c r="G24" i="10"/>
  <c r="G26" i="10" s="1"/>
  <c r="M18" i="1"/>
  <c r="G66" i="10"/>
  <c r="G68" i="10" s="1"/>
  <c r="E11" i="4"/>
  <c r="M11" i="4" s="1"/>
  <c r="F66" i="10"/>
  <c r="F68" i="10" s="1"/>
  <c r="F62" i="10"/>
  <c r="F64" i="10" s="1"/>
  <c r="L20" i="1"/>
  <c r="P20" i="1" s="1"/>
  <c r="D18" i="6"/>
  <c r="G18" i="6" s="1"/>
  <c r="G69" i="10"/>
  <c r="G71" i="10" s="1"/>
  <c r="G27" i="10"/>
  <c r="G29" i="10" s="1"/>
  <c r="D20" i="6"/>
  <c r="G20" i="6" s="1"/>
  <c r="F24" i="10"/>
  <c r="F26" i="10" s="1"/>
  <c r="E34" i="6"/>
  <c r="H34" i="6" s="1"/>
  <c r="E32" i="6"/>
  <c r="H32" i="6" s="1"/>
  <c r="E26" i="6"/>
  <c r="H26" i="6" s="1"/>
  <c r="G76" i="10"/>
  <c r="G78" i="10" s="1"/>
  <c r="E33" i="6"/>
  <c r="H33" i="6" s="1"/>
  <c r="F19" i="4"/>
  <c r="N19" i="4" s="1"/>
  <c r="F25" i="4"/>
  <c r="N25" i="4" s="1"/>
  <c r="F22" i="4"/>
  <c r="N22" i="4" s="1"/>
  <c r="F23" i="4"/>
  <c r="N23" i="4" s="1"/>
  <c r="E29" i="6"/>
  <c r="H29" i="6" s="1"/>
  <c r="F27" i="4"/>
  <c r="N27" i="4" s="1"/>
  <c r="G33" i="10"/>
  <c r="G35" i="10" s="1"/>
  <c r="D21" i="4"/>
  <c r="L21" i="4" s="1"/>
  <c r="E59" i="10"/>
  <c r="E61" i="10" s="1"/>
  <c r="C27" i="6"/>
  <c r="F27" i="6" s="1"/>
  <c r="D20" i="4"/>
  <c r="L20" i="4" s="1"/>
  <c r="E55" i="10"/>
  <c r="E57" i="10" s="1"/>
  <c r="E48" i="10"/>
  <c r="C25" i="6"/>
  <c r="F25" i="6" s="1"/>
  <c r="D17" i="4"/>
  <c r="L17" i="4" s="1"/>
  <c r="E45" i="10"/>
  <c r="C18" i="6"/>
  <c r="F18" i="6" s="1"/>
  <c r="E27" i="10"/>
  <c r="D11" i="4"/>
  <c r="L11" i="4" s="1"/>
  <c r="E26" i="10"/>
  <c r="C17" i="6"/>
  <c r="F17" i="6" s="1"/>
  <c r="D10" i="4"/>
  <c r="L10" i="4" s="1"/>
  <c r="K17" i="1"/>
  <c r="O17" i="1" s="1"/>
  <c r="E20" i="6"/>
  <c r="H20" i="6" s="1"/>
  <c r="E10" i="4"/>
  <c r="M10" i="4" s="1"/>
  <c r="E21" i="4"/>
  <c r="M21" i="4" s="1"/>
  <c r="L19" i="1"/>
  <c r="P19" i="1" s="1"/>
  <c r="L18" i="1"/>
  <c r="P18" i="1" s="1"/>
  <c r="P17" i="3"/>
  <c r="P19" i="3"/>
  <c r="P47" i="3"/>
  <c r="P49" i="3"/>
  <c r="R17" i="3"/>
  <c r="N18" i="3"/>
  <c r="R19" i="3"/>
  <c r="N20" i="3"/>
  <c r="N41" i="3"/>
  <c r="R47" i="3"/>
  <c r="N48" i="3"/>
  <c r="R49" i="3"/>
  <c r="N61" i="3"/>
  <c r="K62" i="3"/>
  <c r="D82" i="10" l="1"/>
  <c r="G48" i="2"/>
  <c r="P45" i="9"/>
  <c r="W80" i="3"/>
  <c r="D224" i="2"/>
  <c r="H111" i="2"/>
  <c r="M25" i="9" s="1"/>
  <c r="G152" i="2"/>
  <c r="H9" i="10"/>
  <c r="H14" i="10" s="1"/>
  <c r="H39" i="2"/>
  <c r="F14" i="9" s="1"/>
  <c r="I78" i="10"/>
  <c r="J78" i="10" s="1"/>
  <c r="G297" i="2"/>
  <c r="G366" i="2" s="1"/>
  <c r="F18" i="4"/>
  <c r="N18" i="4" s="1"/>
  <c r="E25" i="6"/>
  <c r="H25" i="6" s="1"/>
  <c r="G48" i="10"/>
  <c r="P23" i="9"/>
  <c r="O54" i="9"/>
  <c r="P10" i="9"/>
  <c r="F14" i="10"/>
  <c r="D24" i="4"/>
  <c r="L24" i="4" s="1"/>
  <c r="D22" i="6"/>
  <c r="G22" i="6" s="1"/>
  <c r="F39" i="10"/>
  <c r="F41" i="10" s="1"/>
  <c r="E15" i="4"/>
  <c r="M15" i="4" s="1"/>
  <c r="F72" i="10"/>
  <c r="D27" i="10"/>
  <c r="D29" i="10" s="1"/>
  <c r="C11" i="4"/>
  <c r="K11" i="4" s="1"/>
  <c r="I64" i="10"/>
  <c r="J64" i="10" s="1"/>
  <c r="E65" i="10"/>
  <c r="I57" i="10"/>
  <c r="J57" i="10" s="1"/>
  <c r="G65" i="10"/>
  <c r="G58" i="10"/>
  <c r="J47" i="9"/>
  <c r="M47" i="9"/>
  <c r="F47" i="9"/>
  <c r="D47" i="9"/>
  <c r="H47" i="9"/>
  <c r="G47" i="9"/>
  <c r="N47" i="9"/>
  <c r="K47" i="9"/>
  <c r="L47" i="9"/>
  <c r="I47" i="9"/>
  <c r="C47" i="9"/>
  <c r="E47" i="9"/>
  <c r="C13" i="4"/>
  <c r="K13" i="4" s="1"/>
  <c r="N15" i="1"/>
  <c r="H325" i="2"/>
  <c r="H183" i="2"/>
  <c r="O10" i="9"/>
  <c r="C12" i="4"/>
  <c r="K12" i="4" s="1"/>
  <c r="N14" i="1"/>
  <c r="D30" i="10"/>
  <c r="D32" i="10" s="1"/>
  <c r="I32" i="10" s="1"/>
  <c r="G224" i="2"/>
  <c r="D33" i="10"/>
  <c r="D35" i="10" s="1"/>
  <c r="I35" i="10" s="1"/>
  <c r="D16" i="4"/>
  <c r="L16" i="4" s="1"/>
  <c r="O18" i="1"/>
  <c r="G39" i="10"/>
  <c r="G41" i="10" s="1"/>
  <c r="Q17" i="1"/>
  <c r="O43" i="9"/>
  <c r="F82" i="10"/>
  <c r="G183" i="2"/>
  <c r="D24" i="10"/>
  <c r="D26" i="10" s="1"/>
  <c r="I26" i="10" s="1"/>
  <c r="F15" i="4"/>
  <c r="N15" i="4" s="1"/>
  <c r="G45" i="10"/>
  <c r="G47" i="10" s="1"/>
  <c r="Q19" i="1"/>
  <c r="E13" i="9"/>
  <c r="F13" i="9"/>
  <c r="G13" i="9"/>
  <c r="H13" i="9"/>
  <c r="I13" i="9"/>
  <c r="J13" i="9"/>
  <c r="K13" i="9"/>
  <c r="L13" i="9"/>
  <c r="M13" i="9"/>
  <c r="N13" i="9"/>
  <c r="C13" i="9"/>
  <c r="D13" i="9"/>
  <c r="F16" i="4"/>
  <c r="N16" i="4" s="1"/>
  <c r="Q18" i="1"/>
  <c r="P43" i="9"/>
  <c r="G255" i="2"/>
  <c r="G296" i="2" s="1"/>
  <c r="C10" i="4"/>
  <c r="K10" i="4" s="1"/>
  <c r="I81" i="10"/>
  <c r="J81" i="10" s="1"/>
  <c r="E82" i="10"/>
  <c r="E42" i="10"/>
  <c r="I75" i="10"/>
  <c r="J75" i="10" s="1"/>
  <c r="F58" i="10"/>
  <c r="G39" i="2"/>
  <c r="G80" i="2" s="1"/>
  <c r="H157" i="2"/>
  <c r="H156" i="2" s="1"/>
  <c r="E11" i="10" s="1"/>
  <c r="P12" i="9"/>
  <c r="D84" i="2"/>
  <c r="D83" i="2" s="1"/>
  <c r="D152" i="2" s="1"/>
  <c r="H85" i="2"/>
  <c r="H84" i="2" s="1"/>
  <c r="D228" i="2"/>
  <c r="D227" i="2" s="1"/>
  <c r="D296" i="2" s="1"/>
  <c r="H229" i="2"/>
  <c r="H228" i="2" s="1"/>
  <c r="D298" i="2"/>
  <c r="D366" i="2" s="1"/>
  <c r="H299" i="2"/>
  <c r="H298" i="2" s="1"/>
  <c r="P54" i="9"/>
  <c r="P44" i="9"/>
  <c r="O44" i="9"/>
  <c r="P21" i="9"/>
  <c r="O21" i="9"/>
  <c r="O55" i="9"/>
  <c r="P55" i="9"/>
  <c r="D13" i="2"/>
  <c r="P32" i="9"/>
  <c r="O32" i="9"/>
  <c r="N62" i="3"/>
  <c r="M62" i="3" s="1"/>
  <c r="Z15" i="3" s="1"/>
  <c r="AG15" i="3" s="1"/>
  <c r="R62" i="3"/>
  <c r="AE15" i="3" s="1"/>
  <c r="P62" i="3"/>
  <c r="AC15" i="3" s="1"/>
  <c r="E69" i="10"/>
  <c r="H71" i="10" s="1"/>
  <c r="C31" i="6"/>
  <c r="F31" i="6" s="1"/>
  <c r="G72" i="10"/>
  <c r="F65" i="10"/>
  <c r="D72" i="10"/>
  <c r="H82" i="10"/>
  <c r="I54" i="10"/>
  <c r="J54" i="10" s="1"/>
  <c r="E68" i="10"/>
  <c r="I68" i="10" s="1"/>
  <c r="H68" i="10"/>
  <c r="E58" i="10"/>
  <c r="I61" i="10"/>
  <c r="J61" i="10" s="1"/>
  <c r="E24" i="6"/>
  <c r="H24" i="6" s="1"/>
  <c r="F17" i="4"/>
  <c r="N17" i="4" s="1"/>
  <c r="H32" i="10"/>
  <c r="E22" i="6"/>
  <c r="H22" i="6" s="1"/>
  <c r="F48" i="10"/>
  <c r="D25" i="6"/>
  <c r="G25" i="6" s="1"/>
  <c r="E18" i="4"/>
  <c r="M18" i="4" s="1"/>
  <c r="G82" i="10"/>
  <c r="E23" i="6"/>
  <c r="H23" i="6" s="1"/>
  <c r="G42" i="10"/>
  <c r="G44" i="10" s="1"/>
  <c r="H47" i="10"/>
  <c r="E47" i="10"/>
  <c r="H44" i="10"/>
  <c r="E44" i="10"/>
  <c r="E29" i="10"/>
  <c r="D15" i="4"/>
  <c r="L15" i="4" s="1"/>
  <c r="C22" i="6"/>
  <c r="F22" i="6" s="1"/>
  <c r="E39" i="10"/>
  <c r="E17" i="4"/>
  <c r="M17" i="4" s="1"/>
  <c r="D24" i="6"/>
  <c r="G24" i="6" s="1"/>
  <c r="F45" i="10"/>
  <c r="F47" i="10" s="1"/>
  <c r="F42" i="10"/>
  <c r="F44" i="10" s="1"/>
  <c r="D23" i="6"/>
  <c r="G23" i="6" s="1"/>
  <c r="E16" i="4"/>
  <c r="M16" i="4" s="1"/>
  <c r="AH15" i="3" l="1"/>
  <c r="D25" i="9"/>
  <c r="J25" i="9"/>
  <c r="F25" i="9"/>
  <c r="H25" i="9"/>
  <c r="I25" i="9"/>
  <c r="C25" i="9"/>
  <c r="L25" i="9"/>
  <c r="G25" i="9"/>
  <c r="E25" i="9"/>
  <c r="K25" i="9"/>
  <c r="N25" i="9"/>
  <c r="L14" i="9"/>
  <c r="G14" i="9"/>
  <c r="E14" i="9"/>
  <c r="C14" i="9"/>
  <c r="K14" i="9"/>
  <c r="M14" i="9"/>
  <c r="I14" i="9"/>
  <c r="N14" i="9"/>
  <c r="H14" i="9"/>
  <c r="J14" i="9"/>
  <c r="D14" i="9"/>
  <c r="H29" i="10"/>
  <c r="I29" i="10"/>
  <c r="I65" i="10"/>
  <c r="B13" i="10" s="1"/>
  <c r="D13" i="10" s="1"/>
  <c r="N53" i="9" s="1"/>
  <c r="J82" i="10"/>
  <c r="I47" i="10"/>
  <c r="J47" i="10" s="1"/>
  <c r="J58" i="10"/>
  <c r="P13" i="9"/>
  <c r="O13" i="9"/>
  <c r="O47" i="9"/>
  <c r="P47" i="9"/>
  <c r="H155" i="2"/>
  <c r="J35" i="9" s="1"/>
  <c r="AA15" i="3"/>
  <c r="H35" i="10"/>
  <c r="J35" i="10" s="1"/>
  <c r="H36" i="9"/>
  <c r="D36" i="9"/>
  <c r="F36" i="9"/>
  <c r="K36" i="9"/>
  <c r="N36" i="9"/>
  <c r="E36" i="9"/>
  <c r="G36" i="9"/>
  <c r="M36" i="9"/>
  <c r="I36" i="9"/>
  <c r="J36" i="9"/>
  <c r="C36" i="9"/>
  <c r="L36" i="9"/>
  <c r="D58" i="9"/>
  <c r="M58" i="9"/>
  <c r="F58" i="9"/>
  <c r="K58" i="9"/>
  <c r="E58" i="9"/>
  <c r="H58" i="9"/>
  <c r="I58" i="9"/>
  <c r="L58" i="9"/>
  <c r="N58" i="9"/>
  <c r="G58" i="9"/>
  <c r="C58" i="9"/>
  <c r="J58" i="9"/>
  <c r="I58" i="10"/>
  <c r="B10" i="10" s="1"/>
  <c r="D10" i="10" s="1"/>
  <c r="G20" i="9" s="1"/>
  <c r="Q62" i="3"/>
  <c r="AD15" i="3" s="1"/>
  <c r="AK15" i="3" s="1"/>
  <c r="AL15" i="3" s="1"/>
  <c r="AR15" i="3" s="1"/>
  <c r="E71" i="10"/>
  <c r="I71" i="10" s="1"/>
  <c r="I82" i="10"/>
  <c r="B12" i="10" s="1"/>
  <c r="D12" i="10" s="1"/>
  <c r="G42" i="9" s="1"/>
  <c r="H26" i="10"/>
  <c r="J26" i="10" s="1"/>
  <c r="J65" i="10"/>
  <c r="G51" i="10"/>
  <c r="E10" i="10"/>
  <c r="H83" i="2"/>
  <c r="H227" i="2"/>
  <c r="E12" i="10"/>
  <c r="H13" i="2"/>
  <c r="H12" i="2" s="1"/>
  <c r="D12" i="2"/>
  <c r="D11" i="2" s="1"/>
  <c r="D80" i="2" s="1"/>
  <c r="E13" i="10"/>
  <c r="H297" i="2"/>
  <c r="O62" i="3"/>
  <c r="AB15" i="3" s="1"/>
  <c r="AI15" i="3" s="1"/>
  <c r="AJ15" i="3" s="1"/>
  <c r="AP15" i="3" s="1"/>
  <c r="J68" i="10"/>
  <c r="J32" i="10"/>
  <c r="D51" i="10"/>
  <c r="H72" i="10"/>
  <c r="C11" i="10" s="1"/>
  <c r="I44" i="10"/>
  <c r="J44" i="10" s="1"/>
  <c r="E41" i="10"/>
  <c r="H41" i="10"/>
  <c r="F51" i="10"/>
  <c r="AN15" i="3" l="1"/>
  <c r="O25" i="9"/>
  <c r="P25" i="9"/>
  <c r="O14" i="9"/>
  <c r="P14" i="9"/>
  <c r="M42" i="9"/>
  <c r="K42" i="9"/>
  <c r="E53" i="9"/>
  <c r="M53" i="9"/>
  <c r="J29" i="10"/>
  <c r="C53" i="9"/>
  <c r="J53" i="9"/>
  <c r="D53" i="9"/>
  <c r="K53" i="9"/>
  <c r="L53" i="9"/>
  <c r="G53" i="9"/>
  <c r="I53" i="9"/>
  <c r="F53" i="9"/>
  <c r="H53" i="9"/>
  <c r="L20" i="9"/>
  <c r="H224" i="2"/>
  <c r="I11" i="10" s="1"/>
  <c r="J11" i="10" s="1"/>
  <c r="D35" i="9"/>
  <c r="K35" i="9"/>
  <c r="G35" i="9"/>
  <c r="C35" i="9"/>
  <c r="L35" i="9"/>
  <c r="L42" i="9"/>
  <c r="C42" i="9"/>
  <c r="N42" i="9"/>
  <c r="H42" i="9"/>
  <c r="F42" i="9"/>
  <c r="J42" i="9"/>
  <c r="I42" i="9"/>
  <c r="H20" i="9"/>
  <c r="E20" i="9"/>
  <c r="E72" i="10"/>
  <c r="I20" i="9"/>
  <c r="N20" i="9"/>
  <c r="J20" i="9"/>
  <c r="D20" i="9"/>
  <c r="K20" i="9"/>
  <c r="M20" i="9"/>
  <c r="F20" i="9"/>
  <c r="C20" i="9"/>
  <c r="O58" i="9"/>
  <c r="P58" i="9"/>
  <c r="F35" i="9"/>
  <c r="N35" i="9"/>
  <c r="D42" i="9"/>
  <c r="M35" i="9"/>
  <c r="P36" i="9"/>
  <c r="O36" i="9"/>
  <c r="H35" i="9"/>
  <c r="H51" i="10"/>
  <c r="C9" i="10" s="1"/>
  <c r="C14" i="10" s="1"/>
  <c r="I35" i="9"/>
  <c r="E35" i="9"/>
  <c r="E42" i="9"/>
  <c r="H11" i="2"/>
  <c r="H80" i="2" s="1"/>
  <c r="E9" i="10"/>
  <c r="I46" i="9"/>
  <c r="F46" i="9"/>
  <c r="J46" i="9"/>
  <c r="M46" i="9"/>
  <c r="G46" i="9"/>
  <c r="G48" i="9" s="1"/>
  <c r="H46" i="9"/>
  <c r="L46" i="9"/>
  <c r="K46" i="9"/>
  <c r="K48" i="9" s="1"/>
  <c r="N46" i="9"/>
  <c r="E46" i="9"/>
  <c r="E48" i="9" s="1"/>
  <c r="H296" i="2"/>
  <c r="I12" i="10" s="1"/>
  <c r="J12" i="10" s="1"/>
  <c r="C46" i="9"/>
  <c r="D46" i="9"/>
  <c r="E57" i="9"/>
  <c r="K57" i="9"/>
  <c r="H366" i="2"/>
  <c r="I13" i="10" s="1"/>
  <c r="F57" i="9"/>
  <c r="H57" i="9"/>
  <c r="I57" i="9"/>
  <c r="L57" i="9"/>
  <c r="J57" i="9"/>
  <c r="N57" i="9"/>
  <c r="N59" i="9" s="1"/>
  <c r="C57" i="9"/>
  <c r="D57" i="9"/>
  <c r="G57" i="9"/>
  <c r="M57" i="9"/>
  <c r="C24" i="9"/>
  <c r="H152" i="2"/>
  <c r="I10" i="10" s="1"/>
  <c r="J10" i="10" s="1"/>
  <c r="D24" i="9"/>
  <c r="I24" i="9"/>
  <c r="H24" i="9"/>
  <c r="F24" i="9"/>
  <c r="F26" i="9" s="1"/>
  <c r="K24" i="9"/>
  <c r="M24" i="9"/>
  <c r="G24" i="9"/>
  <c r="G26" i="9" s="1"/>
  <c r="N24" i="9"/>
  <c r="E24" i="9"/>
  <c r="J24" i="9"/>
  <c r="L24" i="9"/>
  <c r="J71" i="10"/>
  <c r="J72" i="10" s="1"/>
  <c r="I72" i="10"/>
  <c r="B11" i="10" s="1"/>
  <c r="D11" i="10" s="1"/>
  <c r="E51" i="10"/>
  <c r="I41" i="10"/>
  <c r="K59" i="9" l="1"/>
  <c r="M48" i="9"/>
  <c r="I59" i="9"/>
  <c r="M59" i="9"/>
  <c r="E59" i="9"/>
  <c r="G59" i="9"/>
  <c r="D59" i="9"/>
  <c r="P53" i="9"/>
  <c r="J59" i="9"/>
  <c r="L59" i="9"/>
  <c r="I26" i="9"/>
  <c r="C59" i="9"/>
  <c r="O53" i="9"/>
  <c r="H59" i="9"/>
  <c r="F59" i="9"/>
  <c r="L26" i="9"/>
  <c r="C48" i="9"/>
  <c r="I48" i="9"/>
  <c r="O35" i="9"/>
  <c r="J48" i="9"/>
  <c r="F48" i="9"/>
  <c r="J26" i="9"/>
  <c r="D26" i="9"/>
  <c r="N48" i="9"/>
  <c r="L48" i="9"/>
  <c r="H48" i="9"/>
  <c r="E26" i="9"/>
  <c r="H26" i="9"/>
  <c r="P20" i="9"/>
  <c r="C26" i="9"/>
  <c r="O20" i="9"/>
  <c r="M26" i="9"/>
  <c r="K26" i="9"/>
  <c r="N26" i="9"/>
  <c r="P42" i="9"/>
  <c r="P35" i="9"/>
  <c r="O42" i="9"/>
  <c r="D48" i="9"/>
  <c r="N10" i="10"/>
  <c r="D7" i="15" s="1"/>
  <c r="N13" i="10"/>
  <c r="P24" i="9"/>
  <c r="O24" i="9"/>
  <c r="O46" i="9"/>
  <c r="P46" i="9"/>
  <c r="E14" i="10"/>
  <c r="I9" i="10"/>
  <c r="I14" i="10" s="1"/>
  <c r="N12" i="10"/>
  <c r="D9" i="15" s="1"/>
  <c r="P57" i="9"/>
  <c r="O57" i="9"/>
  <c r="J31" i="9"/>
  <c r="J37" i="9" s="1"/>
  <c r="N11" i="10"/>
  <c r="D8" i="15" s="1"/>
  <c r="C31" i="9"/>
  <c r="I31" i="9"/>
  <c r="I37" i="9" s="1"/>
  <c r="N31" i="9"/>
  <c r="N37" i="9" s="1"/>
  <c r="K31" i="9"/>
  <c r="K37" i="9" s="1"/>
  <c r="G31" i="9"/>
  <c r="G37" i="9" s="1"/>
  <c r="F31" i="9"/>
  <c r="F37" i="9" s="1"/>
  <c r="L31" i="9"/>
  <c r="L37" i="9" s="1"/>
  <c r="D31" i="9"/>
  <c r="D37" i="9" s="1"/>
  <c r="M31" i="9"/>
  <c r="M37" i="9" s="1"/>
  <c r="H31" i="9"/>
  <c r="H37" i="9" s="1"/>
  <c r="E31" i="9"/>
  <c r="E37" i="9" s="1"/>
  <c r="J41" i="10"/>
  <c r="J51" i="10" s="1"/>
  <c r="I51" i="10"/>
  <c r="B9" i="10" s="1"/>
  <c r="O59" i="9" l="1"/>
  <c r="O48" i="9"/>
  <c r="O26" i="9"/>
  <c r="J9" i="10"/>
  <c r="P31" i="9"/>
  <c r="O31" i="9"/>
  <c r="C37" i="9"/>
  <c r="O37" i="9" s="1"/>
  <c r="D9" i="10"/>
  <c r="B14" i="10"/>
  <c r="J14" i="10" l="1"/>
  <c r="K9" i="10" s="1"/>
  <c r="K9" i="9"/>
  <c r="K15" i="9" s="1"/>
  <c r="G9" i="9"/>
  <c r="G15" i="9" s="1"/>
  <c r="D14" i="10"/>
  <c r="C9" i="9"/>
  <c r="N9" i="10"/>
  <c r="H9" i="9"/>
  <c r="H15" i="9" s="1"/>
  <c r="M9" i="9"/>
  <c r="M15" i="9" s="1"/>
  <c r="L9" i="9"/>
  <c r="L15" i="9" s="1"/>
  <c r="D9" i="9"/>
  <c r="D15" i="9" s="1"/>
  <c r="E9" i="9"/>
  <c r="E15" i="9" s="1"/>
  <c r="J9" i="9"/>
  <c r="J15" i="9" s="1"/>
  <c r="N9" i="9"/>
  <c r="N15" i="9" s="1"/>
  <c r="F9" i="9"/>
  <c r="F15" i="9" s="1"/>
  <c r="I9" i="9"/>
  <c r="I15" i="9" s="1"/>
  <c r="K11" i="10" l="1"/>
  <c r="K13" i="10"/>
  <c r="K12" i="10"/>
  <c r="K10" i="10"/>
  <c r="L9" i="10"/>
  <c r="N14" i="10"/>
  <c r="N17" i="10" s="1"/>
  <c r="D6" i="15"/>
  <c r="O9" i="9"/>
  <c r="C15" i="9"/>
  <c r="O15" i="9" s="1"/>
  <c r="P9" i="9"/>
  <c r="M9" i="10" l="1"/>
  <c r="L11" i="10"/>
  <c r="M11" i="10" s="1"/>
  <c r="L10" i="10"/>
  <c r="M10" i="10" s="1"/>
  <c r="K14" i="10"/>
  <c r="O9" i="10" s="1"/>
  <c r="L12" i="10"/>
  <c r="M12" i="10" s="1"/>
  <c r="L13" i="10"/>
  <c r="M13" i="10" s="1"/>
  <c r="D10" i="15"/>
  <c r="O10" i="10" l="1"/>
  <c r="O13" i="10"/>
  <c r="O11" i="10"/>
  <c r="O12" i="10"/>
  <c r="M14" i="10"/>
  <c r="M17" i="10" s="1"/>
  <c r="L14" i="10"/>
  <c r="O14" i="10" l="1"/>
</calcChain>
</file>

<file path=xl/sharedStrings.xml><?xml version="1.0" encoding="utf-8"?>
<sst xmlns="http://schemas.openxmlformats.org/spreadsheetml/2006/main" count="1170" uniqueCount="349">
  <si>
    <t>RESUMEN DE INGRESOS Y EGRESOS</t>
  </si>
  <si>
    <t>REPARTICION:</t>
  </si>
  <si>
    <t>DELBIENWILL</t>
  </si>
  <si>
    <t>TABLA 1: RESUMEN DE INGRESOS Y EGRESOS DE CENTROS DE BENEFICIOS</t>
  </si>
  <si>
    <t>Centro de Beneficio</t>
  </si>
  <si>
    <t>Ingreso por Ventas</t>
  </si>
  <si>
    <t>Ingresos por reintegro C.A.R.</t>
  </si>
  <si>
    <t>Ingresos Totales</t>
  </si>
  <si>
    <t>REMUNERACIONES</t>
  </si>
  <si>
    <t>CONS. BÁSICOS + MATERIALES DE ASEO</t>
  </si>
  <si>
    <t>SEGURO</t>
  </si>
  <si>
    <t>MANTENCIÓN</t>
  </si>
  <si>
    <t>COSTO OPERACIÓN</t>
  </si>
  <si>
    <t>COSTO DIRECTO TOTAL</t>
  </si>
  <si>
    <t xml:space="preserve">Costos Indirectos </t>
  </si>
  <si>
    <t>Egresos Totales</t>
  </si>
  <si>
    <t>Excedente</t>
  </si>
  <si>
    <t>R.O</t>
  </si>
  <si>
    <t>% Distribución Costo Indirecto</t>
  </si>
  <si>
    <t xml:space="preserve">TOTAL </t>
  </si>
  <si>
    <t>TABLA 2: DETALLE DE INGRESOS POR PRESTACIÓN Y SEGMENTO</t>
  </si>
  <si>
    <t>Centro de Costo</t>
  </si>
  <si>
    <t>Prestación</t>
  </si>
  <si>
    <t>Cálculo Ingreso</t>
  </si>
  <si>
    <t xml:space="preserve">Ingreso por reintegro C.A.R. </t>
  </si>
  <si>
    <t xml:space="preserve">Total Anual </t>
  </si>
  <si>
    <t>C.A.R.</t>
  </si>
  <si>
    <t>Segmento 1</t>
  </si>
  <si>
    <t>Segmento 2</t>
  </si>
  <si>
    <t>Segmento 3</t>
  </si>
  <si>
    <t>Meta Ocupación</t>
  </si>
  <si>
    <t>Ingreso anual</t>
  </si>
  <si>
    <t>Ingreso total anual</t>
  </si>
  <si>
    <t>REAJUSTE DE TARIFAS Y METAS DE OCUPACIÓN POR CENTRO DE BENEFICIO</t>
  </si>
  <si>
    <t>TABLA 3: REAJUSTE DE TARIFAS POR PRESTACIÓN Y SEGMENTO</t>
  </si>
  <si>
    <t>TABLA 4: METAS DE OCUPACIÓN POR PRESTACIÓN Y SEGMENTO</t>
  </si>
  <si>
    <t>Reajuste propuesto</t>
  </si>
  <si>
    <t>Reajuste</t>
  </si>
  <si>
    <t>Total Ocupación</t>
  </si>
  <si>
    <t>CAR</t>
  </si>
  <si>
    <t>Casa de Huespedes</t>
  </si>
  <si>
    <t>Matrimonial</t>
  </si>
  <si>
    <t>Doble</t>
  </si>
  <si>
    <t>Triple</t>
  </si>
  <si>
    <t>Single</t>
  </si>
  <si>
    <t>Early check-in/Late check-out</t>
  </si>
  <si>
    <t>Sala de Juegos</t>
  </si>
  <si>
    <t>Sala de juegos</t>
  </si>
  <si>
    <t xml:space="preserve"> </t>
  </si>
  <si>
    <t>Sala de juegos Lunes a Jueves</t>
  </si>
  <si>
    <t>Cabañas</t>
  </si>
  <si>
    <t>Cabaña 6 personas</t>
  </si>
  <si>
    <t>Sala de Maquinas</t>
  </si>
  <si>
    <t>Armada</t>
  </si>
  <si>
    <t>Otras Instituciones de las FFAA, Orden y Seguridad</t>
  </si>
  <si>
    <t xml:space="preserve">ESTIMACION DE COSTOS DIRECTOS </t>
  </si>
  <si>
    <t>TABLA 5: COSTOS DIRECTOS DE CENTROS DE BENEFICIOS</t>
  </si>
  <si>
    <t>Número de Cuenta</t>
  </si>
  <si>
    <t>ítem de Gasto (según Plan de Cuenta Institucional)</t>
  </si>
  <si>
    <t>Costos Fijos</t>
  </si>
  <si>
    <t>Costos Variables</t>
  </si>
  <si>
    <t>DETALLE / OBSERVACIONES</t>
  </si>
  <si>
    <t>Costo Unitario Promedio</t>
  </si>
  <si>
    <t>Cantidad</t>
  </si>
  <si>
    <t>Total</t>
  </si>
  <si>
    <t>COSTOS DE OPERACIÓN</t>
  </si>
  <si>
    <t>REMUNERACIONES DIRECTAS</t>
  </si>
  <si>
    <t>REMUNERACIONES CÓDIGO DEL TRABAJO</t>
  </si>
  <si>
    <t>SUPLENCIAS Y REEMPLAZOS</t>
  </si>
  <si>
    <t>PERSONAL A TRATO Y TEMPORAL</t>
  </si>
  <si>
    <t>OTRAS REMUNERACIONES</t>
  </si>
  <si>
    <t>COSTOS DE MATERIALES DIRECTOS</t>
  </si>
  <si>
    <t>COSTO EXISTENCIAS VENDIDAS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</si>
  <si>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</si>
  <si>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</si>
  <si>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</si>
  <si>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</si>
  <si>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</si>
  <si>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</si>
  <si>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</si>
  <si>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</si>
  <si>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</si>
  <si>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</si>
  <si>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</si>
  <si>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</si>
  <si>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</si>
  <si>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</si>
  <si>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</si>
  <si>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</si>
  <si>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 DE SUSCRIPCION</t>
  </si>
  <si>
    <t>SERVICIOS INFORMATICOS</t>
  </si>
  <si>
    <t>GASTOS MENORES (FOFI)</t>
  </si>
  <si>
    <t>MAQUINAS Y EQUIPOS DE OFICINA</t>
  </si>
  <si>
    <t>GASTOS DE ADMINISTRACIÓN Y VENTAS</t>
  </si>
  <si>
    <t>GASTO EN PERSONAL</t>
  </si>
  <si>
    <t>VESTUARIO ACC.Y PRENDAS DIVERS</t>
  </si>
  <si>
    <t>CALZADO</t>
  </si>
  <si>
    <t>CURSOS DE CAPACITACION</t>
  </si>
  <si>
    <t>VIATICOS PERSONAL COD.TRABAJO</t>
  </si>
  <si>
    <t>CONSUMOS BÁSICOS</t>
  </si>
  <si>
    <t>ENLACES DE TELECOMUNICACIONES</t>
  </si>
  <si>
    <t>OTROS SERVICIOS BASICOS</t>
  </si>
  <si>
    <t>BIENES DE CONSUMO</t>
  </si>
  <si>
    <t>COMB.LUBR.DIRECTOS-INDIRECTOS</t>
  </si>
  <si>
    <t>MATERIALES DE OFICINA</t>
  </si>
  <si>
    <t>PROD.QUIMIC,FARMACEUTICOS IND.</t>
  </si>
  <si>
    <t>FERT.INSECT.FUNG.Y OTROS</t>
  </si>
  <si>
    <t>MATERIALES Y UTILES DE ASEO</t>
  </si>
  <si>
    <t>MENAJE OFICINA CASINO Y OTROS</t>
  </si>
  <si>
    <t>MOBILIARIO Y OTROS</t>
  </si>
  <si>
    <t>EQUIPOS COMPUTACIONALES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</si>
  <si>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</si>
  <si>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</si>
  <si>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</si>
  <si>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</si>
  <si>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</si>
  <si>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</si>
  <si>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</si>
  <si>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</si>
  <si>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</si>
  <si>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</si>
  <si>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</si>
  <si>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</si>
  <si>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</si>
  <si>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MANT.Y REPAR. MOBILIARIO Y OTROS</t>
  </si>
  <si>
    <t>MANT.Y REPAR. DE EQUIPOS OFICINA</t>
  </si>
  <si>
    <t>MANT.Y REPAR. OTRAS MAQ. Y EQUIP.</t>
  </si>
  <si>
    <t>MANT.Y REPAR. EQUIPOS INFORMATICOS</t>
  </si>
  <si>
    <t>OTROS MANTEN. Y REPAR. MENORES</t>
  </si>
  <si>
    <t>SERVICIO DE MANTENCION JARDINES</t>
  </si>
  <si>
    <t>OTROS GASTOS IMPREVISTOS</t>
  </si>
  <si>
    <t>OTROS GASTOS</t>
  </si>
  <si>
    <t>COMISIONES TRANSBANK</t>
  </si>
  <si>
    <t>OTROS MATERIALES DE USO CONSUMO</t>
  </si>
  <si>
    <t xml:space="preserve">COSTOS INDIRECTOS </t>
  </si>
  <si>
    <t>TABLA 6: REMUNERACIONES DEL PERSONAL LEY 18.712 ADMINISTRACION CENTRAL Y APOYO ADMINISTRATIVO ASISTENCIA RECREATIVA</t>
  </si>
  <si>
    <t>TABLA 7: DISTRIBUCION COSTOS REMUNERACIONES ADMINISTRACION CENTRAL Y APOYO ADMINISTRATIVO A. RECREATIVA</t>
  </si>
  <si>
    <t>TABLA 8: COSTOS DE OPERACION ADMINISTRACIÓN CENTRAL Y  APOYO ADMINISTRATIVO ASISTENCIA RECREATIVA</t>
  </si>
  <si>
    <t>TABLA 9: RESUMEN DISTRIBUCION COSTOS REMUNERACIONES ADMINISTRACION CENTRAL Y APOYO ADMINISTRATIVO A. RECREATIVA</t>
  </si>
  <si>
    <t>TABLA 10: RESUMEN DISTRIBUCION COSTOS OPERACIÓN ADMINISTRACION CENTRAL  Y APOYO ADMINISTRATIVO A. RECREATIVA</t>
  </si>
  <si>
    <t>TABLA 11: FINANCIAMIENTO ADM. CENTRAL  Y APOYO ADMINISTRATIVO 
(REMUNERACIONES + COSTO OPERACIÓN)</t>
  </si>
  <si>
    <t>Unidades de Apoyo Administrativo</t>
  </si>
  <si>
    <t>Nombre</t>
  </si>
  <si>
    <t>Apellido</t>
  </si>
  <si>
    <t>Ocupación / Cargo</t>
  </si>
  <si>
    <t>ASISTENCIA RECREATIVA</t>
  </si>
  <si>
    <t>ASISTENCIA EDUCACIONAL</t>
  </si>
  <si>
    <t>ASISTENCIA COMERCIAL</t>
  </si>
  <si>
    <t>Tiempo Total</t>
  </si>
  <si>
    <t>Costo Total Empresa</t>
  </si>
  <si>
    <t>Total Bonos anual</t>
  </si>
  <si>
    <t>Total Aguinaldos anual</t>
  </si>
  <si>
    <t>% tiempo</t>
  </si>
  <si>
    <t>$ Costo</t>
  </si>
  <si>
    <t>$ Costo Total</t>
  </si>
  <si>
    <t>$Costo Total</t>
  </si>
  <si>
    <t>ADMINISTRACIÓN CENTRAL</t>
  </si>
  <si>
    <t>Departamento de Finanzas y Abastecimiento</t>
  </si>
  <si>
    <t>Departamento de RR.HH.</t>
  </si>
  <si>
    <t>Departamento de Informática</t>
  </si>
  <si>
    <t>Otros</t>
  </si>
  <si>
    <t>MAT.Y UTILES DE ASEO</t>
  </si>
  <si>
    <t>ÁREA APOYO A. RECREATIVA</t>
  </si>
  <si>
    <t>Asistencia Recreativa</t>
  </si>
  <si>
    <t>COSTO  TOTAL</t>
  </si>
  <si>
    <t>RESUMEN DE TARIFADO</t>
  </si>
  <si>
    <t>TABLA 12: RESUMEN DE TARIFADO</t>
  </si>
  <si>
    <t>Reajuste en pesos ($)</t>
  </si>
  <si>
    <t xml:space="preserve">Reajuste en porcentaje (%) </t>
  </si>
  <si>
    <t>Seg. 1</t>
  </si>
  <si>
    <t>Seg. 2</t>
  </si>
  <si>
    <t>Seg. 3</t>
  </si>
  <si>
    <t>REMUNERACIONES DEL PERSONAL CÓDIGO DEL TRABAJO</t>
  </si>
  <si>
    <t>TABLA 13: REMUNERACIONES DEL PERSONAL LEY 18.712 DE CENTROS DE BENEFICIOS</t>
  </si>
  <si>
    <t>Tipo Personal</t>
  </si>
  <si>
    <t>Costo Total Remuneraciones por Centro de Beneficio</t>
  </si>
  <si>
    <t>Personal Permanente</t>
  </si>
  <si>
    <t>Personal No Permanente
(Estival)</t>
  </si>
  <si>
    <t>COMPARACIÓN TARIFAS CON PRECIOS DE MERCADO</t>
  </si>
  <si>
    <r>
      <t xml:space="preserve">Con el objeto de medir comparativamente el bienestar otorgado al personal de la Armada por el Area Recreativa, es necesario recabar antecedentes comparativos que permitan cuantificar las alternativas de precios que ofrece el mercado </t>
    </r>
    <r>
      <rPr>
        <b/>
        <u/>
        <sz val="10"/>
        <rFont val="Arial"/>
        <family val="2"/>
      </rPr>
      <t>dentro de la misma comuna en la que se encuentran los Centros Recreativos de su Repartición</t>
    </r>
    <r>
      <rPr>
        <sz val="11"/>
        <color theme="1"/>
        <rFont val="Calibri"/>
        <family val="2"/>
        <scheme val="minor"/>
      </rPr>
      <t xml:space="preserve">. Este cuadro comparativo debe ser completado con, </t>
    </r>
    <r>
      <rPr>
        <b/>
        <u/>
        <sz val="10"/>
        <rFont val="Arial"/>
        <family val="2"/>
      </rPr>
      <t>AL MENOS</t>
    </r>
    <r>
      <rPr>
        <sz val="11"/>
        <color theme="1"/>
        <rFont val="Calibri"/>
        <family val="2"/>
        <scheme val="minor"/>
      </rPr>
      <t xml:space="preserve">, dos instituciones públicas o privadas </t>
    </r>
    <r>
      <rPr>
        <b/>
        <u/>
        <sz val="10"/>
        <rFont val="Arial"/>
        <family val="2"/>
      </rPr>
      <t>que puedan considerarse como principal competencias directas</t>
    </r>
    <r>
      <rPr>
        <sz val="11"/>
        <color theme="1"/>
        <rFont val="Calibri"/>
        <family val="2"/>
        <scheme val="minor"/>
      </rPr>
      <t xml:space="preserve"> y que otorguen </t>
    </r>
    <r>
      <rPr>
        <b/>
        <u/>
        <sz val="10"/>
        <rFont val="Arial"/>
        <family val="2"/>
      </rPr>
      <t>prestaciones de calidad igual o similar</t>
    </r>
    <r>
      <rPr>
        <sz val="11"/>
        <color theme="1"/>
        <rFont val="Calibri"/>
        <family val="2"/>
        <scheme val="minor"/>
      </rPr>
      <t xml:space="preserve"> a las brindadas por las instalaciones de este Departamento/Delegación.</t>
    </r>
  </si>
  <si>
    <t>TABLA 14: COMPARACIÓN TARIFAS CON PRECIOS DE MERCADO</t>
  </si>
  <si>
    <t>% respecto a Precio Promedio Mercado</t>
  </si>
  <si>
    <t>COMPARACIÓN 1</t>
  </si>
  <si>
    <t>COMPARACIÓN 2</t>
  </si>
  <si>
    <t>Precio promedio mercado</t>
  </si>
  <si>
    <t>Institución</t>
  </si>
  <si>
    <t>Precio</t>
  </si>
  <si>
    <t>DETALLE DE DATOS COMPLEMENTARIOS</t>
  </si>
  <si>
    <t>Producto</t>
  </si>
  <si>
    <t>Costo neto</t>
  </si>
  <si>
    <t>Acompañamiento 1</t>
  </si>
  <si>
    <t>Acompañamiento 2</t>
  </si>
  <si>
    <t>Barra de cereal</t>
  </si>
  <si>
    <t>Servilleta</t>
  </si>
  <si>
    <t>Costo Desayuno</t>
  </si>
  <si>
    <t xml:space="preserve">Solo para efectos de calculo y de obtener un valor del costo desayuno, considerar queso y jamon como acompañamientos de Sandwich </t>
  </si>
  <si>
    <t>Tabla 15: Costo desayuno</t>
  </si>
  <si>
    <t>REPARTICIÓN:</t>
  </si>
  <si>
    <t>TABLA N°16:  RESULTADO OPERACIONAL MENSUAL</t>
  </si>
  <si>
    <t>CENTRO DE BENEFICIO "Casa de Huespedes"</t>
  </si>
  <si>
    <t>ENERO</t>
  </si>
  <si>
    <t>FEBRERO</t>
  </si>
  <si>
    <t>MARZO</t>
  </si>
  <si>
    <t>ABRIL</t>
  </si>
  <si>
    <t>MAYO</t>
  </si>
  <si>
    <t>JUNIO</t>
  </si>
  <si>
    <t>JULIO</t>
  </si>
  <si>
    <t>AGOSTO</t>
  </si>
  <si>
    <t>SEPTIEMBRE</t>
  </si>
  <si>
    <t>OCTUBRE</t>
  </si>
  <si>
    <t>NOVIEMBRE</t>
  </si>
  <si>
    <t>DICIEMBRE</t>
  </si>
  <si>
    <t>INGRESOS DE OPERACIÓN</t>
  </si>
  <si>
    <t>REMUNERACIONES COD.DEL TRABAJO (Personal Permanente)</t>
  </si>
  <si>
    <t>REMUNERACIONES COD.DEL TRABAJO (Personal No Permanente)</t>
  </si>
  <si>
    <t>BONOS Y AGUINALDOS CÓDIGO DEL TRABAJO</t>
  </si>
  <si>
    <t>COSTOS  DE OPERACIÓN</t>
  </si>
  <si>
    <t>RESULTADO OPERACIONAL</t>
  </si>
  <si>
    <t>DISTRIBUCIÓN INGRESOS</t>
  </si>
  <si>
    <t xml:space="preserve">        DISTRIBUCIÓN COSTOS DE OPERACIÓN</t>
  </si>
  <si>
    <t>CENTRO DE BENEFICIO  "Sala de Juegos"</t>
  </si>
  <si>
    <t>CENTRO DE BENEFICIO  "Cabañas"</t>
  </si>
  <si>
    <t>CENTRO DE BENEFICIO  "Sala de Maquinas"</t>
  </si>
  <si>
    <t>GASTOS ADM. Y VENTAS</t>
  </si>
  <si>
    <t>DISTRIBUCION DE ADM. Y VENTAS</t>
  </si>
  <si>
    <t>ÍNDICE DE TABLAS</t>
  </si>
  <si>
    <t>A) Resumen Ingresos y Egresos</t>
  </si>
  <si>
    <t>TABLA 2:  DETALLE DE INGRESOS POR PRESTACIÓN Y SEGMENTO</t>
  </si>
  <si>
    <t>B) Reajuste Tarifa y Ocupación</t>
  </si>
  <si>
    <t>C) Estimación Costos Directos</t>
  </si>
  <si>
    <t xml:space="preserve">TABLA 5: COSTOS DIRECTOS DE CENTROS DE BENEFICIOS </t>
  </si>
  <si>
    <t>D) Costos Indirectos</t>
  </si>
  <si>
    <t>E) Resumen Tarifado</t>
  </si>
  <si>
    <t>F) Remuneraciones</t>
  </si>
  <si>
    <t>G) Comparación Mercado</t>
  </si>
  <si>
    <t>TABLA 14:COMPARACIÓN TARIFAS CON PRECIOS DE MERCADO</t>
  </si>
  <si>
    <t>I) Costo Desayuno</t>
  </si>
  <si>
    <t>H) Detalle Datos</t>
  </si>
  <si>
    <t>J) Estructura Económica Mensual</t>
  </si>
  <si>
    <t>TABLA 15: Costo desayuno</t>
  </si>
  <si>
    <t xml:space="preserve">En esta hoja deberá incorporar toda la información, tablas y cálculos complementarios que permitan explicar y justificar sus proyecciones de ingresos y egresos, de acuerdo a los datos incorporados en las hojas anteriores.
</t>
  </si>
  <si>
    <t>Quincho Cabo de Hornos</t>
  </si>
  <si>
    <t>Quincho Cabo de Hornos Lunes a Jueves</t>
  </si>
  <si>
    <t>Otras instituciones</t>
  </si>
  <si>
    <t>Early check-in/Late check-out Cabañas</t>
  </si>
  <si>
    <t>Rentabilidad</t>
  </si>
  <si>
    <t>R.O / Ingresos</t>
  </si>
  <si>
    <r>
      <rPr>
        <b/>
        <u/>
        <sz val="11"/>
        <color theme="1"/>
        <rFont val="Calibri"/>
        <family val="2"/>
        <scheme val="minor"/>
      </rPr>
      <t>B) REAJUSTE TARIFAS Y OCUPACION</t>
    </r>
    <r>
      <rPr>
        <sz val="11"/>
        <color theme="1"/>
        <rFont val="Calibri"/>
        <family val="2"/>
        <scheme val="minor"/>
      </rPr>
      <t>: Se estima subir el % de reajuste.</t>
    </r>
  </si>
  <si>
    <t xml:space="preserve">*En ENERO hay un gasto de $1013887 en remuneraciones. </t>
  </si>
  <si>
    <t>PROYECCION</t>
  </si>
  <si>
    <t>Enero</t>
  </si>
  <si>
    <t>Febrero</t>
  </si>
  <si>
    <t>Marzo</t>
  </si>
  <si>
    <t>Abril</t>
  </si>
  <si>
    <t>Mayo</t>
  </si>
  <si>
    <t>Junio</t>
  </si>
  <si>
    <t>Julio</t>
  </si>
  <si>
    <t>Agosto</t>
  </si>
  <si>
    <t>Septiembre</t>
  </si>
  <si>
    <t>Octubre</t>
  </si>
  <si>
    <t>Noviembre</t>
  </si>
  <si>
    <t>Diciembre</t>
  </si>
  <si>
    <t>Acu. Diciem.</t>
  </si>
  <si>
    <t>Ing. Ope.</t>
  </si>
  <si>
    <t>Resultado ope.</t>
  </si>
  <si>
    <t>C.H.</t>
  </si>
  <si>
    <t>Resultado Ope.</t>
  </si>
  <si>
    <t xml:space="preserve">Acu. Diciem. </t>
  </si>
  <si>
    <t>Proyectado</t>
  </si>
  <si>
    <t>Total %</t>
  </si>
  <si>
    <t>TOTAL</t>
  </si>
  <si>
    <t xml:space="preserve"> RENTABILIDAD ANUAL</t>
  </si>
  <si>
    <t>PROYECCION DE INGRESOS RESPECTO 2019</t>
  </si>
  <si>
    <t>Año</t>
  </si>
  <si>
    <t>Ingresos</t>
  </si>
  <si>
    <t>al mes de Julio</t>
  </si>
  <si>
    <t>2022 proyectado</t>
  </si>
  <si>
    <t>2023 respecto 2019</t>
  </si>
  <si>
    <t>2023 deptos y deleg</t>
  </si>
  <si>
    <t>Ingresos proyectados</t>
  </si>
  <si>
    <t>CENTRO DE BENEFICIO  "Quincho Cabo de Hornos"</t>
  </si>
  <si>
    <t>Caja de jugo tetra</t>
  </si>
  <si>
    <t>Sachet Café</t>
  </si>
  <si>
    <t>Sachet te</t>
  </si>
  <si>
    <t>Sachet Endulzante</t>
  </si>
  <si>
    <t>Alusa</t>
  </si>
  <si>
    <t>Cajita Desayuno</t>
  </si>
  <si>
    <t>Cantidad de celdas no vacias</t>
  </si>
  <si>
    <t>Adicional</t>
  </si>
  <si>
    <t>Total Aguinaldos</t>
  </si>
  <si>
    <t>Total bonos</t>
  </si>
  <si>
    <t>Pan Corriente</t>
  </si>
  <si>
    <t>RO FINAL</t>
  </si>
  <si>
    <t>Tarifas 2024</t>
  </si>
  <si>
    <t xml:space="preserve">ACUMULADO </t>
  </si>
  <si>
    <t>Tarifas 2025</t>
  </si>
  <si>
    <t>Tarifas  2025</t>
  </si>
  <si>
    <t>Costo Total por Servidor Reajustado 2025</t>
  </si>
  <si>
    <t>CONTADORA GENERAL</t>
  </si>
  <si>
    <t>ADM. CENTRAL</t>
  </si>
  <si>
    <t xml:space="preserve">ENCARGADA CENTRO FINANCIERO </t>
  </si>
  <si>
    <t xml:space="preserve">MUCAMA </t>
  </si>
  <si>
    <t xml:space="preserve">ELSA </t>
  </si>
  <si>
    <t xml:space="preserve">GARAY </t>
  </si>
  <si>
    <t>RECREATIVA</t>
  </si>
  <si>
    <t xml:space="preserve">HOTEL FIO FIO </t>
  </si>
  <si>
    <t>HOTEL FORJADORES</t>
  </si>
  <si>
    <t xml:space="preserve">REFUGIO JEMMY BUTTON </t>
  </si>
  <si>
    <t xml:space="preserve">CABAÑA ENTERO </t>
  </si>
  <si>
    <t>SIN COMPETENCIA</t>
  </si>
  <si>
    <t>Sachet Azúcar</t>
  </si>
  <si>
    <t>Costo Total Empresa
2025</t>
  </si>
  <si>
    <t>Costo Total Empresa 2024</t>
  </si>
  <si>
    <t>JEFE ASISTENCIA PRODUCTIVAS</t>
  </si>
  <si>
    <t>Asistencia Educacional</t>
  </si>
  <si>
    <t>Asistencia Comercial</t>
  </si>
  <si>
    <t xml:space="preserve"> Reajuste ($)</t>
  </si>
  <si>
    <t>Segmento
 1</t>
  </si>
  <si>
    <t>Segmento 
2</t>
  </si>
  <si>
    <t>Segmento 
3</t>
  </si>
  <si>
    <t>Propuesta Tarifas 2026</t>
  </si>
  <si>
    <t>Meta Ocupación 2026</t>
  </si>
  <si>
    <t>Costo Total anual por Servidor 2025</t>
  </si>
  <si>
    <t>Costo Total por Servidor Reajustado 2026</t>
  </si>
  <si>
    <t>REMUNERACIONES 2025</t>
  </si>
  <si>
    <t>Tarifas  2026</t>
  </si>
  <si>
    <t>Tarifas 2026</t>
  </si>
  <si>
    <t>Tarifa 2026</t>
  </si>
  <si>
    <t>COSTO DIRECTO ESTIMADO 2026</t>
  </si>
  <si>
    <t xml:space="preserve">MARÍA JESÚS </t>
  </si>
  <si>
    <t>CATALINA</t>
  </si>
  <si>
    <t>JERIA</t>
  </si>
  <si>
    <t>OLIVARES</t>
  </si>
  <si>
    <t xml:space="preserve">LOS GASTOS CORRESPONDIENTES A TEXTILES Y OTROS TEXTILES . VESTUARIO Y CALZADO SE PROYECTA PARA REALIZAR DENTRO DEL PRIMER SEMESTRE DEL AÑO 2026 CON TOPE HASTA EL MES DE ABRIL DEL MISMO AÑO </t>
  </si>
  <si>
    <t xml:space="preserve">PARA  EL CALCULO DE LAS REMUNERACIONES CORRESPONDIENTE AL AREA RECREATIVAS SE DIVIDIO DE ACUERDO A LAS HORAS DE TRABAJO QUE LE OTORGARA A CADA AREA </t>
  </si>
  <si>
    <t>CABE DESTACAR QUE LOS SUELDOS SE RELIZARON EL BASE A LOS DATOS , INDICADOS DE EN LA HOJA DE INSTRUCTIVO</t>
  </si>
  <si>
    <t xml:space="preserve">LA CANTIDAD DE INGRESOS SE CALCULO EN UNA BASE DE </t>
  </si>
  <si>
    <t>SALA DE JUEGOS</t>
  </si>
  <si>
    <t>Reducir el valor de arriendo de la sala de juegos los fines de semana de $68.000 a $56.000 (esta disminución de $12.000 se aumentara en el valor de la semana)</t>
  </si>
  <si>
    <t>Aumentar el valor de arriendo de sala de juegos de lunes a jueves de $27.400 a $39.400</t>
  </si>
  <si>
    <t xml:space="preserve">Esto porque la diferencia de precios es bastante entre fin de semana y el valor de lunes a jueves, lo cual varios clientes lo han manifestado. </t>
  </si>
  <si>
    <t>Esta disminución de $12.000 de los fines de semana y aumentar en lunes a jueves debiera ser para los 3 segmentos.</t>
  </si>
  <si>
    <t>QUINCHO CABO DE HORNOS</t>
  </si>
  <si>
    <t>Tener dos horarios para uso del quincho los fines de semana, esto para atraer mas clientela.</t>
  </si>
  <si>
    <t>1. 11:00 a 17:00 por un valor de $23.000</t>
  </si>
  <si>
    <t>2. 19:00 a 10:00 del día siguiente por un valor de $39.000</t>
  </si>
  <si>
    <t>3. 11:00 a 10:00 del día siguiente por un valor de $55.400</t>
  </si>
  <si>
    <t>Sugiero realizar las siguientes modificaciones si es posible:</t>
  </si>
  <si>
    <t>COSTO INDIRECTO ESTIMADO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</si>
</sst>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 &quot;$&quot;* #,##0_ ;_ &quot;$&quot;* \-#,##0_ ;_ &quot;$&quot;* &quot;-&quot;_ ;_ @_ "/>
    <numFmt numFmtId="44" formatCode="_ &quot;$&quot;* #,##0.00_ ;_ &quot;$&quot;* \-#,##0.00_ ;_ &quot;$&quot;* &quot;-&quot;??_ ;_ @_ "/>
    <numFmt numFmtId="43" formatCode="_ * #,##0.00_ ;_ * \-#,##0.00_ ;_ * &quot;-&quot;??_ ;_ @_ "/>
    <numFmt numFmtId="164" formatCode="_-&quot;$ &quot;* #,##0_-;&quot;-$ &quot;* #,##0_-;_-&quot;$ &quot;* \-_-;_-@_-"/>
    <numFmt numFmtId="165" formatCode="_-\ * #,##0_-;&quot;$ &quot;* #,##0_-;_-\ * \-_-;_-@_-"/>
    <numFmt numFmtId="166" formatCode="_-&quot;$&quot;* #,##0_-;\-&quot;$&quot;* #,##0_-;_-&quot;$&quot;* &quot;-&quot;??_-;_-@_-"/>
    <numFmt numFmtId="167" formatCode="0.0%"/>
    <numFmt numFmtId="168" formatCode="#,##0_ ;\-#,##0\ "/>
    <numFmt numFmtId="169" formatCode="_-* #,##0.0_-;\-* #,##0.0_-;_-* \-??_-;_-@_-"/>
    <numFmt numFmtId="170" formatCode="_(* #,##0_);_(* \(#,##0\);_(* \-_);_(@_)"/>
    <numFmt numFmtId="171" formatCode="_-* #,##0_-;\-* #,##0_-;_-* \-??_-;_-@_-"/>
    <numFmt numFmtId="172" formatCode="\$#,##0_);&quot;($&quot;#,##0\)"/>
    <numFmt numFmtId="173" formatCode="&quot;$&quot;\ #,##0"/>
    <numFmt numFmtId="174" formatCode="_-[$$-340A]\ * #,##0_-;\-[$$-340A]\ * #,##0_-;_-[$$-340A]\ * &quot;-&quot;??_-;_-@_-"/>
    <numFmt numFmtId="175" formatCode="_-\$* #,##0_-;&quot;-$&quot;* #,##0_-;_-\$* \-??_-;_-@_-"/>
    <numFmt numFmtId="176" formatCode="0.0000"/>
    <numFmt numFmtId="177" formatCode="0.0\ %"/>
    <numFmt numFmtId="178" formatCode="0.00\ %"/>
    <numFmt numFmtId="179" formatCode="_-&quot;$&quot;\ * #,##0_-;\-&quot;$&quot;\ * #,##0_-;_-&quot;$&quot;\ * &quot;-&quot;??_-;_-@_-"/>
    <numFmt numFmtId="180" formatCode="_ &quot;$&quot;* #,##0_ ;_ &quot;$&quot;* \-#,##0_ ;_ &quot;$&quot;* &quot;-&quot;??_ ;_ @_ "/>
    <numFmt numFmtId="181" formatCode="_-\$* #,##0.00_-;&quot;-$&quot;* #,##0.00_-;_-\$* \-??_-;_-@_-"/>
    <numFmt numFmtId="182" formatCode="0\ %"/>
    <numFmt numFmtId="183" formatCode="_-* #,##0.00_-;\-* #,##0.00_-;_-* \-??_-;_-@_-"/>
    <numFmt numFmtId="184" formatCode="_-* #,##0.00\ &quot;€&quot;_-;\-* #,##0.00\ &quot;€&quot;_-;_-* &quot;-&quot;??\ &quot;€&quot;_-;_-@_-"/>
    <numFmt numFmtId="185" formatCode="_-[$€]* #,##0.00_-;\-[$€]* #,##0.00_-;_-[$€]* &quot;-&quot;??_-;_-@_-"/>
    <numFmt numFmtId="186" formatCode="_-[$€-2]\ * #,##0.00_-;\-[$€-2]\ * #,##0.00_-;_-[$€-2]\ * &quot;-&quot;??_-"/>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0"/>
      <color indexed="10"/>
      <name val="Arial"/>
      <family val="2"/>
    </font>
    <font>
      <b/>
      <sz val="10"/>
      <name val="Arial"/>
      <family val="2"/>
    </font>
    <font>
      <b/>
      <sz val="10"/>
      <color indexed="40"/>
      <name val="Arial"/>
      <family val="2"/>
    </font>
    <font>
      <sz val="10"/>
      <name val="Arial"/>
      <family val="2"/>
    </font>
    <font>
      <b/>
      <sz val="12"/>
      <name val="Arial"/>
      <family val="2"/>
    </font>
    <font>
      <b/>
      <sz val="10"/>
      <color theme="0"/>
      <name val="Arial"/>
      <family val="2"/>
    </font>
    <font>
      <b/>
      <sz val="12"/>
      <color theme="0"/>
      <name val="Arial"/>
      <family val="2"/>
    </font>
    <font>
      <b/>
      <sz val="11"/>
      <name val="Arial"/>
      <family val="2"/>
    </font>
    <font>
      <u/>
      <sz val="11"/>
      <color theme="10"/>
      <name val="Calibri"/>
      <family val="2"/>
      <scheme val="minor"/>
    </font>
    <font>
      <b/>
      <sz val="10"/>
      <color indexed="8"/>
      <name val="Arial"/>
      <family val="2"/>
    </font>
    <font>
      <sz val="10"/>
      <color indexed="8"/>
      <name val="Arial"/>
      <family val="2"/>
    </font>
    <font>
      <sz val="10"/>
      <color theme="0"/>
      <name val="Arial"/>
      <family val="2"/>
    </font>
    <font>
      <b/>
      <u/>
      <sz val="12"/>
      <color rgb="FF0000CC"/>
      <name val="Arial"/>
      <family val="2"/>
    </font>
    <font>
      <b/>
      <sz val="10"/>
      <color indexed="9"/>
      <name val="Arial"/>
      <family val="2"/>
    </font>
    <font>
      <b/>
      <sz val="16"/>
      <name val="Arial"/>
      <family val="2"/>
    </font>
    <font>
      <sz val="10"/>
      <color theme="1"/>
      <name val="Arial"/>
      <family val="2"/>
    </font>
    <font>
      <b/>
      <sz val="10"/>
      <color theme="1"/>
      <name val="Arial"/>
      <family val="2"/>
    </font>
    <font>
      <b/>
      <u/>
      <sz val="10"/>
      <name val="Arial"/>
      <family val="2"/>
    </font>
    <font>
      <b/>
      <u/>
      <sz val="12"/>
      <name val="Arial"/>
      <family val="2"/>
    </font>
    <font>
      <b/>
      <sz val="11"/>
      <name val="Calibri"/>
      <family val="2"/>
      <scheme val="minor"/>
    </font>
    <font>
      <b/>
      <sz val="14"/>
      <name val="Arial"/>
      <family val="2"/>
    </font>
    <font>
      <sz val="11"/>
      <color rgb="FFFF0000"/>
      <name val="Calibri"/>
      <family val="2"/>
      <scheme val="minor"/>
    </font>
    <font>
      <sz val="11"/>
      <name val="Calibri"/>
      <family val="2"/>
      <scheme val="minor"/>
    </font>
    <font>
      <b/>
      <sz val="8"/>
      <color rgb="FF000000"/>
      <name val="Arial"/>
      <family val="2"/>
    </font>
    <font>
      <b/>
      <u/>
      <sz val="11"/>
      <color theme="1"/>
      <name val="Calibri"/>
      <family val="2"/>
      <scheme val="minor"/>
    </font>
    <font>
      <b/>
      <sz val="24"/>
      <color indexed="8"/>
      <name val="Arial"/>
      <family val="2"/>
    </font>
    <font>
      <sz val="18"/>
      <color indexed="8"/>
      <name val="Arial"/>
      <family val="2"/>
    </font>
    <font>
      <sz val="12"/>
      <color indexed="8"/>
      <name val="Arial"/>
      <family val="2"/>
    </font>
    <font>
      <sz val="10"/>
      <color indexed="63"/>
      <name val="Arial"/>
      <family val="2"/>
    </font>
    <font>
      <i/>
      <sz val="10"/>
      <color indexed="23"/>
      <name val="Arial"/>
      <family val="2"/>
    </font>
    <font>
      <sz val="10"/>
      <color indexed="17"/>
      <name val="Arial"/>
      <family val="2"/>
    </font>
    <font>
      <sz val="10"/>
      <color indexed="19"/>
      <name val="Arial"/>
      <family val="2"/>
    </font>
    <font>
      <sz val="10"/>
      <color indexed="16"/>
      <name val="Arial"/>
      <family val="2"/>
    </font>
    <font>
      <sz val="10"/>
      <color indexed="9"/>
      <name val="Arial"/>
      <family val="2"/>
    </font>
    <font>
      <u/>
      <sz val="10"/>
      <color theme="10"/>
      <name val="Arial"/>
      <family val="2"/>
    </font>
    <font>
      <sz val="11"/>
      <color indexed="8"/>
      <name val="Calibri"/>
      <family val="2"/>
    </font>
    <font>
      <sz val="10"/>
      <name val="Verdana"/>
      <family val="2"/>
    </font>
    <font>
      <b/>
      <sz val="11"/>
      <color theme="0"/>
      <name val="Calibri"/>
      <family val="2"/>
      <scheme val="minor"/>
    </font>
    <font>
      <b/>
      <sz val="11"/>
      <color indexed="10"/>
      <name val="Calibri"/>
      <family val="2"/>
      <scheme val="minor"/>
    </font>
    <font>
      <b/>
      <sz val="11"/>
      <color indexed="40"/>
      <name val="Calibri"/>
      <family val="2"/>
      <scheme val="minor"/>
    </font>
    <font>
      <b/>
      <sz val="11"/>
      <color rgb="FF0000CC"/>
      <name val="Calibri"/>
      <family val="2"/>
      <scheme val="minor"/>
    </font>
    <font>
      <sz val="12"/>
      <color theme="1"/>
      <name val="Arial"/>
      <family val="2"/>
    </font>
  </fonts>
  <fills count="70">
    <fill>
      <patternFill patternType="none"/>
    </fill>
    <fill>
      <patternFill patternType="gray125"/>
    </fill>
    <fill>
      <patternFill patternType="solid">
        <fgColor theme="0"/>
        <bgColor indexed="64"/>
      </patternFill>
    </fill>
    <fill>
      <patternFill patternType="solid">
        <fgColor theme="0" tint="-0.249977111117893"/>
        <bgColor indexed="26"/>
      </patternFill>
    </fill>
    <fill>
      <patternFill patternType="solid">
        <fgColor theme="3"/>
        <bgColor indexed="26"/>
      </patternFill>
    </fill>
    <fill>
      <patternFill patternType="solid">
        <fgColor theme="5" tint="0.39997558519241921"/>
        <bgColor indexed="26"/>
      </patternFill>
    </fill>
    <fill>
      <patternFill patternType="solid">
        <fgColor rgb="FFC00000"/>
        <bgColor indexed="26"/>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gray125">
        <bgColor theme="4" tint="0.79995117038483843"/>
      </patternFill>
    </fill>
    <fill>
      <patternFill patternType="solid">
        <fgColor indexed="9"/>
        <bgColor indexed="26"/>
      </patternFill>
    </fill>
    <fill>
      <patternFill patternType="solid">
        <fgColor theme="0"/>
        <bgColor indexed="26"/>
      </patternFill>
    </fill>
    <fill>
      <patternFill patternType="solid">
        <fgColor theme="3" tint="-0.249977111117893"/>
        <bgColor indexed="24"/>
      </patternFill>
    </fill>
    <fill>
      <patternFill patternType="solid">
        <fgColor theme="3" tint="0.39997558519241921"/>
        <bgColor indexed="26"/>
      </patternFill>
    </fill>
    <fill>
      <patternFill patternType="solid">
        <fgColor theme="3" tint="0.79998168889431442"/>
        <bgColor indexed="24"/>
      </patternFill>
    </fill>
    <fill>
      <patternFill patternType="gray125">
        <fgColor indexed="24"/>
        <bgColor theme="3" tint="0.79998168889431442"/>
      </patternFill>
    </fill>
    <fill>
      <patternFill patternType="solid">
        <fgColor theme="3" tint="0.39997558519241921"/>
        <bgColor indexed="44"/>
      </patternFill>
    </fill>
    <fill>
      <patternFill patternType="gray125">
        <bgColor indexed="9"/>
      </patternFill>
    </fill>
    <fill>
      <patternFill patternType="gray125">
        <fgColor indexed="24"/>
        <bgColor theme="3" tint="0.79995117038483843"/>
      </patternFill>
    </fill>
    <fill>
      <patternFill patternType="gray125">
        <fgColor indexed="44"/>
        <bgColor theme="3" tint="0.39997558519241921"/>
      </patternFill>
    </fill>
    <fill>
      <patternFill patternType="solid">
        <fgColor rgb="FFFFFF00"/>
        <bgColor indexed="26"/>
      </patternFill>
    </fill>
    <fill>
      <patternFill patternType="solid">
        <fgColor rgb="FFFFFFFF"/>
        <bgColor indexed="64"/>
      </patternFill>
    </fill>
    <fill>
      <patternFill patternType="solid">
        <fgColor theme="0" tint="-0.249977111117893"/>
        <bgColor indexed="24"/>
      </patternFill>
    </fill>
    <fill>
      <patternFill patternType="solid">
        <fgColor theme="4" tint="0.59999389629810485"/>
        <bgColor indexed="64"/>
      </patternFill>
    </fill>
    <fill>
      <patternFill patternType="gray125">
        <bgColor theme="0"/>
      </patternFill>
    </fill>
    <fill>
      <patternFill patternType="gray125">
        <bgColor rgb="FFFFFF00"/>
      </patternFill>
    </fill>
    <fill>
      <patternFill patternType="gray125">
        <bgColor theme="4" tint="0.59999389629810485"/>
      </patternFill>
    </fill>
    <fill>
      <patternFill patternType="solid">
        <fgColor theme="0" tint="-0.249977111117893"/>
        <bgColor indexed="44"/>
      </patternFill>
    </fill>
    <fill>
      <patternFill patternType="solid">
        <fgColor theme="5" tint="0.39997558519241921"/>
        <bgColor indexed="24"/>
      </patternFill>
    </fill>
    <fill>
      <patternFill patternType="solid">
        <fgColor theme="5" tint="0.39997558519241921"/>
        <bgColor indexed="40"/>
      </patternFill>
    </fill>
    <fill>
      <patternFill patternType="solid">
        <fgColor theme="5" tint="0.39994506668294322"/>
        <bgColor auto="1"/>
      </patternFill>
    </fill>
    <fill>
      <patternFill patternType="gray125">
        <fgColor auto="1"/>
        <bgColor theme="5" tint="0.39997558519241921"/>
      </patternFill>
    </fill>
    <fill>
      <patternFill patternType="solid">
        <fgColor theme="5" tint="0.79998168889431442"/>
        <bgColor indexed="24"/>
      </patternFill>
    </fill>
    <fill>
      <patternFill patternType="gray125">
        <fgColor auto="1"/>
        <bgColor theme="5" tint="0.79998168889431442"/>
      </patternFill>
    </fill>
    <fill>
      <patternFill patternType="gray125">
        <bgColor theme="3" tint="0.79998168889431442"/>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3" tint="0.39997558519241921"/>
        <bgColor indexed="24"/>
      </patternFill>
    </fill>
    <fill>
      <patternFill patternType="gray125">
        <fgColor auto="1"/>
        <bgColor theme="3" tint="0.39997558519241921"/>
      </patternFill>
    </fill>
    <fill>
      <patternFill patternType="solid">
        <fgColor theme="5" tint="0.39997558519241921"/>
        <bgColor indexed="64"/>
      </patternFill>
    </fill>
    <fill>
      <patternFill patternType="solid">
        <fgColor theme="3" tint="0.39997558519241921"/>
        <bgColor indexed="64"/>
      </patternFill>
    </fill>
    <fill>
      <patternFill patternType="solid">
        <fgColor rgb="FF00B0F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0" tint="-0.14999847407452621"/>
        <bgColor indexed="64"/>
      </patternFill>
    </fill>
    <fill>
      <patternFill patternType="gray125">
        <bgColor theme="0" tint="-0.14999847407452621"/>
      </patternFill>
    </fill>
    <fill>
      <patternFill patternType="gray125">
        <bgColor theme="3" tint="0.79995117038483843"/>
      </patternFill>
    </fill>
    <fill>
      <patternFill patternType="gray125">
        <bgColor theme="0" tint="-0.14996795556505021"/>
      </patternFill>
    </fill>
    <fill>
      <patternFill patternType="solid">
        <fgColor theme="2"/>
        <bgColor indexed="64"/>
      </patternFill>
    </fill>
    <fill>
      <patternFill patternType="solid">
        <fgColor rgb="FF002060"/>
        <bgColor indexed="64"/>
      </patternFill>
    </fill>
    <fill>
      <patternFill patternType="solid">
        <fgColor rgb="FFFFFF66"/>
        <bgColor indexed="64"/>
      </patternFill>
    </fill>
    <fill>
      <patternFill patternType="solid">
        <fgColor theme="9"/>
        <bgColor indexed="6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rgb="FF0070C0"/>
        <bgColor indexed="64"/>
      </patternFill>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7" tint="0.59999389629810485"/>
        <bgColor indexed="64"/>
      </patternFill>
    </fill>
    <fill>
      <patternFill patternType="solid">
        <fgColor theme="4" tint="-0.249977111117893"/>
        <bgColor indexed="24"/>
      </patternFill>
    </fill>
    <fill>
      <patternFill patternType="solid">
        <fgColor theme="4" tint="-0.249977111117893"/>
        <bgColor indexed="64"/>
      </patternFill>
    </fill>
    <fill>
      <patternFill patternType="solid">
        <fgColor theme="9" tint="0.39997558519241921"/>
        <bgColor indexed="64"/>
      </patternFill>
    </fill>
  </fills>
  <borders count="330">
    <border>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8"/>
      </bottom>
      <diagonal/>
    </border>
    <border>
      <left style="thin">
        <color auto="1"/>
      </left>
      <right style="thin">
        <color auto="1"/>
      </right>
      <top style="medium">
        <color indexed="64"/>
      </top>
      <bottom/>
      <diagonal/>
    </border>
    <border>
      <left/>
      <right/>
      <top style="medium">
        <color auto="1"/>
      </top>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8"/>
      </top>
      <bottom style="thin">
        <color indexed="8"/>
      </bottom>
      <diagonal/>
    </border>
    <border>
      <left/>
      <right/>
      <top/>
      <bottom style="thin">
        <color indexed="8"/>
      </bottom>
      <diagonal/>
    </border>
    <border>
      <left style="thin">
        <color auto="1"/>
      </left>
      <right style="thin">
        <color auto="1"/>
      </right>
      <top style="thin">
        <color indexed="8"/>
      </top>
      <bottom/>
      <diagonal/>
    </border>
    <border>
      <left/>
      <right/>
      <top style="thin">
        <color indexed="8"/>
      </top>
      <bottom style="thin">
        <color indexed="8"/>
      </bottom>
      <diagonal/>
    </border>
    <border>
      <left style="medium">
        <color indexed="64"/>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auto="1"/>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right style="medium">
        <color auto="1"/>
      </right>
      <top style="medium">
        <color auto="1"/>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medium">
        <color indexed="64"/>
      </left>
      <right/>
      <top/>
      <bottom style="thin">
        <color auto="1"/>
      </bottom>
      <diagonal/>
    </border>
    <border>
      <left style="medium">
        <color indexed="64"/>
      </left>
      <right style="medium">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style="thin">
        <color auto="1"/>
      </bottom>
      <diagonal/>
    </border>
    <border>
      <left/>
      <right/>
      <top style="thin">
        <color indexed="64"/>
      </top>
      <bottom style="thin">
        <color indexed="64"/>
      </bottom>
      <diagonal/>
    </border>
    <border>
      <left/>
      <right/>
      <top style="thin">
        <color auto="1"/>
      </top>
      <bottom/>
      <diagonal/>
    </border>
    <border>
      <left/>
      <right style="medium">
        <color indexed="64"/>
      </right>
      <top style="thin">
        <color auto="1"/>
      </top>
      <bottom/>
      <diagonal/>
    </border>
    <border>
      <left style="medium">
        <color indexed="64"/>
      </left>
      <right/>
      <top/>
      <bottom/>
      <diagonal/>
    </border>
    <border>
      <left style="medium">
        <color auto="1"/>
      </left>
      <right style="thin">
        <color auto="1"/>
      </right>
      <top/>
      <bottom/>
      <diagonal/>
    </border>
    <border>
      <left style="medium">
        <color indexed="64"/>
      </left>
      <right style="thin">
        <color indexed="64"/>
      </right>
      <top/>
      <bottom style="medium">
        <color indexed="64"/>
      </bottom>
      <diagonal/>
    </border>
    <border>
      <left style="medium">
        <color auto="1"/>
      </left>
      <right/>
      <top/>
      <bottom style="medium">
        <color indexed="64"/>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auto="1"/>
      </right>
      <top/>
      <bottom/>
      <diagonal/>
    </border>
    <border>
      <left style="thin">
        <color auto="1"/>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auto="1"/>
      </right>
      <top/>
      <bottom style="medium">
        <color indexed="64"/>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auto="1"/>
      </right>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medium">
        <color auto="1"/>
      </top>
      <bottom/>
      <diagonal/>
    </border>
    <border>
      <left style="medium">
        <color indexed="64"/>
      </left>
      <right style="medium">
        <color indexed="64"/>
      </right>
      <top style="medium">
        <color indexed="64"/>
      </top>
      <bottom/>
      <diagonal/>
    </border>
    <border>
      <left style="thin">
        <color auto="1"/>
      </left>
      <right style="thin">
        <color auto="1"/>
      </right>
      <top/>
      <bottom style="medium">
        <color indexed="64"/>
      </bottom>
      <diagonal/>
    </border>
    <border>
      <left/>
      <right style="thin">
        <color indexed="64"/>
      </right>
      <top style="thin">
        <color indexed="64"/>
      </top>
      <bottom style="medium">
        <color indexed="64"/>
      </bottom>
      <diagonal/>
    </border>
    <border>
      <left/>
      <right style="medium">
        <color auto="1"/>
      </right>
      <top style="thin">
        <color auto="1"/>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rgb="FF0070C0"/>
      </left>
      <right style="thin">
        <color rgb="FF0070C0"/>
      </right>
      <top/>
      <bottom style="thin">
        <color rgb="FF0070C0"/>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bottom style="thin">
        <color auto="1"/>
      </bottom>
      <diagonal/>
    </border>
    <border>
      <left style="medium">
        <color indexed="64"/>
      </left>
      <right style="medium">
        <color indexed="64"/>
      </right>
      <top style="medium">
        <color indexed="64"/>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auto="1"/>
      </left>
      <right style="medium">
        <color indexed="64"/>
      </right>
      <top style="thin">
        <color auto="1"/>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8"/>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medium">
        <color indexed="64"/>
      </right>
      <top style="thin">
        <color indexed="8"/>
      </top>
      <bottom style="thin">
        <color indexed="8"/>
      </bottom>
      <diagonal/>
    </border>
    <border>
      <left style="thin">
        <color auto="1"/>
      </left>
      <right style="medium">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8"/>
      </right>
      <top style="thin">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top style="medium">
        <color indexed="64"/>
      </top>
      <bottom style="thin">
        <color indexed="8"/>
      </bottom>
      <diagonal/>
    </border>
    <border>
      <left style="thin">
        <color indexed="64"/>
      </left>
      <right/>
      <top style="thin">
        <color indexed="64"/>
      </top>
      <bottom/>
      <diagonal/>
    </border>
    <border>
      <left/>
      <right style="thin">
        <color indexed="8"/>
      </right>
      <top style="medium">
        <color indexed="64"/>
      </top>
      <bottom style="thin">
        <color indexed="8"/>
      </bottom>
      <diagonal/>
    </border>
    <border>
      <left style="medium">
        <color indexed="64"/>
      </left>
      <right/>
      <top style="thin">
        <color indexed="8"/>
      </top>
      <bottom/>
      <diagonal/>
    </border>
    <border>
      <left style="medium">
        <color indexed="64"/>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medium">
        <color indexed="64"/>
      </bottom>
      <diagonal/>
    </border>
    <border>
      <left style="thin">
        <color indexed="8"/>
      </left>
      <right/>
      <top style="medium">
        <color indexed="64"/>
      </top>
      <bottom style="thin">
        <color indexed="8"/>
      </bottom>
      <diagonal/>
    </border>
    <border>
      <left style="thin">
        <color indexed="8"/>
      </left>
      <right/>
      <top/>
      <bottom/>
      <diagonal/>
    </border>
    <border>
      <left style="thin">
        <color indexed="8"/>
      </left>
      <right/>
      <top style="thin">
        <color indexed="8"/>
      </top>
      <bottom style="medium">
        <color indexed="64"/>
      </bottom>
      <diagonal/>
    </border>
    <border>
      <left/>
      <right/>
      <top style="medium">
        <color indexed="8"/>
      </top>
      <bottom/>
      <diagonal/>
    </border>
    <border>
      <left style="medium">
        <color indexed="64"/>
      </left>
      <right style="medium">
        <color indexed="64"/>
      </right>
      <top style="thin">
        <color indexed="64"/>
      </top>
      <bottom style="thin">
        <color indexed="64"/>
      </bottom>
      <diagonal/>
    </border>
    <border>
      <left/>
      <right style="medium">
        <color indexed="64"/>
      </right>
      <top style="thin">
        <color auto="1"/>
      </top>
      <bottom style="thin">
        <color auto="1"/>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rgb="FF6E6E6E"/>
      </left>
      <right style="medium">
        <color rgb="FF6E6E6E"/>
      </right>
      <top style="medium">
        <color rgb="FF6E6E6E"/>
      </top>
      <bottom style="medium">
        <color rgb="FF6E6E6E"/>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bottom/>
      <diagonal/>
    </border>
    <border>
      <left style="medium">
        <color indexed="64"/>
      </left>
      <right style="medium">
        <color indexed="64"/>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auto="1"/>
      </top>
      <bottom/>
      <diagonal/>
    </border>
    <border>
      <left style="thin">
        <color auto="1"/>
      </left>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auto="1"/>
      </left>
      <right/>
      <top style="thin">
        <color auto="1"/>
      </top>
      <bottom style="medium">
        <color indexed="64"/>
      </bottom>
      <diagonal/>
    </border>
    <border>
      <left style="medium">
        <color indexed="64"/>
      </left>
      <right/>
      <top style="thin">
        <color indexed="64"/>
      </top>
      <bottom/>
      <diagonal/>
    </border>
    <border>
      <left style="thin">
        <color auto="1"/>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thin">
        <color indexed="64"/>
      </top>
      <bottom/>
      <diagonal/>
    </border>
    <border>
      <left/>
      <right style="thin">
        <color auto="1"/>
      </right>
      <top style="medium">
        <color indexed="64"/>
      </top>
      <bottom style="thin">
        <color auto="1"/>
      </bottom>
      <diagonal/>
    </border>
    <border>
      <left/>
      <right/>
      <top style="medium">
        <color indexed="64"/>
      </top>
      <bottom style="thin">
        <color indexed="8"/>
      </bottom>
      <diagonal/>
    </border>
    <border>
      <left/>
      <right/>
      <top style="thin">
        <color indexed="8"/>
      </top>
      <bottom style="thin">
        <color indexed="8"/>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auto="1"/>
      </right>
      <top style="medium">
        <color auto="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auto="1"/>
      </left>
      <right/>
      <top style="medium">
        <color auto="1"/>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top style="thin">
        <color auto="1"/>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style="thin">
        <color indexed="8"/>
      </left>
      <right/>
      <top style="thin">
        <color indexed="8"/>
      </top>
      <bottom style="thin">
        <color indexed="8"/>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medium">
        <color auto="1"/>
      </left>
      <right style="thin">
        <color auto="1"/>
      </right>
      <top/>
      <bottom/>
      <diagonal/>
    </border>
  </borders>
  <cellStyleXfs count="4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9" fontId="6" fillId="0" borderId="0" applyFont="0" applyFill="0" applyBorder="0" applyAlignment="0" applyProtection="0"/>
    <xf numFmtId="42" fontId="1" fillId="0" borderId="0" applyFont="0" applyFill="0" applyBorder="0" applyAlignment="0" applyProtection="0"/>
    <xf numFmtId="0" fontId="6" fillId="0" borderId="0"/>
    <xf numFmtId="0" fontId="12" fillId="0" borderId="0" applyNumberFormat="0" applyFill="0" applyBorder="0" applyAlignment="0" applyProtection="0"/>
    <xf numFmtId="0" fontId="36" fillId="59" borderId="0" applyNumberFormat="0" applyBorder="0" applyAlignment="0" applyProtection="0"/>
    <xf numFmtId="0" fontId="36" fillId="60" borderId="0" applyNumberFormat="0" applyBorder="0" applyAlignment="0" applyProtection="0"/>
    <xf numFmtId="0" fontId="12" fillId="61" borderId="0" applyNumberFormat="0" applyBorder="0" applyAlignment="0" applyProtection="0"/>
    <xf numFmtId="0" fontId="35" fillId="62" borderId="0" applyNumberFormat="0" applyBorder="0" applyAlignment="0" applyProtection="0"/>
    <xf numFmtId="0" fontId="16" fillId="63" borderId="0" applyNumberFormat="0" applyBorder="0" applyAlignment="0" applyProtection="0"/>
    <xf numFmtId="0" fontId="32" fillId="0" borderId="0" applyNumberFormat="0" applyFill="0" applyBorder="0" applyAlignment="0" applyProtection="0"/>
    <xf numFmtId="0" fontId="33" fillId="64" borderId="0" applyNumberFormat="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183" fontId="6" fillId="0" borderId="0"/>
    <xf numFmtId="181" fontId="6" fillId="0" borderId="0"/>
    <xf numFmtId="0" fontId="34" fillId="65" borderId="0" applyNumberFormat="0" applyBorder="0" applyAlignment="0" applyProtection="0"/>
    <xf numFmtId="0" fontId="31" fillId="65" borderId="285" applyNumberFormat="0" applyAlignment="0" applyProtection="0"/>
    <xf numFmtId="182" fontId="6" fillId="0" borderId="0"/>
    <xf numFmtId="0" fontId="6" fillId="0" borderId="0" applyNumberFormat="0" applyFill="0" applyBorder="0" applyAlignment="0" applyProtection="0"/>
    <xf numFmtId="0" fontId="6" fillId="0" borderId="0" applyNumberFormat="0" applyFill="0" applyBorder="0" applyAlignment="0" applyProtection="0"/>
    <xf numFmtId="0" fontId="35" fillId="0" borderId="0" applyNumberFormat="0" applyFill="0" applyBorder="0" applyAlignment="0" applyProtection="0"/>
    <xf numFmtId="0" fontId="37" fillId="0" borderId="0" applyNumberFormat="0" applyFill="0" applyBorder="0" applyAlignment="0" applyProtection="0"/>
    <xf numFmtId="185" fontId="38" fillId="0" borderId="0" applyFont="0" applyFill="0" applyBorder="0" applyAlignment="0" applyProtection="0"/>
    <xf numFmtId="186" fontId="39" fillId="0" borderId="0" applyFont="0" applyFill="0" applyBorder="0" applyAlignment="0" applyProtection="0"/>
    <xf numFmtId="186" fontId="39" fillId="0" borderId="0" applyFont="0" applyFill="0" applyBorder="0" applyAlignment="0" applyProtection="0"/>
    <xf numFmtId="183" fontId="6" fillId="0" borderId="0" applyFill="0" applyBorder="0" applyAlignment="0" applyProtection="0"/>
    <xf numFmtId="181" fontId="6" fillId="0" borderId="0" applyFill="0" applyBorder="0" applyAlignment="0" applyProtection="0"/>
    <xf numFmtId="184" fontId="6" fillId="0" borderId="0" applyFont="0" applyFill="0" applyBorder="0" applyAlignment="0" applyProtection="0"/>
    <xf numFmtId="0" fontId="6" fillId="0" borderId="0"/>
    <xf numFmtId="0" fontId="6" fillId="0" borderId="0"/>
    <xf numFmtId="0" fontId="6" fillId="0" borderId="0"/>
    <xf numFmtId="9" fontId="6" fillId="0" borderId="0" applyFill="0" applyBorder="0" applyAlignment="0" applyProtection="0"/>
    <xf numFmtId="42" fontId="6" fillId="0" borderId="0" applyFont="0" applyFill="0" applyBorder="0" applyAlignment="0" applyProtection="0"/>
    <xf numFmtId="181" fontId="6" fillId="0" borderId="0"/>
    <xf numFmtId="0" fontId="31" fillId="65" borderId="287" applyNumberFormat="0" applyAlignment="0" applyProtection="0"/>
    <xf numFmtId="181" fontId="6" fillId="0" borderId="0"/>
    <xf numFmtId="0" fontId="6" fillId="0" borderId="0"/>
    <xf numFmtId="44" fontId="1" fillId="0" borderId="0" applyFont="0" applyFill="0" applyBorder="0" applyAlignment="0" applyProtection="0"/>
  </cellStyleXfs>
  <cellXfs count="1300">
    <xf numFmtId="0" fontId="0" fillId="0" borderId="0" xfId="0"/>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5" fillId="2" borderId="0" xfId="0" applyFont="1" applyFill="1" applyAlignment="1">
      <alignment vertical="center"/>
    </xf>
    <xf numFmtId="0" fontId="0" fillId="2" borderId="0" xfId="0" applyFill="1" applyAlignment="1">
      <alignment vertical="center"/>
    </xf>
    <xf numFmtId="9" fontId="3" fillId="2" borderId="0" xfId="3" applyFont="1" applyFill="1" applyBorder="1" applyAlignment="1" applyProtection="1">
      <alignment vertical="center"/>
    </xf>
    <xf numFmtId="9" fontId="0" fillId="2" borderId="0" xfId="3" applyFont="1" applyFill="1" applyProtection="1"/>
    <xf numFmtId="0" fontId="4" fillId="2" borderId="0" xfId="0" applyFont="1" applyFill="1" applyAlignment="1">
      <alignment horizontal="right" vertical="center"/>
    </xf>
    <xf numFmtId="9" fontId="4" fillId="2" borderId="0" xfId="3" applyFont="1" applyFill="1" applyBorder="1" applyAlignment="1" applyProtection="1">
      <alignment horizontal="center" vertical="center"/>
    </xf>
    <xf numFmtId="0" fontId="4" fillId="3"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4" fillId="0" borderId="11" xfId="0" applyFont="1" applyBorder="1" applyAlignment="1">
      <alignment horizontal="left" vertical="center"/>
    </xf>
    <xf numFmtId="164" fontId="0" fillId="9" borderId="12" xfId="2" applyNumberFormat="1" applyFont="1" applyFill="1" applyBorder="1" applyAlignment="1" applyProtection="1">
      <alignment vertical="center"/>
    </xf>
    <xf numFmtId="164" fontId="0" fillId="9" borderId="2" xfId="2" applyNumberFormat="1" applyFont="1" applyFill="1" applyBorder="1" applyAlignment="1" applyProtection="1">
      <alignment vertical="center"/>
    </xf>
    <xf numFmtId="164" fontId="4" fillId="9" borderId="13" xfId="2" applyNumberFormat="1" applyFont="1" applyFill="1" applyBorder="1" applyAlignment="1" applyProtection="1">
      <alignment vertical="center"/>
    </xf>
    <xf numFmtId="164" fontId="0" fillId="10" borderId="14" xfId="2" applyNumberFormat="1" applyFont="1" applyFill="1" applyBorder="1" applyAlignment="1" applyProtection="1">
      <alignment vertical="center"/>
    </xf>
    <xf numFmtId="164" fontId="0" fillId="10" borderId="13" xfId="2" applyNumberFormat="1" applyFont="1" applyFill="1" applyBorder="1" applyAlignment="1" applyProtection="1">
      <alignment vertical="center"/>
    </xf>
    <xf numFmtId="164" fontId="0" fillId="10" borderId="15" xfId="2" applyNumberFormat="1" applyFont="1" applyFill="1" applyBorder="1" applyAlignment="1" applyProtection="1">
      <alignment vertical="center"/>
    </xf>
    <xf numFmtId="164" fontId="4" fillId="10" borderId="13" xfId="2" applyNumberFormat="1" applyFont="1" applyFill="1" applyBorder="1" applyAlignment="1" applyProtection="1">
      <alignment vertical="center"/>
    </xf>
    <xf numFmtId="164" fontId="0" fillId="11" borderId="2" xfId="2" applyNumberFormat="1" applyFont="1" applyFill="1" applyBorder="1" applyAlignment="1" applyProtection="1">
      <alignment vertical="center"/>
    </xf>
    <xf numFmtId="164" fontId="0" fillId="10" borderId="16" xfId="2" applyNumberFormat="1" applyFont="1" applyFill="1" applyBorder="1" applyAlignment="1" applyProtection="1">
      <alignment vertical="center"/>
    </xf>
    <xf numFmtId="164" fontId="0" fillId="10" borderId="17" xfId="2" applyNumberFormat="1" applyFont="1" applyFill="1" applyBorder="1" applyAlignment="1" applyProtection="1">
      <alignment vertical="center"/>
    </xf>
    <xf numFmtId="0" fontId="4" fillId="3" borderId="18" xfId="0" applyFont="1" applyFill="1" applyBorder="1" applyAlignment="1">
      <alignment horizontal="center" vertical="center"/>
    </xf>
    <xf numFmtId="164" fontId="4" fillId="3" borderId="19" xfId="2" applyNumberFormat="1" applyFont="1" applyFill="1" applyBorder="1" applyAlignment="1" applyProtection="1">
      <alignment vertical="center"/>
    </xf>
    <xf numFmtId="0" fontId="4" fillId="12" borderId="0" xfId="0" applyFont="1" applyFill="1" applyAlignment="1">
      <alignment horizontal="left" vertical="center"/>
    </xf>
    <xf numFmtId="164" fontId="4" fillId="12" borderId="0" xfId="2" applyNumberFormat="1" applyFont="1" applyFill="1" applyBorder="1" applyAlignment="1" applyProtection="1">
      <alignment vertical="center"/>
    </xf>
    <xf numFmtId="164" fontId="4" fillId="13" borderId="0" xfId="2" applyNumberFormat="1" applyFont="1" applyFill="1" applyBorder="1" applyAlignment="1" applyProtection="1">
      <alignment vertical="center"/>
    </xf>
    <xf numFmtId="0" fontId="4" fillId="0" borderId="0" xfId="0" applyFont="1" applyAlignment="1">
      <alignment vertical="center"/>
    </xf>
    <xf numFmtId="44" fontId="4" fillId="2" borderId="0" xfId="2" applyFont="1" applyFill="1" applyBorder="1" applyAlignment="1" applyProtection="1">
      <alignment vertical="center"/>
    </xf>
    <xf numFmtId="164" fontId="4" fillId="2" borderId="0" xfId="0" applyNumberFormat="1" applyFont="1" applyFill="1" applyAlignment="1">
      <alignment vertical="center" wrapText="1"/>
    </xf>
    <xf numFmtId="0" fontId="0" fillId="2" borderId="0" xfId="0" applyFill="1" applyAlignment="1">
      <alignment horizontal="center" vertical="center"/>
    </xf>
    <xf numFmtId="164" fontId="4" fillId="15" borderId="20" xfId="0" applyNumberFormat="1" applyFont="1" applyFill="1" applyBorder="1" applyAlignment="1">
      <alignment horizontal="center" vertical="center" wrapText="1"/>
    </xf>
    <xf numFmtId="164" fontId="4" fillId="2" borderId="0" xfId="0" applyNumberFormat="1" applyFont="1" applyFill="1" applyAlignment="1">
      <alignment horizontal="center" vertical="center" wrapText="1"/>
    </xf>
    <xf numFmtId="164" fontId="0" fillId="2" borderId="0" xfId="2" applyNumberFormat="1" applyFont="1" applyFill="1" applyBorder="1" applyAlignment="1" applyProtection="1">
      <alignment vertical="center"/>
    </xf>
    <xf numFmtId="165" fontId="0" fillId="2" borderId="0" xfId="1" applyNumberFormat="1" applyFont="1" applyFill="1" applyBorder="1" applyAlignment="1" applyProtection="1">
      <alignment vertical="center"/>
    </xf>
    <xf numFmtId="164" fontId="4" fillId="2" borderId="0" xfId="2" applyNumberFormat="1" applyFont="1" applyFill="1" applyBorder="1" applyAlignment="1" applyProtection="1">
      <alignment vertical="center"/>
    </xf>
    <xf numFmtId="164" fontId="4" fillId="2" borderId="0" xfId="2" applyNumberFormat="1" applyFont="1" applyFill="1" applyBorder="1" applyAlignment="1" applyProtection="1">
      <alignment vertical="center" wrapText="1"/>
    </xf>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9" fontId="3" fillId="0" borderId="0" xfId="3" applyFont="1" applyBorder="1" applyAlignment="1" applyProtection="1">
      <alignment vertical="center"/>
    </xf>
    <xf numFmtId="9" fontId="0" fillId="0" borderId="0" xfId="3" applyFont="1" applyProtection="1"/>
    <xf numFmtId="0" fontId="4" fillId="0" borderId="0" xfId="0" applyFont="1" applyAlignment="1">
      <alignment horizontal="right" vertical="center"/>
    </xf>
    <xf numFmtId="1" fontId="0" fillId="0" borderId="0" xfId="3" applyNumberFormat="1" applyFont="1" applyProtection="1"/>
    <xf numFmtId="9" fontId="0" fillId="0" borderId="0" xfId="3" applyFont="1" applyFill="1" applyProtection="1"/>
    <xf numFmtId="0" fontId="0" fillId="2" borderId="46" xfId="0" applyFill="1" applyBorder="1" applyAlignment="1">
      <alignment horizontal="left" vertical="center"/>
    </xf>
    <xf numFmtId="166" fontId="0" fillId="2" borderId="47" xfId="2" applyNumberFormat="1" applyFont="1" applyFill="1" applyBorder="1" applyAlignment="1" applyProtection="1">
      <alignment vertical="center"/>
    </xf>
    <xf numFmtId="166" fontId="0" fillId="2" borderId="48" xfId="2" applyNumberFormat="1" applyFont="1" applyFill="1" applyBorder="1" applyAlignment="1" applyProtection="1">
      <alignment vertical="center"/>
    </xf>
    <xf numFmtId="166" fontId="0" fillId="0" borderId="0" xfId="2" applyNumberFormat="1" applyFont="1" applyFill="1" applyBorder="1" applyAlignment="1" applyProtection="1">
      <alignment vertical="center"/>
    </xf>
    <xf numFmtId="168" fontId="0" fillId="7" borderId="29" xfId="2" applyNumberFormat="1" applyFont="1" applyFill="1" applyBorder="1" applyAlignment="1" applyProtection="1">
      <alignment horizontal="center" vertical="center"/>
      <protection locked="0"/>
    </xf>
    <xf numFmtId="168" fontId="0" fillId="7" borderId="7" xfId="2" applyNumberFormat="1" applyFont="1" applyFill="1" applyBorder="1" applyAlignment="1" applyProtection="1">
      <alignment horizontal="center" vertical="center"/>
      <protection locked="0"/>
    </xf>
    <xf numFmtId="168" fontId="0" fillId="7" borderId="30" xfId="2" applyNumberFormat="1" applyFont="1" applyFill="1" applyBorder="1" applyAlignment="1" applyProtection="1">
      <alignment horizontal="center" vertical="center"/>
      <protection locked="0"/>
    </xf>
    <xf numFmtId="166" fontId="0" fillId="2" borderId="55" xfId="2" applyNumberFormat="1" applyFont="1" applyFill="1" applyBorder="1" applyAlignment="1" applyProtection="1">
      <alignment vertical="center"/>
    </xf>
    <xf numFmtId="166" fontId="0" fillId="2" borderId="56" xfId="2" applyNumberFormat="1" applyFont="1" applyFill="1" applyBorder="1" applyAlignment="1" applyProtection="1">
      <alignment vertical="center"/>
    </xf>
    <xf numFmtId="168" fontId="0" fillId="7" borderId="54" xfId="2" applyNumberFormat="1" applyFont="1" applyFill="1" applyBorder="1" applyAlignment="1" applyProtection="1">
      <alignment horizontal="center" vertical="center"/>
      <protection locked="0"/>
    </xf>
    <xf numFmtId="168" fontId="0" fillId="7" borderId="55" xfId="2" applyNumberFormat="1" applyFont="1" applyFill="1" applyBorder="1" applyAlignment="1" applyProtection="1">
      <alignment horizontal="center" vertical="center"/>
      <protection locked="0"/>
    </xf>
    <xf numFmtId="168" fontId="0" fillId="7" borderId="56" xfId="2" applyNumberFormat="1" applyFont="1" applyFill="1" applyBorder="1" applyAlignment="1" applyProtection="1">
      <alignment horizontal="center" vertical="center"/>
      <protection locked="0"/>
    </xf>
    <xf numFmtId="0" fontId="0" fillId="2" borderId="37" xfId="0" applyFill="1" applyBorder="1" applyAlignment="1">
      <alignment horizontal="right" vertical="center"/>
    </xf>
    <xf numFmtId="166" fontId="0" fillId="2" borderId="19" xfId="2" applyNumberFormat="1" applyFont="1" applyFill="1" applyBorder="1" applyAlignment="1" applyProtection="1">
      <alignment vertical="center"/>
    </xf>
    <xf numFmtId="166" fontId="0" fillId="2" borderId="39" xfId="2" applyNumberFormat="1" applyFont="1" applyFill="1" applyBorder="1" applyAlignment="1" applyProtection="1">
      <alignment vertical="center"/>
    </xf>
    <xf numFmtId="168" fontId="0" fillId="7" borderId="67" xfId="2" applyNumberFormat="1" applyFont="1" applyFill="1" applyBorder="1" applyAlignment="1" applyProtection="1">
      <alignment horizontal="center" vertical="center"/>
      <protection locked="0"/>
    </xf>
    <xf numFmtId="168" fontId="0" fillId="7" borderId="68" xfId="2" applyNumberFormat="1" applyFont="1" applyFill="1" applyBorder="1" applyAlignment="1" applyProtection="1">
      <alignment horizontal="center" vertical="center"/>
      <protection locked="0"/>
    </xf>
    <xf numFmtId="0" fontId="0" fillId="2" borderId="28" xfId="0" applyFill="1" applyBorder="1" applyAlignment="1">
      <alignment horizontal="left" vertical="center"/>
    </xf>
    <xf numFmtId="166" fontId="0" fillId="2" borderId="7" xfId="2" applyNumberFormat="1" applyFont="1" applyFill="1" applyBorder="1" applyAlignment="1" applyProtection="1">
      <alignment vertical="center"/>
    </xf>
    <xf numFmtId="166" fontId="0" fillId="2" borderId="30" xfId="2" applyNumberFormat="1" applyFont="1" applyFill="1" applyBorder="1" applyAlignment="1" applyProtection="1">
      <alignment vertical="center"/>
    </xf>
    <xf numFmtId="166" fontId="6" fillId="2" borderId="29" xfId="2" applyNumberFormat="1" applyFont="1" applyFill="1" applyBorder="1" applyAlignment="1" applyProtection="1">
      <alignment vertical="center"/>
    </xf>
    <xf numFmtId="166" fontId="6" fillId="2" borderId="7" xfId="2" applyNumberFormat="1" applyFont="1" applyFill="1" applyBorder="1" applyAlignment="1" applyProtection="1">
      <alignment vertical="center"/>
    </xf>
    <xf numFmtId="166" fontId="6" fillId="2" borderId="30" xfId="2" applyNumberFormat="1" applyFont="1" applyFill="1" applyBorder="1" applyAlignment="1" applyProtection="1">
      <alignment vertical="center"/>
    </xf>
    <xf numFmtId="167" fontId="0" fillId="26" borderId="38" xfId="2" applyNumberFormat="1" applyFont="1" applyFill="1" applyBorder="1" applyAlignment="1" applyProtection="1">
      <alignment horizontal="center" vertical="center"/>
    </xf>
    <xf numFmtId="168" fontId="0" fillId="27" borderId="42" xfId="2" applyNumberFormat="1" applyFont="1" applyFill="1" applyBorder="1" applyAlignment="1" applyProtection="1">
      <alignment horizontal="center" vertical="center"/>
    </xf>
    <xf numFmtId="0" fontId="0" fillId="2" borderId="37" xfId="0" applyFill="1" applyBorder="1" applyAlignment="1">
      <alignment horizontal="left" vertical="center"/>
    </xf>
    <xf numFmtId="168" fontId="0" fillId="7" borderId="39" xfId="2" applyNumberFormat="1" applyFont="1" applyFill="1" applyBorder="1" applyAlignment="1" applyProtection="1">
      <alignment horizontal="center" vertical="center"/>
      <protection locked="0"/>
    </xf>
    <xf numFmtId="169" fontId="0" fillId="0" borderId="0" xfId="1" applyNumberFormat="1" applyFont="1" applyFill="1" applyBorder="1" applyAlignment="1" applyProtection="1">
      <alignment vertical="center"/>
    </xf>
    <xf numFmtId="0" fontId="4" fillId="24" borderId="79" xfId="0" applyFont="1" applyFill="1" applyBorder="1" applyAlignment="1">
      <alignment horizontal="center" vertical="center" wrapText="1"/>
    </xf>
    <xf numFmtId="169" fontId="4" fillId="24" borderId="79" xfId="1" applyNumberFormat="1" applyFont="1" applyFill="1" applyBorder="1" applyAlignment="1" applyProtection="1">
      <alignment horizontal="center" vertical="center" wrapText="1"/>
    </xf>
    <xf numFmtId="0" fontId="12" fillId="24" borderId="84" xfId="0" applyFont="1" applyFill="1" applyBorder="1" applyAlignment="1">
      <alignment horizontal="center" vertical="center"/>
    </xf>
    <xf numFmtId="0" fontId="4" fillId="30" borderId="86" xfId="0" applyFont="1" applyFill="1" applyBorder="1" applyAlignment="1">
      <alignment horizontal="center" vertical="center"/>
    </xf>
    <xf numFmtId="0" fontId="12" fillId="31" borderId="87" xfId="0" applyFont="1" applyFill="1" applyBorder="1" applyAlignment="1">
      <alignment horizontal="left" vertical="center"/>
    </xf>
    <xf numFmtId="164" fontId="4" fillId="32" borderId="82" xfId="2" applyNumberFormat="1" applyFont="1" applyFill="1" applyBorder="1" applyAlignment="1">
      <alignment vertical="center"/>
    </xf>
    <xf numFmtId="164" fontId="12" fillId="33" borderId="82" xfId="2" applyNumberFormat="1" applyFont="1" applyFill="1" applyBorder="1" applyAlignment="1">
      <alignment vertical="center"/>
    </xf>
    <xf numFmtId="164" fontId="4" fillId="32" borderId="82" xfId="2" applyNumberFormat="1" applyFont="1" applyFill="1" applyBorder="1" applyAlignment="1" applyProtection="1">
      <alignment vertical="center"/>
    </xf>
    <xf numFmtId="164" fontId="12" fillId="31" borderId="88" xfId="2" applyNumberFormat="1" applyFont="1" applyFill="1" applyBorder="1" applyAlignment="1" applyProtection="1">
      <alignment horizontal="center" vertical="center"/>
    </xf>
    <xf numFmtId="0" fontId="4" fillId="34" borderId="89" xfId="0" applyFont="1" applyFill="1" applyBorder="1" applyAlignment="1">
      <alignment horizontal="center" vertical="center" wrapText="1"/>
    </xf>
    <xf numFmtId="0" fontId="12" fillId="34" borderId="87" xfId="0" applyFont="1" applyFill="1" applyBorder="1" applyAlignment="1">
      <alignment horizontal="left" vertical="center"/>
    </xf>
    <xf numFmtId="164" fontId="12" fillId="34" borderId="82" xfId="2" applyNumberFormat="1" applyFont="1" applyFill="1" applyBorder="1" applyAlignment="1">
      <alignment horizontal="center" vertical="center"/>
    </xf>
    <xf numFmtId="164" fontId="4" fillId="35" borderId="82" xfId="2" applyNumberFormat="1" applyFont="1" applyFill="1" applyBorder="1" applyAlignment="1">
      <alignment vertical="center"/>
    </xf>
    <xf numFmtId="164" fontId="12" fillId="34" borderId="82" xfId="2" applyNumberFormat="1" applyFont="1" applyFill="1" applyBorder="1" applyAlignment="1" applyProtection="1">
      <alignment horizontal="center" vertical="center"/>
    </xf>
    <xf numFmtId="164" fontId="12" fillId="34" borderId="88" xfId="2" applyNumberFormat="1" applyFont="1" applyFill="1" applyBorder="1" applyAlignment="1" applyProtection="1">
      <alignment horizontal="center" vertical="center"/>
    </xf>
    <xf numFmtId="1" fontId="0" fillId="0" borderId="89" xfId="0" applyNumberFormat="1" applyBorder="1" applyAlignment="1">
      <alignment horizontal="center" vertical="center" wrapText="1"/>
    </xf>
    <xf numFmtId="170" fontId="13" fillId="0" borderId="87" xfId="0" applyNumberFormat="1" applyFont="1" applyBorder="1" applyAlignment="1">
      <alignment horizontal="left"/>
    </xf>
    <xf numFmtId="164" fontId="0" fillId="9" borderId="82" xfId="2" applyNumberFormat="1" applyFont="1" applyFill="1" applyBorder="1" applyAlignment="1">
      <alignment vertical="center"/>
    </xf>
    <xf numFmtId="164" fontId="13" fillId="36" borderId="82" xfId="2" applyNumberFormat="1" applyFont="1" applyFill="1" applyBorder="1" applyAlignment="1">
      <alignment vertical="center"/>
    </xf>
    <xf numFmtId="164" fontId="13" fillId="36" borderId="82" xfId="2" applyNumberFormat="1" applyFont="1" applyFill="1" applyBorder="1" applyAlignment="1" applyProtection="1">
      <alignment vertical="center"/>
    </xf>
    <xf numFmtId="164" fontId="12" fillId="37" borderId="88" xfId="2" applyNumberFormat="1" applyFont="1" applyFill="1" applyBorder="1" applyAlignment="1" applyProtection="1">
      <alignment vertical="center"/>
    </xf>
    <xf numFmtId="164" fontId="0" fillId="7" borderId="90" xfId="2" applyNumberFormat="1" applyFont="1" applyFill="1" applyBorder="1" applyAlignment="1" applyProtection="1">
      <alignment vertical="center"/>
      <protection locked="0"/>
    </xf>
    <xf numFmtId="164" fontId="13" fillId="7" borderId="90" xfId="2" applyNumberFormat="1" applyFont="1" applyFill="1" applyBorder="1" applyAlignment="1" applyProtection="1">
      <alignment vertical="center"/>
      <protection locked="0"/>
    </xf>
    <xf numFmtId="171" fontId="13" fillId="7" borderId="90" xfId="1" applyNumberFormat="1" applyFont="1" applyFill="1" applyBorder="1" applyAlignment="1" applyProtection="1">
      <alignment vertical="center"/>
      <protection locked="0"/>
    </xf>
    <xf numFmtId="164" fontId="13" fillId="38" borderId="89" xfId="2" applyNumberFormat="1" applyFont="1" applyFill="1" applyBorder="1" applyAlignment="1" applyProtection="1">
      <alignment vertical="center"/>
    </xf>
    <xf numFmtId="164" fontId="12" fillId="37" borderId="91" xfId="2" applyNumberFormat="1" applyFont="1" applyFill="1" applyBorder="1" applyAlignment="1" applyProtection="1">
      <alignment vertical="center"/>
    </xf>
    <xf numFmtId="164" fontId="0" fillId="7" borderId="82" xfId="2" applyNumberFormat="1" applyFont="1" applyFill="1" applyBorder="1" applyAlignment="1" applyProtection="1">
      <alignment vertical="center"/>
      <protection locked="0"/>
    </xf>
    <xf numFmtId="164" fontId="13" fillId="7" borderId="82" xfId="2" applyNumberFormat="1" applyFont="1" applyFill="1" applyBorder="1" applyAlignment="1" applyProtection="1">
      <alignment vertical="center"/>
      <protection locked="0"/>
    </xf>
    <xf numFmtId="171" fontId="13" fillId="7" borderId="82" xfId="1" applyNumberFormat="1" applyFont="1" applyFill="1" applyBorder="1" applyAlignment="1" applyProtection="1">
      <alignment vertical="center"/>
      <protection locked="0"/>
    </xf>
    <xf numFmtId="164" fontId="13" fillId="38" borderId="86" xfId="2" applyNumberFormat="1" applyFont="1" applyFill="1" applyBorder="1" applyAlignment="1" applyProtection="1">
      <alignment vertical="center"/>
    </xf>
    <xf numFmtId="164" fontId="12" fillId="37" borderId="87" xfId="2" applyNumberFormat="1" applyFont="1" applyFill="1" applyBorder="1" applyAlignment="1" applyProtection="1">
      <alignment vertical="center"/>
    </xf>
    <xf numFmtId="0" fontId="0" fillId="0" borderId="82" xfId="0" applyBorder="1" applyAlignment="1" applyProtection="1">
      <alignment horizontal="left" vertical="center"/>
      <protection locked="0"/>
    </xf>
    <xf numFmtId="164" fontId="12" fillId="35" borderId="82" xfId="2" applyNumberFormat="1" applyFont="1" applyFill="1" applyBorder="1" applyAlignment="1">
      <alignment vertical="center"/>
    </xf>
    <xf numFmtId="164" fontId="12" fillId="34" borderId="86" xfId="2" applyNumberFormat="1" applyFont="1" applyFill="1" applyBorder="1" applyAlignment="1" applyProtection="1">
      <alignment vertical="center"/>
    </xf>
    <xf numFmtId="164" fontId="12" fillId="34" borderId="92" xfId="2" applyNumberFormat="1" applyFont="1" applyFill="1" applyBorder="1" applyAlignment="1" applyProtection="1">
      <alignment horizontal="center" vertical="center"/>
    </xf>
    <xf numFmtId="164" fontId="12" fillId="34" borderId="89" xfId="2" applyNumberFormat="1" applyFont="1" applyFill="1" applyBorder="1" applyAlignment="1" applyProtection="1">
      <alignment horizontal="center" vertical="center"/>
    </xf>
    <xf numFmtId="164" fontId="0" fillId="39" borderId="82" xfId="2" applyNumberFormat="1" applyFont="1" applyFill="1" applyBorder="1" applyAlignment="1" applyProtection="1">
      <alignment vertical="center"/>
      <protection locked="0"/>
    </xf>
    <xf numFmtId="164" fontId="13" fillId="39" borderId="82" xfId="2" applyNumberFormat="1" applyFont="1" applyFill="1" applyBorder="1" applyAlignment="1" applyProtection="1">
      <alignment vertical="center"/>
      <protection locked="0"/>
    </xf>
    <xf numFmtId="171" fontId="13" fillId="39" borderId="82" xfId="1" applyNumberFormat="1" applyFont="1" applyFill="1" applyBorder="1" applyAlignment="1" applyProtection="1">
      <alignment vertical="center"/>
      <protection locked="0"/>
    </xf>
    <xf numFmtId="170" fontId="13" fillId="2" borderId="87" xfId="0" applyNumberFormat="1" applyFont="1" applyFill="1" applyBorder="1" applyAlignment="1">
      <alignment horizontal="left"/>
    </xf>
    <xf numFmtId="164" fontId="12" fillId="31" borderId="82" xfId="2" applyNumberFormat="1" applyFont="1" applyFill="1" applyBorder="1" applyAlignment="1">
      <alignment horizontal="center" vertical="center"/>
    </xf>
    <xf numFmtId="164" fontId="12" fillId="31" borderId="89" xfId="2" applyNumberFormat="1" applyFont="1" applyFill="1" applyBorder="1" applyAlignment="1" applyProtection="1">
      <alignment horizontal="center" vertical="center"/>
    </xf>
    <xf numFmtId="164" fontId="12" fillId="31" borderId="92" xfId="2" applyNumberFormat="1" applyFont="1" applyFill="1" applyBorder="1" applyAlignment="1" applyProtection="1">
      <alignment horizontal="center" vertical="center"/>
    </xf>
    <xf numFmtId="164" fontId="12" fillId="34" borderId="87" xfId="2" applyNumberFormat="1" applyFont="1" applyFill="1" applyBorder="1" applyAlignment="1" applyProtection="1">
      <alignment vertical="center"/>
    </xf>
    <xf numFmtId="164" fontId="12" fillId="37" borderId="93" xfId="2" applyNumberFormat="1" applyFont="1" applyFill="1" applyBorder="1" applyAlignment="1" applyProtection="1">
      <alignment vertical="center"/>
    </xf>
    <xf numFmtId="1" fontId="0" fillId="0" borderId="1" xfId="0" applyNumberFormat="1" applyBorder="1" applyAlignment="1">
      <alignment horizontal="center" vertical="center" wrapText="1"/>
    </xf>
    <xf numFmtId="170" fontId="13" fillId="0" borderId="93" xfId="0" applyNumberFormat="1" applyFont="1" applyBorder="1" applyAlignment="1">
      <alignment horizontal="left"/>
    </xf>
    <xf numFmtId="164" fontId="13" fillId="38" borderId="94" xfId="2" applyNumberFormat="1" applyFont="1" applyFill="1" applyBorder="1" applyAlignment="1" applyProtection="1">
      <alignment vertical="center"/>
    </xf>
    <xf numFmtId="0" fontId="4" fillId="40" borderId="96" xfId="0" applyFont="1" applyFill="1" applyBorder="1" applyAlignment="1">
      <alignment horizontal="center" vertical="center" wrapText="1"/>
    </xf>
    <xf numFmtId="0" fontId="4" fillId="18" borderId="97" xfId="0" applyFont="1" applyFill="1" applyBorder="1" applyAlignment="1">
      <alignment vertical="center"/>
    </xf>
    <xf numFmtId="172" fontId="4" fillId="18" borderId="98" xfId="2" applyNumberFormat="1" applyFont="1" applyFill="1" applyBorder="1" applyAlignment="1" applyProtection="1">
      <alignment vertical="center"/>
    </xf>
    <xf numFmtId="172" fontId="4" fillId="41" borderId="97" xfId="2" applyNumberFormat="1" applyFont="1" applyFill="1" applyBorder="1" applyAlignment="1" applyProtection="1">
      <alignment vertical="center"/>
    </xf>
    <xf numFmtId="172" fontId="4" fillId="18" borderId="99" xfId="2" applyNumberFormat="1" applyFont="1" applyFill="1" applyBorder="1" applyAlignment="1" applyProtection="1">
      <alignment vertical="center"/>
    </xf>
    <xf numFmtId="0" fontId="4" fillId="24" borderId="100" xfId="0" applyFont="1" applyFill="1" applyBorder="1" applyAlignment="1">
      <alignment horizontal="center" vertical="center" wrapText="1"/>
    </xf>
    <xf numFmtId="169" fontId="4" fillId="24" borderId="100" xfId="1" applyNumberFormat="1" applyFont="1" applyFill="1" applyBorder="1" applyAlignment="1" applyProtection="1">
      <alignment horizontal="center" vertical="center" wrapText="1"/>
    </xf>
    <xf numFmtId="0" fontId="12" fillId="24" borderId="102" xfId="0" applyFont="1" applyFill="1" applyBorder="1" applyAlignment="1">
      <alignment horizontal="center" vertical="center"/>
    </xf>
    <xf numFmtId="0" fontId="0" fillId="0" borderId="0" xfId="0" applyAlignment="1">
      <alignment horizontal="left" vertical="center"/>
    </xf>
    <xf numFmtId="0" fontId="4" fillId="0" borderId="1" xfId="0" applyFont="1" applyBorder="1" applyAlignment="1">
      <alignment horizontal="right" vertical="center"/>
    </xf>
    <xf numFmtId="0" fontId="7" fillId="0" borderId="85" xfId="0" applyFont="1" applyBorder="1" applyAlignment="1">
      <alignment horizontal="center" vertical="center"/>
    </xf>
    <xf numFmtId="0" fontId="7" fillId="0" borderId="0" xfId="0" applyFont="1" applyAlignment="1">
      <alignment horizontal="center" vertical="center"/>
    </xf>
    <xf numFmtId="0" fontId="0" fillId="23" borderId="0" xfId="0" applyFill="1"/>
    <xf numFmtId="166" fontId="0" fillId="7" borderId="82" xfId="2" applyNumberFormat="1" applyFont="1" applyFill="1" applyBorder="1" applyAlignment="1" applyProtection="1">
      <alignment vertical="center"/>
      <protection locked="0"/>
    </xf>
    <xf numFmtId="0" fontId="0" fillId="7" borderId="82" xfId="0" applyFill="1" applyBorder="1" applyAlignment="1" applyProtection="1">
      <alignment horizontal="left" vertical="center"/>
      <protection locked="0"/>
    </xf>
    <xf numFmtId="0" fontId="0" fillId="7" borderId="117" xfId="0" applyFill="1" applyBorder="1" applyAlignment="1" applyProtection="1">
      <alignment horizontal="left" vertical="center"/>
      <protection locked="0"/>
    </xf>
    <xf numFmtId="0" fontId="0" fillId="7" borderId="38" xfId="0" applyFill="1" applyBorder="1" applyAlignment="1" applyProtection="1">
      <alignment horizontal="left" vertical="center"/>
      <protection locked="0"/>
    </xf>
    <xf numFmtId="0" fontId="0" fillId="7" borderId="47" xfId="0" applyFill="1" applyBorder="1" applyAlignment="1" applyProtection="1">
      <alignment horizontal="left" vertical="center"/>
      <protection locked="0"/>
    </xf>
    <xf numFmtId="9" fontId="4" fillId="0" borderId="0" xfId="0" applyNumberFormat="1" applyFont="1" applyAlignment="1">
      <alignment vertical="center"/>
    </xf>
    <xf numFmtId="176" fontId="4" fillId="0" borderId="0" xfId="0" applyNumberFormat="1" applyFont="1" applyAlignment="1">
      <alignment vertical="center"/>
    </xf>
    <xf numFmtId="164" fontId="0" fillId="38" borderId="19" xfId="2" applyNumberFormat="1" applyFont="1" applyFill="1" applyBorder="1" applyAlignment="1" applyProtection="1">
      <alignment vertical="center"/>
    </xf>
    <xf numFmtId="164" fontId="0" fillId="38" borderId="39" xfId="2" applyNumberFormat="1" applyFont="1" applyFill="1" applyBorder="1" applyAlignment="1" applyProtection="1">
      <alignment vertical="center"/>
    </xf>
    <xf numFmtId="164" fontId="0" fillId="49" borderId="107" xfId="2" applyNumberFormat="1" applyFont="1" applyFill="1" applyBorder="1" applyAlignment="1" applyProtection="1">
      <alignment vertical="center"/>
    </xf>
    <xf numFmtId="164" fontId="0" fillId="48" borderId="40" xfId="2" applyNumberFormat="1" applyFont="1" applyFill="1" applyBorder="1" applyAlignment="1" applyProtection="1">
      <alignment vertical="center"/>
    </xf>
    <xf numFmtId="164" fontId="0" fillId="1" borderId="38" xfId="2" applyNumberFormat="1" applyFont="1" applyFill="1" applyBorder="1" applyAlignment="1" applyProtection="1">
      <alignment vertical="center"/>
    </xf>
    <xf numFmtId="177" fontId="0" fillId="1" borderId="38" xfId="3" applyNumberFormat="1" applyFont="1" applyFill="1" applyBorder="1" applyAlignment="1">
      <alignment horizontal="center" vertical="center"/>
    </xf>
    <xf numFmtId="177" fontId="0" fillId="1" borderId="19" xfId="3" applyNumberFormat="1" applyFont="1" applyFill="1" applyBorder="1" applyAlignment="1">
      <alignment horizontal="center" vertical="center"/>
    </xf>
    <xf numFmtId="164" fontId="0" fillId="50" borderId="19" xfId="2" applyNumberFormat="1" applyFont="1" applyFill="1" applyBorder="1" applyAlignment="1" applyProtection="1">
      <alignment vertical="center"/>
    </xf>
    <xf numFmtId="164" fontId="0" fillId="51" borderId="19" xfId="2" applyNumberFormat="1" applyFont="1" applyFill="1" applyBorder="1" applyAlignment="1" applyProtection="1">
      <alignment vertical="center"/>
    </xf>
    <xf numFmtId="0" fontId="7" fillId="7" borderId="122" xfId="0" applyFont="1" applyFill="1" applyBorder="1" applyAlignment="1">
      <alignment horizontal="center" vertical="center"/>
    </xf>
    <xf numFmtId="0" fontId="15" fillId="23" borderId="0" xfId="0" applyFont="1" applyFill="1" applyAlignment="1">
      <alignment horizontal="left" vertical="center" indent="2"/>
    </xf>
    <xf numFmtId="173" fontId="4" fillId="42" borderId="123" xfId="0" applyNumberFormat="1" applyFont="1" applyFill="1" applyBorder="1" applyAlignment="1">
      <alignment horizontal="center" vertical="center"/>
    </xf>
    <xf numFmtId="167" fontId="4" fillId="10" borderId="123" xfId="3" applyNumberFormat="1" applyFont="1" applyFill="1" applyBorder="1" applyAlignment="1" applyProtection="1">
      <alignment horizontal="center" vertical="center"/>
    </xf>
    <xf numFmtId="42" fontId="0" fillId="38" borderId="82" xfId="2" applyNumberFormat="1" applyFont="1" applyFill="1" applyBorder="1" applyAlignment="1" applyProtection="1">
      <alignment horizontal="center" vertical="center"/>
    </xf>
    <xf numFmtId="166" fontId="0" fillId="7" borderId="47" xfId="2" applyNumberFormat="1" applyFont="1" applyFill="1" applyBorder="1" applyAlignment="1" applyProtection="1">
      <alignment vertical="center"/>
      <protection locked="0"/>
    </xf>
    <xf numFmtId="0" fontId="0" fillId="7" borderId="124" xfId="0" applyFill="1" applyBorder="1" applyAlignment="1" applyProtection="1">
      <alignment horizontal="left" vertical="center"/>
      <protection locked="0"/>
    </xf>
    <xf numFmtId="166" fontId="0" fillId="7" borderId="124" xfId="2" applyNumberFormat="1" applyFont="1" applyFill="1" applyBorder="1" applyAlignment="1" applyProtection="1">
      <alignment vertical="center"/>
      <protection locked="0"/>
    </xf>
    <xf numFmtId="42" fontId="0" fillId="38" borderId="124" xfId="2" applyNumberFormat="1" applyFont="1" applyFill="1" applyBorder="1" applyAlignment="1" applyProtection="1">
      <alignment horizontal="center" vertical="center"/>
    </xf>
    <xf numFmtId="166" fontId="0" fillId="7" borderId="123" xfId="2" applyNumberFormat="1" applyFont="1" applyFill="1" applyBorder="1" applyAlignment="1" applyProtection="1">
      <alignment vertical="center"/>
      <protection locked="0"/>
    </xf>
    <xf numFmtId="0" fontId="0" fillId="7" borderId="125" xfId="0" applyFill="1" applyBorder="1" applyAlignment="1" applyProtection="1">
      <alignment horizontal="left" vertical="center"/>
      <protection locked="0"/>
    </xf>
    <xf numFmtId="0" fontId="0" fillId="7" borderId="123" xfId="0" applyFill="1" applyBorder="1" applyAlignment="1" applyProtection="1">
      <alignment horizontal="left" vertical="center"/>
      <protection locked="0"/>
    </xf>
    <xf numFmtId="42" fontId="0" fillId="38" borderId="123" xfId="2" applyNumberFormat="1" applyFont="1" applyFill="1" applyBorder="1" applyAlignment="1" applyProtection="1">
      <alignment horizontal="center" vertical="center"/>
    </xf>
    <xf numFmtId="0" fontId="4" fillId="0" borderId="1" xfId="0" applyFont="1" applyBorder="1" applyAlignment="1">
      <alignment horizontal="center" vertical="center"/>
    </xf>
    <xf numFmtId="0" fontId="0" fillId="0" borderId="0" xfId="0" applyAlignment="1">
      <alignment horizontal="left" vertical="center" wrapText="1"/>
    </xf>
    <xf numFmtId="164" fontId="0" fillId="38" borderId="108" xfId="2" applyNumberFormat="1" applyFont="1" applyFill="1" applyBorder="1" applyAlignment="1" applyProtection="1">
      <alignment vertical="center"/>
    </xf>
    <xf numFmtId="178" fontId="1" fillId="51" borderId="132" xfId="3" applyNumberFormat="1" applyFill="1" applyBorder="1" applyAlignment="1" applyProtection="1">
      <alignment horizontal="center" vertical="center"/>
    </xf>
    <xf numFmtId="178" fontId="1" fillId="51" borderId="134" xfId="3" applyNumberFormat="1" applyFill="1" applyBorder="1" applyAlignment="1" applyProtection="1">
      <alignment horizontal="center" vertical="center"/>
    </xf>
    <xf numFmtId="0" fontId="0" fillId="0" borderId="0" xfId="0" applyProtection="1">
      <protection locked="0"/>
    </xf>
    <xf numFmtId="0" fontId="4" fillId="0" borderId="0" xfId="0" applyFont="1" applyAlignment="1" applyProtection="1">
      <alignment vertical="center"/>
      <protection locked="0"/>
    </xf>
    <xf numFmtId="0" fontId="15" fillId="2" borderId="0" xfId="0" applyFont="1" applyFill="1" applyAlignment="1">
      <alignment vertical="center"/>
    </xf>
    <xf numFmtId="0" fontId="0" fillId="2" borderId="0" xfId="0" applyFill="1"/>
    <xf numFmtId="0" fontId="4" fillId="2" borderId="119" xfId="0" applyFont="1" applyFill="1" applyBorder="1"/>
    <xf numFmtId="175" fontId="1" fillId="0" borderId="119" xfId="2" applyNumberFormat="1" applyBorder="1" applyProtection="1"/>
    <xf numFmtId="0" fontId="0" fillId="0" borderId="0" xfId="0" applyAlignment="1">
      <alignment horizontal="left"/>
    </xf>
    <xf numFmtId="175" fontId="6" fillId="0" borderId="0" xfId="2" applyNumberFormat="1" applyFont="1" applyFill="1" applyBorder="1" applyProtection="1">
      <protection locked="0"/>
    </xf>
    <xf numFmtId="0" fontId="0" fillId="0" borderId="0" xfId="0" applyAlignment="1">
      <alignment horizontal="center"/>
    </xf>
    <xf numFmtId="175" fontId="6" fillId="0" borderId="0" xfId="2" applyNumberFormat="1" applyFont="1" applyFill="1" applyBorder="1" applyProtection="1"/>
    <xf numFmtId="0" fontId="4" fillId="0" borderId="0" xfId="0" applyFont="1"/>
    <xf numFmtId="175" fontId="1" fillId="0" borderId="0" xfId="2" applyNumberFormat="1" applyFill="1" applyBorder="1" applyProtection="1"/>
    <xf numFmtId="0" fontId="4" fillId="2" borderId="1" xfId="0" applyFont="1" applyFill="1" applyBorder="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9" fontId="14" fillId="2" borderId="0" xfId="0" applyNumberFormat="1" applyFont="1" applyFill="1" applyAlignment="1">
      <alignment horizontal="center"/>
    </xf>
    <xf numFmtId="9" fontId="6" fillId="2" borderId="0" xfId="5" applyFont="1" applyFill="1" applyAlignment="1">
      <alignment horizontal="center"/>
    </xf>
    <xf numFmtId="0" fontId="2" fillId="9" borderId="76" xfId="0" applyFont="1" applyFill="1" applyBorder="1" applyAlignment="1">
      <alignment horizontal="left" indent="2"/>
    </xf>
    <xf numFmtId="0" fontId="23" fillId="0" borderId="0" xfId="0" applyFont="1" applyAlignment="1">
      <alignment horizontal="center" vertical="center"/>
    </xf>
    <xf numFmtId="0" fontId="23" fillId="0" borderId="0" xfId="0" applyFont="1" applyAlignment="1">
      <alignment vertical="center"/>
    </xf>
    <xf numFmtId="0" fontId="11" fillId="0" borderId="0" xfId="4" applyBorder="1" applyAlignment="1" applyProtection="1">
      <alignment vertical="center"/>
    </xf>
    <xf numFmtId="0" fontId="11" fillId="0" borderId="0" xfId="4" applyBorder="1" applyAlignment="1" applyProtection="1">
      <alignment horizontal="left" vertical="center"/>
    </xf>
    <xf numFmtId="0" fontId="11" fillId="0" borderId="0" xfId="4" applyBorder="1" applyAlignment="1" applyProtection="1">
      <alignment horizontal="left" vertical="center" indent="2"/>
    </xf>
    <xf numFmtId="164" fontId="0" fillId="0" borderId="132" xfId="0" applyNumberFormat="1" applyBorder="1" applyAlignment="1">
      <alignment vertical="center"/>
    </xf>
    <xf numFmtId="164" fontId="6" fillId="0" borderId="132" xfId="2" applyNumberFormat="1" applyFont="1" applyFill="1" applyBorder="1" applyAlignment="1" applyProtection="1">
      <alignment vertical="center"/>
    </xf>
    <xf numFmtId="164" fontId="0" fillId="0" borderId="142" xfId="0" applyNumberFormat="1" applyBorder="1" applyAlignment="1">
      <alignment vertical="center"/>
    </xf>
    <xf numFmtId="165" fontId="0" fillId="0" borderId="137" xfId="1" applyNumberFormat="1" applyFont="1" applyFill="1" applyBorder="1" applyAlignment="1" applyProtection="1">
      <alignment vertical="center"/>
    </xf>
    <xf numFmtId="164" fontId="4" fillId="16" borderId="144" xfId="0" applyNumberFormat="1" applyFont="1" applyFill="1" applyBorder="1" applyAlignment="1">
      <alignment vertical="center"/>
    </xf>
    <xf numFmtId="164" fontId="4" fillId="16" borderId="144" xfId="2" applyNumberFormat="1" applyFont="1" applyFill="1" applyBorder="1" applyAlignment="1" applyProtection="1">
      <alignment vertical="center"/>
    </xf>
    <xf numFmtId="164" fontId="4" fillId="16" borderId="144" xfId="2" applyNumberFormat="1" applyFont="1" applyFill="1" applyBorder="1" applyAlignment="1" applyProtection="1">
      <alignment horizontal="right" vertical="center"/>
    </xf>
    <xf numFmtId="164" fontId="4" fillId="16" borderId="145" xfId="2" applyNumberFormat="1" applyFont="1" applyFill="1" applyBorder="1" applyAlignment="1" applyProtection="1">
      <alignment horizontal="right" vertical="center"/>
    </xf>
    <xf numFmtId="164" fontId="0" fillId="0" borderId="132" xfId="2" applyNumberFormat="1" applyFont="1" applyFill="1" applyBorder="1" applyAlignment="1" applyProtection="1">
      <alignment vertical="center"/>
    </xf>
    <xf numFmtId="165" fontId="0" fillId="0" borderId="142" xfId="1" applyNumberFormat="1" applyFont="1" applyFill="1" applyBorder="1" applyAlignment="1" applyProtection="1">
      <alignment vertical="center"/>
    </xf>
    <xf numFmtId="164" fontId="4" fillId="17" borderId="144" xfId="0" applyNumberFormat="1" applyFont="1" applyFill="1" applyBorder="1" applyAlignment="1">
      <alignment vertical="center"/>
    </xf>
    <xf numFmtId="164" fontId="4" fillId="17" borderId="144" xfId="2" applyNumberFormat="1" applyFont="1" applyFill="1" applyBorder="1" applyAlignment="1" applyProtection="1">
      <alignment vertical="center"/>
    </xf>
    <xf numFmtId="164" fontId="4" fillId="17" borderId="144" xfId="2" applyNumberFormat="1" applyFont="1" applyFill="1" applyBorder="1" applyAlignment="1" applyProtection="1">
      <alignment horizontal="right" vertical="center"/>
    </xf>
    <xf numFmtId="164" fontId="4" fillId="17" borderId="145" xfId="2" applyNumberFormat="1" applyFont="1" applyFill="1" applyBorder="1" applyAlignment="1" applyProtection="1">
      <alignment horizontal="right" vertical="center"/>
    </xf>
    <xf numFmtId="164" fontId="10" fillId="18" borderId="149" xfId="2" applyNumberFormat="1" applyFont="1" applyFill="1" applyBorder="1" applyAlignment="1" applyProtection="1">
      <alignment vertical="center" wrapText="1"/>
    </xf>
    <xf numFmtId="164" fontId="4" fillId="16" borderId="145" xfId="2" applyNumberFormat="1" applyFont="1" applyFill="1" applyBorder="1" applyAlignment="1" applyProtection="1">
      <alignment vertical="center"/>
    </xf>
    <xf numFmtId="164" fontId="10" fillId="18" borderId="21" xfId="2" applyNumberFormat="1" applyFont="1" applyFill="1" applyBorder="1" applyAlignment="1" applyProtection="1">
      <alignment vertical="center" wrapText="1"/>
    </xf>
    <xf numFmtId="164" fontId="10" fillId="18" borderId="150" xfId="2" applyNumberFormat="1" applyFont="1" applyFill="1" applyBorder="1" applyAlignment="1" applyProtection="1">
      <alignment vertical="center" wrapText="1"/>
    </xf>
    <xf numFmtId="164" fontId="10" fillId="18" borderId="148" xfId="2" applyNumberFormat="1" applyFont="1" applyFill="1" applyBorder="1" applyAlignment="1" applyProtection="1">
      <alignment vertical="center" wrapText="1"/>
    </xf>
    <xf numFmtId="164" fontId="10" fillId="18" borderId="1" xfId="2" applyNumberFormat="1" applyFont="1" applyFill="1" applyBorder="1" applyAlignment="1" applyProtection="1">
      <alignment vertical="center" wrapText="1"/>
    </xf>
    <xf numFmtId="164" fontId="4" fillId="20" borderId="144" xfId="2" applyNumberFormat="1" applyFont="1" applyFill="1" applyBorder="1" applyAlignment="1" applyProtection="1">
      <alignment horizontal="right" vertical="center"/>
    </xf>
    <xf numFmtId="164" fontId="10" fillId="21" borderId="149" xfId="2" applyNumberFormat="1" applyFont="1" applyFill="1" applyBorder="1" applyAlignment="1" applyProtection="1">
      <alignment vertical="center" wrapText="1"/>
    </xf>
    <xf numFmtId="0" fontId="0" fillId="2" borderId="118" xfId="0" applyFill="1" applyBorder="1" applyAlignment="1">
      <alignment horizontal="left" vertical="center"/>
    </xf>
    <xf numFmtId="166" fontId="0" fillId="2" borderId="152" xfId="2" applyNumberFormat="1" applyFont="1" applyFill="1" applyBorder="1" applyAlignment="1" applyProtection="1">
      <alignment vertical="center"/>
    </xf>
    <xf numFmtId="166" fontId="0" fillId="2" borderId="153" xfId="2" applyNumberFormat="1" applyFont="1" applyFill="1" applyBorder="1" applyAlignment="1" applyProtection="1">
      <alignment vertical="center"/>
    </xf>
    <xf numFmtId="168" fontId="0" fillId="7" borderId="153" xfId="2" applyNumberFormat="1" applyFont="1" applyFill="1" applyBorder="1" applyAlignment="1" applyProtection="1">
      <alignment horizontal="center" vertical="center"/>
      <protection locked="0"/>
    </xf>
    <xf numFmtId="164" fontId="25" fillId="0" borderId="132" xfId="2" applyNumberFormat="1" applyFont="1" applyFill="1" applyBorder="1" applyAlignment="1" applyProtection="1">
      <alignment vertical="center"/>
    </xf>
    <xf numFmtId="164" fontId="25" fillId="0" borderId="142" xfId="0" applyNumberFormat="1" applyFont="1" applyBorder="1" applyAlignment="1">
      <alignment vertical="center"/>
    </xf>
    <xf numFmtId="165" fontId="25" fillId="0" borderId="137" xfId="1" applyNumberFormat="1" applyFont="1" applyFill="1" applyBorder="1" applyAlignment="1" applyProtection="1">
      <alignment vertical="center"/>
    </xf>
    <xf numFmtId="165" fontId="6" fillId="0" borderId="137" xfId="1" applyNumberFormat="1" applyFont="1" applyFill="1" applyBorder="1" applyAlignment="1" applyProtection="1">
      <alignment vertical="center"/>
    </xf>
    <xf numFmtId="0" fontId="4" fillId="7" borderId="28" xfId="0" applyFont="1" applyFill="1" applyBorder="1" applyAlignment="1">
      <alignment horizontal="center" vertical="center"/>
    </xf>
    <xf numFmtId="164" fontId="0" fillId="38" borderId="159" xfId="2" applyNumberFormat="1" applyFont="1" applyFill="1" applyBorder="1" applyAlignment="1" applyProtection="1">
      <alignment vertical="center"/>
    </xf>
    <xf numFmtId="164" fontId="0" fillId="38" borderId="90" xfId="2" applyNumberFormat="1" applyFont="1" applyFill="1" applyBorder="1" applyAlignment="1" applyProtection="1">
      <alignment vertical="center"/>
    </xf>
    <xf numFmtId="164" fontId="0" fillId="38" borderId="160" xfId="2" applyNumberFormat="1" applyFont="1" applyFill="1" applyBorder="1" applyAlignment="1" applyProtection="1">
      <alignment vertical="center"/>
    </xf>
    <xf numFmtId="164" fontId="0" fillId="48" borderId="49" xfId="2" applyNumberFormat="1" applyFont="1" applyFill="1" applyBorder="1" applyAlignment="1" applyProtection="1">
      <alignment vertical="center"/>
    </xf>
    <xf numFmtId="164" fontId="0" fillId="48" borderId="90" xfId="2" applyNumberFormat="1" applyFont="1" applyFill="1" applyBorder="1" applyAlignment="1" applyProtection="1">
      <alignment vertical="center"/>
    </xf>
    <xf numFmtId="164" fontId="0" fillId="48" borderId="50" xfId="2" applyNumberFormat="1" applyFont="1" applyFill="1" applyBorder="1" applyAlignment="1" applyProtection="1">
      <alignment vertical="center"/>
    </xf>
    <xf numFmtId="164" fontId="0" fillId="38" borderId="157" xfId="2" applyNumberFormat="1" applyFont="1" applyFill="1" applyBorder="1" applyAlignment="1" applyProtection="1">
      <alignment vertical="center"/>
    </xf>
    <xf numFmtId="164" fontId="0" fillId="48" borderId="157" xfId="2" applyNumberFormat="1" applyFont="1" applyFill="1" applyBorder="1" applyAlignment="1" applyProtection="1">
      <alignment vertical="center"/>
    </xf>
    <xf numFmtId="164" fontId="0" fillId="0" borderId="157" xfId="2" applyNumberFormat="1" applyFont="1" applyFill="1" applyBorder="1" applyAlignment="1" applyProtection="1">
      <alignment vertical="center"/>
    </xf>
    <xf numFmtId="164" fontId="0" fillId="36" borderId="157" xfId="2" applyNumberFormat="1" applyFont="1" applyFill="1" applyBorder="1" applyAlignment="1" applyProtection="1">
      <alignment vertical="center"/>
    </xf>
    <xf numFmtId="164" fontId="0" fillId="49" borderId="157" xfId="2" applyNumberFormat="1" applyFont="1" applyFill="1" applyBorder="1" applyAlignment="1" applyProtection="1">
      <alignment vertical="center"/>
    </xf>
    <xf numFmtId="164" fontId="0" fillId="1" borderId="157" xfId="2" applyNumberFormat="1" applyFont="1" applyFill="1" applyBorder="1" applyAlignment="1" applyProtection="1">
      <alignment vertical="center"/>
    </xf>
    <xf numFmtId="164" fontId="0" fillId="36" borderId="107" xfId="2" applyNumberFormat="1" applyFont="1" applyFill="1" applyBorder="1" applyAlignment="1" applyProtection="1">
      <alignment vertical="center"/>
    </xf>
    <xf numFmtId="172" fontId="0" fillId="0" borderId="46" xfId="2" applyNumberFormat="1" applyFont="1" applyFill="1" applyBorder="1" applyAlignment="1" applyProtection="1">
      <alignment vertical="center"/>
    </xf>
    <xf numFmtId="172" fontId="0" fillId="0" borderId="154" xfId="2" applyNumberFormat="1" applyFont="1" applyFill="1" applyBorder="1" applyAlignment="1" applyProtection="1">
      <alignment vertical="center"/>
    </xf>
    <xf numFmtId="172" fontId="0" fillId="0" borderId="154" xfId="2" applyNumberFormat="1" applyFont="1" applyFill="1" applyBorder="1" applyAlignment="1" applyProtection="1">
      <alignment horizontal="right" vertical="center"/>
    </xf>
    <xf numFmtId="172" fontId="0" fillId="0" borderId="37" xfId="2" applyNumberFormat="1" applyFont="1" applyFill="1" applyBorder="1" applyAlignment="1" applyProtection="1">
      <alignment vertical="center"/>
    </xf>
    <xf numFmtId="177" fontId="0" fillId="0" borderId="159" xfId="3" applyNumberFormat="1" applyFont="1" applyBorder="1" applyAlignment="1">
      <alignment horizontal="center" vertical="center"/>
    </xf>
    <xf numFmtId="177" fontId="0" fillId="0" borderId="90" xfId="3" applyNumberFormat="1" applyFont="1" applyBorder="1" applyAlignment="1">
      <alignment horizontal="center" vertical="center"/>
    </xf>
    <xf numFmtId="177" fontId="0" fillId="1" borderId="157" xfId="3" applyNumberFormat="1" applyFont="1" applyFill="1" applyBorder="1" applyAlignment="1">
      <alignment horizontal="center" vertical="center"/>
    </xf>
    <xf numFmtId="177" fontId="0" fillId="1" borderId="156" xfId="3" applyNumberFormat="1" applyFont="1" applyFill="1" applyBorder="1" applyAlignment="1">
      <alignment horizontal="center" vertical="center"/>
    </xf>
    <xf numFmtId="172" fontId="0" fillId="0" borderId="37" xfId="2" applyNumberFormat="1" applyFont="1" applyFill="1" applyBorder="1" applyAlignment="1" applyProtection="1">
      <alignment horizontal="right" vertical="center"/>
    </xf>
    <xf numFmtId="164" fontId="0" fillId="38" borderId="164" xfId="2" applyNumberFormat="1" applyFont="1" applyFill="1" applyBorder="1" applyAlignment="1" applyProtection="1">
      <alignment vertical="center"/>
    </xf>
    <xf numFmtId="164" fontId="0" fillId="48" borderId="164" xfId="2" applyNumberFormat="1" applyFont="1" applyFill="1" applyBorder="1" applyAlignment="1" applyProtection="1">
      <alignment vertical="center"/>
    </xf>
    <xf numFmtId="164" fontId="0" fillId="0" borderId="164" xfId="2" applyNumberFormat="1" applyFont="1" applyFill="1" applyBorder="1" applyAlignment="1" applyProtection="1">
      <alignment vertical="center"/>
    </xf>
    <xf numFmtId="177" fontId="0" fillId="1" borderId="164" xfId="3" applyNumberFormat="1" applyFont="1" applyFill="1" applyBorder="1" applyAlignment="1">
      <alignment horizontal="center" vertical="center"/>
    </xf>
    <xf numFmtId="177" fontId="0" fillId="1" borderId="165" xfId="3" applyNumberFormat="1" applyFont="1" applyFill="1" applyBorder="1" applyAlignment="1">
      <alignment horizontal="center" vertical="center"/>
    </xf>
    <xf numFmtId="177" fontId="0" fillId="0" borderId="157" xfId="3" applyNumberFormat="1" applyFont="1" applyBorder="1" applyAlignment="1">
      <alignment horizontal="center" vertical="center"/>
    </xf>
    <xf numFmtId="164" fontId="0" fillId="38" borderId="171" xfId="2" applyNumberFormat="1" applyFont="1" applyFill="1" applyBorder="1" applyAlignment="1" applyProtection="1">
      <alignment vertical="center"/>
    </xf>
    <xf numFmtId="164" fontId="0" fillId="48" borderId="171" xfId="2" applyNumberFormat="1" applyFont="1" applyFill="1" applyBorder="1" applyAlignment="1" applyProtection="1">
      <alignment vertical="center"/>
    </xf>
    <xf numFmtId="164" fontId="0" fillId="0" borderId="171" xfId="2" applyNumberFormat="1" applyFont="1" applyFill="1" applyBorder="1" applyAlignment="1" applyProtection="1">
      <alignment vertical="center"/>
    </xf>
    <xf numFmtId="177" fontId="0" fillId="0" borderId="171" xfId="3" applyNumberFormat="1" applyFont="1" applyBorder="1" applyAlignment="1">
      <alignment horizontal="center" vertical="center"/>
    </xf>
    <xf numFmtId="177" fontId="0" fillId="0" borderId="172" xfId="3" applyNumberFormat="1" applyFont="1" applyBorder="1" applyAlignment="1">
      <alignment horizontal="center" vertical="center"/>
    </xf>
    <xf numFmtId="177" fontId="0" fillId="0" borderId="156" xfId="3" applyNumberFormat="1" applyFont="1" applyBorder="1" applyAlignment="1">
      <alignment horizontal="center" vertical="center"/>
    </xf>
    <xf numFmtId="177" fontId="0" fillId="0" borderId="39" xfId="3" applyNumberFormat="1" applyFont="1" applyBorder="1" applyAlignment="1">
      <alignment horizontal="center" vertical="center"/>
    </xf>
    <xf numFmtId="164" fontId="0" fillId="50" borderId="90" xfId="2" applyNumberFormat="1" applyFont="1" applyFill="1" applyBorder="1" applyAlignment="1" applyProtection="1">
      <alignment vertical="center"/>
    </xf>
    <xf numFmtId="177" fontId="0" fillId="0" borderId="160" xfId="3" applyNumberFormat="1" applyFont="1" applyBorder="1" applyAlignment="1">
      <alignment horizontal="center" vertical="center"/>
    </xf>
    <xf numFmtId="164" fontId="0" fillId="50" borderId="157" xfId="2" applyNumberFormat="1" applyFont="1" applyFill="1" applyBorder="1" applyAlignment="1" applyProtection="1">
      <alignment vertical="center"/>
    </xf>
    <xf numFmtId="164" fontId="0" fillId="50" borderId="171" xfId="2" applyNumberFormat="1" applyFont="1" applyFill="1" applyBorder="1" applyAlignment="1" applyProtection="1">
      <alignment vertical="center"/>
    </xf>
    <xf numFmtId="164" fontId="0" fillId="51" borderId="171" xfId="2" applyNumberFormat="1" applyFont="1" applyFill="1" applyBorder="1" applyAlignment="1" applyProtection="1">
      <alignment vertical="center"/>
    </xf>
    <xf numFmtId="177" fontId="0" fillId="1" borderId="171" xfId="3" applyNumberFormat="1" applyFont="1" applyFill="1" applyBorder="1" applyAlignment="1">
      <alignment horizontal="center" vertical="center"/>
    </xf>
    <xf numFmtId="164" fontId="0" fillId="48" borderId="158" xfId="2" applyNumberFormat="1" applyFont="1" applyFill="1" applyBorder="1" applyAlignment="1" applyProtection="1">
      <alignment vertical="center"/>
    </xf>
    <xf numFmtId="164" fontId="0" fillId="49" borderId="158" xfId="2" applyNumberFormat="1" applyFont="1" applyFill="1" applyBorder="1" applyAlignment="1" applyProtection="1">
      <alignment vertical="center"/>
    </xf>
    <xf numFmtId="164" fontId="0" fillId="49" borderId="166" xfId="2" applyNumberFormat="1" applyFont="1" applyFill="1" applyBorder="1" applyAlignment="1" applyProtection="1">
      <alignment vertical="center"/>
    </xf>
    <xf numFmtId="164" fontId="0" fillId="49" borderId="176" xfId="2" applyNumberFormat="1" applyFont="1" applyFill="1" applyBorder="1" applyAlignment="1" applyProtection="1">
      <alignment vertical="center"/>
    </xf>
    <xf numFmtId="164" fontId="0" fillId="48" borderId="176" xfId="2" applyNumberFormat="1" applyFont="1" applyFill="1" applyBorder="1" applyAlignment="1" applyProtection="1">
      <alignment vertical="center"/>
    </xf>
    <xf numFmtId="164" fontId="0" fillId="38" borderId="155" xfId="2" applyNumberFormat="1" applyFont="1" applyFill="1" applyBorder="1" applyAlignment="1" applyProtection="1">
      <alignment vertical="center"/>
    </xf>
    <xf numFmtId="164" fontId="0" fillId="38" borderId="156" xfId="2" applyNumberFormat="1" applyFont="1" applyFill="1" applyBorder="1" applyAlignment="1" applyProtection="1">
      <alignment vertical="center"/>
    </xf>
    <xf numFmtId="164" fontId="0" fillId="36" borderId="155" xfId="2" applyNumberFormat="1" applyFont="1" applyFill="1" applyBorder="1" applyAlignment="1" applyProtection="1">
      <alignment vertical="center"/>
    </xf>
    <xf numFmtId="164" fontId="0" fillId="36" borderId="156" xfId="2" applyNumberFormat="1" applyFont="1" applyFill="1" applyBorder="1" applyAlignment="1" applyProtection="1">
      <alignment vertical="center"/>
    </xf>
    <xf numFmtId="164" fontId="0" fillId="36" borderId="163" xfId="2" applyNumberFormat="1" applyFont="1" applyFill="1" applyBorder="1" applyAlignment="1" applyProtection="1">
      <alignment vertical="center"/>
    </xf>
    <xf numFmtId="164" fontId="0" fillId="38" borderId="165" xfId="2" applyNumberFormat="1" applyFont="1" applyFill="1" applyBorder="1" applyAlignment="1" applyProtection="1">
      <alignment vertical="center"/>
    </xf>
    <xf numFmtId="164" fontId="0" fillId="36" borderId="170" xfId="2" applyNumberFormat="1" applyFont="1" applyFill="1" applyBorder="1" applyAlignment="1" applyProtection="1">
      <alignment vertical="center"/>
    </xf>
    <xf numFmtId="164" fontId="0" fillId="38" borderId="172" xfId="2" applyNumberFormat="1" applyFont="1" applyFill="1" applyBorder="1" applyAlignment="1" applyProtection="1">
      <alignment vertical="center"/>
    </xf>
    <xf numFmtId="164" fontId="0" fillId="38" borderId="170" xfId="2" applyNumberFormat="1" applyFont="1" applyFill="1" applyBorder="1" applyAlignment="1" applyProtection="1">
      <alignment vertical="center"/>
    </xf>
    <xf numFmtId="164" fontId="0" fillId="48" borderId="175" xfId="2" applyNumberFormat="1" applyFont="1" applyFill="1" applyBorder="1" applyAlignment="1" applyProtection="1">
      <alignment vertical="center"/>
    </xf>
    <xf numFmtId="164" fontId="0" fillId="49" borderId="175" xfId="2" applyNumberFormat="1" applyFont="1" applyFill="1" applyBorder="1" applyAlignment="1" applyProtection="1">
      <alignment vertical="center"/>
    </xf>
    <xf numFmtId="164" fontId="0" fillId="48" borderId="43" xfId="2" applyNumberFormat="1" applyFont="1" applyFill="1" applyBorder="1" applyAlignment="1" applyProtection="1">
      <alignment vertical="center"/>
    </xf>
    <xf numFmtId="164" fontId="0" fillId="48" borderId="174" xfId="2" applyNumberFormat="1" applyFont="1" applyFill="1" applyBorder="1" applyAlignment="1" applyProtection="1">
      <alignment vertical="center"/>
    </xf>
    <xf numFmtId="164" fontId="0" fillId="0" borderId="170" xfId="2" applyNumberFormat="1" applyFont="1" applyFill="1" applyBorder="1" applyAlignment="1" applyProtection="1">
      <alignment vertical="center"/>
    </xf>
    <xf numFmtId="164" fontId="0" fillId="0" borderId="155" xfId="2" applyNumberFormat="1" applyFont="1" applyFill="1" applyBorder="1" applyAlignment="1" applyProtection="1">
      <alignment vertical="center"/>
    </xf>
    <xf numFmtId="164" fontId="0" fillId="1" borderId="155" xfId="2" applyNumberFormat="1" applyFont="1" applyFill="1" applyBorder="1" applyAlignment="1" applyProtection="1">
      <alignment vertical="center"/>
    </xf>
    <xf numFmtId="164" fontId="0" fillId="1" borderId="163" xfId="2" applyNumberFormat="1" applyFont="1" applyFill="1" applyBorder="1" applyAlignment="1" applyProtection="1">
      <alignment vertical="center"/>
    </xf>
    <xf numFmtId="164" fontId="0" fillId="1" borderId="170" xfId="2" applyNumberFormat="1" applyFont="1" applyFill="1" applyBorder="1" applyAlignment="1" applyProtection="1">
      <alignment vertical="center"/>
    </xf>
    <xf numFmtId="177" fontId="0" fillId="0" borderId="170" xfId="3" applyNumberFormat="1" applyFont="1" applyBorder="1" applyAlignment="1">
      <alignment horizontal="center" vertical="center"/>
    </xf>
    <xf numFmtId="177" fontId="0" fillId="0" borderId="155" xfId="3" applyNumberFormat="1" applyFont="1" applyBorder="1" applyAlignment="1">
      <alignment horizontal="center" vertical="center"/>
    </xf>
    <xf numFmtId="177" fontId="0" fillId="1" borderId="155" xfId="3" applyNumberFormat="1" applyFont="1" applyFill="1" applyBorder="1" applyAlignment="1">
      <alignment horizontal="center" vertical="center"/>
    </xf>
    <xf numFmtId="177" fontId="0" fillId="1" borderId="163" xfId="3" applyNumberFormat="1" applyFont="1" applyFill="1" applyBorder="1" applyAlignment="1">
      <alignment horizontal="center" vertical="center"/>
    </xf>
    <xf numFmtId="177" fontId="0" fillId="1" borderId="170" xfId="3" applyNumberFormat="1" applyFont="1" applyFill="1" applyBorder="1" applyAlignment="1">
      <alignment horizontal="center" vertical="center"/>
    </xf>
    <xf numFmtId="172" fontId="0" fillId="0" borderId="127" xfId="2" applyNumberFormat="1" applyFont="1" applyFill="1" applyBorder="1" applyAlignment="1" applyProtection="1">
      <alignment vertical="center"/>
    </xf>
    <xf numFmtId="172" fontId="0" fillId="0" borderId="177" xfId="2" applyNumberFormat="1" applyFont="1" applyFill="1" applyBorder="1" applyAlignment="1" applyProtection="1">
      <alignment vertical="center"/>
    </xf>
    <xf numFmtId="172" fontId="0" fillId="0" borderId="177" xfId="2" applyNumberFormat="1" applyFont="1" applyFill="1" applyBorder="1" applyAlignment="1" applyProtection="1">
      <alignment horizontal="left" vertical="center"/>
    </xf>
    <xf numFmtId="172" fontId="0" fillId="0" borderId="177" xfId="2" applyNumberFormat="1" applyFont="1" applyFill="1" applyBorder="1" applyAlignment="1" applyProtection="1">
      <alignment horizontal="right" vertical="center"/>
    </xf>
    <xf numFmtId="172" fontId="0" fillId="0" borderId="59" xfId="2" applyNumberFormat="1" applyFont="1" applyFill="1" applyBorder="1" applyAlignment="1" applyProtection="1">
      <alignment horizontal="right" vertical="center"/>
    </xf>
    <xf numFmtId="172" fontId="0" fillId="0" borderId="161" xfId="2" applyNumberFormat="1" applyFont="1" applyFill="1" applyBorder="1" applyAlignment="1" applyProtection="1">
      <alignment vertical="center"/>
    </xf>
    <xf numFmtId="172" fontId="0" fillId="0" borderId="59" xfId="2" applyNumberFormat="1" applyFont="1" applyFill="1" applyBorder="1" applyAlignment="1" applyProtection="1">
      <alignment vertical="center"/>
    </xf>
    <xf numFmtId="164" fontId="0" fillId="0" borderId="174" xfId="2" applyNumberFormat="1" applyFont="1" applyFill="1" applyBorder="1" applyAlignment="1" applyProtection="1">
      <alignment vertical="center"/>
    </xf>
    <xf numFmtId="164" fontId="0" fillId="0" borderId="175" xfId="2" applyNumberFormat="1" applyFont="1" applyFill="1" applyBorder="1" applyAlignment="1" applyProtection="1">
      <alignment vertical="center"/>
    </xf>
    <xf numFmtId="164" fontId="0" fillId="1" borderId="175" xfId="2" applyNumberFormat="1" applyFont="1" applyFill="1" applyBorder="1" applyAlignment="1" applyProtection="1">
      <alignment vertical="center"/>
    </xf>
    <xf numFmtId="164" fontId="0" fillId="0" borderId="43" xfId="2" applyNumberFormat="1" applyFont="1" applyFill="1" applyBorder="1" applyAlignment="1" applyProtection="1">
      <alignment vertical="center"/>
    </xf>
    <xf numFmtId="164" fontId="0" fillId="0" borderId="40" xfId="2" applyNumberFormat="1" applyFont="1" applyFill="1" applyBorder="1" applyAlignment="1" applyProtection="1">
      <alignment vertical="center"/>
    </xf>
    <xf numFmtId="164" fontId="4" fillId="3" borderId="111" xfId="0" applyNumberFormat="1" applyFont="1" applyFill="1" applyBorder="1" applyAlignment="1">
      <alignment horizontal="center" vertical="center" wrapText="1"/>
    </xf>
    <xf numFmtId="164" fontId="4" fillId="3" borderId="112" xfId="0" applyNumberFormat="1" applyFont="1" applyFill="1" applyBorder="1" applyAlignment="1">
      <alignment horizontal="center" vertical="center" wrapText="1"/>
    </xf>
    <xf numFmtId="164" fontId="4" fillId="3" borderId="113" xfId="0" applyNumberFormat="1" applyFont="1" applyFill="1" applyBorder="1" applyAlignment="1">
      <alignment horizontal="center" vertical="center" wrapText="1"/>
    </xf>
    <xf numFmtId="164" fontId="0" fillId="50" borderId="181" xfId="2" applyNumberFormat="1" applyFont="1" applyFill="1" applyBorder="1" applyAlignment="1" applyProtection="1">
      <alignment vertical="center"/>
    </xf>
    <xf numFmtId="164" fontId="0" fillId="38" borderId="153" xfId="2" applyNumberFormat="1" applyFont="1" applyFill="1" applyBorder="1" applyAlignment="1" applyProtection="1">
      <alignment vertical="center"/>
    </xf>
    <xf numFmtId="164" fontId="0" fillId="49" borderId="70" xfId="2" applyNumberFormat="1" applyFont="1" applyFill="1" applyBorder="1" applyAlignment="1" applyProtection="1">
      <alignment vertical="center"/>
    </xf>
    <xf numFmtId="164" fontId="0" fillId="51" borderId="181" xfId="2" applyNumberFormat="1" applyFont="1" applyFill="1" applyBorder="1" applyAlignment="1" applyProtection="1">
      <alignment vertical="center"/>
    </xf>
    <xf numFmtId="164" fontId="0" fillId="48" borderId="72" xfId="2" applyNumberFormat="1" applyFont="1" applyFill="1" applyBorder="1" applyAlignment="1" applyProtection="1">
      <alignment vertical="center"/>
    </xf>
    <xf numFmtId="164" fontId="0" fillId="1" borderId="180" xfId="2" applyNumberFormat="1" applyFont="1" applyFill="1" applyBorder="1" applyAlignment="1" applyProtection="1">
      <alignment vertical="center"/>
    </xf>
    <xf numFmtId="177" fontId="0" fillId="1" borderId="181" xfId="3" applyNumberFormat="1" applyFont="1" applyFill="1" applyBorder="1" applyAlignment="1">
      <alignment horizontal="center" vertical="center"/>
    </xf>
    <xf numFmtId="164" fontId="0" fillId="0" borderId="72" xfId="2" applyNumberFormat="1" applyFont="1" applyFill="1" applyBorder="1" applyAlignment="1" applyProtection="1">
      <alignment vertical="center"/>
    </xf>
    <xf numFmtId="177" fontId="0" fillId="1" borderId="180" xfId="3" applyNumberFormat="1" applyFont="1" applyFill="1" applyBorder="1" applyAlignment="1">
      <alignment horizontal="center" vertical="center"/>
    </xf>
    <xf numFmtId="177" fontId="0" fillId="0" borderId="153" xfId="3" applyNumberFormat="1" applyFont="1" applyBorder="1" applyAlignment="1">
      <alignment horizontal="center" vertical="center"/>
    </xf>
    <xf numFmtId="164" fontId="0" fillId="36" borderId="176" xfId="2" applyNumberFormat="1" applyFont="1" applyFill="1" applyBorder="1" applyAlignment="1" applyProtection="1">
      <alignment vertical="center"/>
    </xf>
    <xf numFmtId="164" fontId="0" fillId="36" borderId="70" xfId="2" applyNumberFormat="1" applyFont="1" applyFill="1" applyBorder="1" applyAlignment="1" applyProtection="1">
      <alignment vertical="center"/>
    </xf>
    <xf numFmtId="172" fontId="0" fillId="0" borderId="28" xfId="2" applyNumberFormat="1" applyFont="1" applyFill="1" applyBorder="1" applyAlignment="1" applyProtection="1">
      <alignment vertical="center"/>
    </xf>
    <xf numFmtId="164" fontId="4" fillId="15" borderId="63" xfId="0" applyNumberFormat="1" applyFont="1" applyFill="1" applyBorder="1" applyAlignment="1">
      <alignment horizontal="center" vertical="center" wrapText="1"/>
    </xf>
    <xf numFmtId="164" fontId="4" fillId="15" borderId="106" xfId="0" applyNumberFormat="1" applyFont="1" applyFill="1" applyBorder="1" applyAlignment="1">
      <alignment horizontal="center" vertical="center" wrapText="1"/>
    </xf>
    <xf numFmtId="164" fontId="4" fillId="15" borderId="110" xfId="0" applyNumberFormat="1" applyFont="1" applyFill="1" applyBorder="1" applyAlignment="1">
      <alignment horizontal="center" vertical="center" wrapText="1"/>
    </xf>
    <xf numFmtId="164" fontId="4" fillId="3" borderId="182" xfId="0" applyNumberFormat="1" applyFont="1" applyFill="1" applyBorder="1" applyAlignment="1">
      <alignment horizontal="center" vertical="center" wrapText="1"/>
    </xf>
    <xf numFmtId="164" fontId="4" fillId="3" borderId="106" xfId="0" applyNumberFormat="1" applyFont="1" applyFill="1" applyBorder="1" applyAlignment="1">
      <alignment horizontal="center" vertical="center" wrapText="1"/>
    </xf>
    <xf numFmtId="164" fontId="4" fillId="3" borderId="109" xfId="0" applyNumberFormat="1" applyFont="1" applyFill="1" applyBorder="1" applyAlignment="1">
      <alignment horizontal="center" vertical="center" wrapText="1"/>
    </xf>
    <xf numFmtId="164" fontId="4" fillId="3" borderId="180" xfId="0" applyNumberFormat="1" applyFont="1" applyFill="1" applyBorder="1" applyAlignment="1">
      <alignment horizontal="center" vertical="center" wrapText="1"/>
    </xf>
    <xf numFmtId="164" fontId="4" fillId="3" borderId="181" xfId="0" applyNumberFormat="1" applyFont="1" applyFill="1" applyBorder="1" applyAlignment="1">
      <alignment horizontal="center" vertical="center" wrapText="1"/>
    </xf>
    <xf numFmtId="164" fontId="4" fillId="3" borderId="72" xfId="0" applyNumberFormat="1" applyFont="1" applyFill="1" applyBorder="1" applyAlignment="1">
      <alignment horizontal="center" vertical="center" wrapText="1"/>
    </xf>
    <xf numFmtId="164" fontId="0" fillId="7" borderId="82" xfId="2" applyNumberFormat="1" applyFont="1" applyFill="1" applyBorder="1" applyAlignment="1" applyProtection="1">
      <alignment vertical="center"/>
    </xf>
    <xf numFmtId="178" fontId="1" fillId="51" borderId="184" xfId="3" applyNumberFormat="1" applyFill="1" applyBorder="1" applyAlignment="1" applyProtection="1">
      <alignment horizontal="center" vertical="center"/>
    </xf>
    <xf numFmtId="164" fontId="0" fillId="38" borderId="186" xfId="2" applyNumberFormat="1" applyFont="1" applyFill="1" applyBorder="1" applyAlignment="1" applyProtection="1">
      <alignment vertical="center"/>
    </xf>
    <xf numFmtId="164" fontId="0" fillId="50" borderId="38" xfId="2" applyNumberFormat="1" applyFont="1" applyFill="1" applyBorder="1" applyAlignment="1" applyProtection="1">
      <alignment vertical="center"/>
    </xf>
    <xf numFmtId="164" fontId="0" fillId="38" borderId="185" xfId="2" applyNumberFormat="1" applyFont="1" applyFill="1" applyBorder="1" applyAlignment="1" applyProtection="1">
      <alignment vertical="center"/>
    </xf>
    <xf numFmtId="164" fontId="0" fillId="50" borderId="155" xfId="2" applyNumberFormat="1" applyFont="1" applyFill="1" applyBorder="1" applyAlignment="1" applyProtection="1">
      <alignment vertical="center"/>
    </xf>
    <xf numFmtId="164" fontId="0" fillId="38" borderId="38" xfId="2" applyNumberFormat="1" applyFont="1" applyFill="1" applyBorder="1" applyAlignment="1" applyProtection="1">
      <alignment vertical="center"/>
    </xf>
    <xf numFmtId="164" fontId="0" fillId="38" borderId="188" xfId="2" applyNumberFormat="1" applyFont="1" applyFill="1" applyBorder="1" applyAlignment="1" applyProtection="1">
      <alignment vertical="center"/>
    </xf>
    <xf numFmtId="178" fontId="1" fillId="51" borderId="1" xfId="3" applyNumberFormat="1" applyFill="1" applyBorder="1" applyAlignment="1" applyProtection="1">
      <alignment horizontal="center" vertical="center"/>
    </xf>
    <xf numFmtId="178" fontId="1" fillId="51" borderId="189" xfId="3" applyNumberFormat="1" applyFill="1" applyBorder="1" applyAlignment="1" applyProtection="1">
      <alignment horizontal="center" vertical="center"/>
    </xf>
    <xf numFmtId="178" fontId="1" fillId="51" borderId="193" xfId="3" applyNumberFormat="1" applyFill="1" applyBorder="1" applyAlignment="1" applyProtection="1">
      <alignment horizontal="center" vertical="center"/>
    </xf>
    <xf numFmtId="164" fontId="0" fillId="38" borderId="163" xfId="2" applyNumberFormat="1" applyFont="1" applyFill="1" applyBorder="1" applyAlignment="1" applyProtection="1">
      <alignment vertical="center"/>
    </xf>
    <xf numFmtId="164" fontId="0" fillId="50" borderId="159" xfId="2" applyNumberFormat="1" applyFont="1" applyFill="1" applyBorder="1" applyAlignment="1" applyProtection="1">
      <alignment vertical="center"/>
    </xf>
    <xf numFmtId="164" fontId="0" fillId="50" borderId="180" xfId="2" applyNumberFormat="1" applyFont="1" applyFill="1" applyBorder="1" applyAlignment="1" applyProtection="1">
      <alignment vertical="center"/>
    </xf>
    <xf numFmtId="172" fontId="0" fillId="0" borderId="138" xfId="2" applyNumberFormat="1" applyFont="1" applyFill="1" applyBorder="1" applyAlignment="1" applyProtection="1">
      <alignment horizontal="right" vertical="center"/>
    </xf>
    <xf numFmtId="164" fontId="0" fillId="7" borderId="154" xfId="2" applyNumberFormat="1" applyFont="1" applyFill="1" applyBorder="1" applyAlignment="1" applyProtection="1">
      <alignment vertical="center"/>
      <protection locked="0"/>
    </xf>
    <xf numFmtId="164" fontId="0" fillId="27" borderId="154" xfId="2" applyNumberFormat="1" applyFont="1" applyFill="1" applyBorder="1" applyAlignment="1" applyProtection="1">
      <alignment vertical="center"/>
      <protection locked="0"/>
    </xf>
    <xf numFmtId="164" fontId="24" fillId="7" borderId="154" xfId="2" applyNumberFormat="1" applyFont="1" applyFill="1" applyBorder="1" applyAlignment="1" applyProtection="1">
      <alignment vertical="center"/>
      <protection locked="0"/>
    </xf>
    <xf numFmtId="178" fontId="1" fillId="48" borderId="197" xfId="3" applyNumberFormat="1" applyFill="1" applyBorder="1" applyAlignment="1" applyProtection="1">
      <alignment horizontal="center" vertical="center"/>
    </xf>
    <xf numFmtId="178" fontId="1" fillId="48" borderId="139" xfId="3" applyNumberFormat="1" applyFill="1" applyBorder="1" applyAlignment="1" applyProtection="1">
      <alignment horizontal="center" vertical="center"/>
    </xf>
    <xf numFmtId="178" fontId="1" fillId="48" borderId="198" xfId="3" applyNumberFormat="1" applyFill="1" applyBorder="1" applyAlignment="1" applyProtection="1">
      <alignment horizontal="center" vertical="center"/>
    </xf>
    <xf numFmtId="178" fontId="1" fillId="48" borderId="167" xfId="3" applyNumberFormat="1" applyFill="1" applyBorder="1" applyAlignment="1" applyProtection="1">
      <alignment horizontal="center" vertical="center"/>
    </xf>
    <xf numFmtId="178" fontId="1" fillId="48" borderId="168" xfId="3" applyNumberFormat="1" applyFill="1" applyBorder="1" applyAlignment="1" applyProtection="1">
      <alignment horizontal="center" vertical="center"/>
    </xf>
    <xf numFmtId="178" fontId="1" fillId="48" borderId="199" xfId="3" applyNumberFormat="1" applyFill="1" applyBorder="1" applyAlignment="1" applyProtection="1">
      <alignment horizontal="center" vertical="center"/>
    </xf>
    <xf numFmtId="178" fontId="1" fillId="48" borderId="196" xfId="3" applyNumberFormat="1" applyFill="1" applyBorder="1" applyAlignment="1" applyProtection="1">
      <alignment horizontal="center" vertical="center"/>
    </xf>
    <xf numFmtId="178" fontId="1" fillId="48" borderId="200" xfId="3" applyNumberFormat="1" applyFill="1" applyBorder="1" applyAlignment="1" applyProtection="1">
      <alignment horizontal="center" vertical="center"/>
    </xf>
    <xf numFmtId="178" fontId="1" fillId="48" borderId="201" xfId="3" applyNumberFormat="1" applyFill="1" applyBorder="1" applyAlignment="1" applyProtection="1">
      <alignment horizontal="center" vertical="center"/>
    </xf>
    <xf numFmtId="178" fontId="1" fillId="51" borderId="199" xfId="3" applyNumberFormat="1" applyFill="1" applyBorder="1" applyAlignment="1" applyProtection="1">
      <alignment horizontal="center" vertical="center"/>
    </xf>
    <xf numFmtId="178" fontId="1" fillId="51" borderId="196" xfId="3" applyNumberFormat="1" applyFill="1" applyBorder="1" applyAlignment="1" applyProtection="1">
      <alignment horizontal="center" vertical="center"/>
    </xf>
    <xf numFmtId="178" fontId="1" fillId="51" borderId="200" xfId="3" applyNumberFormat="1" applyFill="1" applyBorder="1" applyAlignment="1" applyProtection="1">
      <alignment horizontal="center" vertical="center"/>
    </xf>
    <xf numFmtId="164" fontId="0" fillId="38" borderId="175" xfId="2" applyNumberFormat="1" applyFont="1" applyFill="1" applyBorder="1" applyAlignment="1" applyProtection="1">
      <alignment vertical="center"/>
    </xf>
    <xf numFmtId="164" fontId="0" fillId="38" borderId="50" xfId="2" applyNumberFormat="1" applyFont="1" applyFill="1" applyBorder="1" applyAlignment="1" applyProtection="1">
      <alignment vertical="center"/>
    </xf>
    <xf numFmtId="164" fontId="0" fillId="50" borderId="175" xfId="2" applyNumberFormat="1" applyFont="1" applyFill="1" applyBorder="1" applyAlignment="1" applyProtection="1">
      <alignment vertical="center"/>
    </xf>
    <xf numFmtId="164" fontId="0" fillId="38" borderId="192" xfId="2" applyNumberFormat="1" applyFont="1" applyFill="1" applyBorder="1" applyAlignment="1" applyProtection="1">
      <alignment vertical="center"/>
    </xf>
    <xf numFmtId="178" fontId="1" fillId="48" borderId="63" xfId="3" applyNumberFormat="1" applyFill="1" applyBorder="1" applyAlignment="1" applyProtection="1">
      <alignment horizontal="center" vertical="center"/>
    </xf>
    <xf numFmtId="178" fontId="1" fillId="48" borderId="106" xfId="3" applyNumberFormat="1" applyFill="1" applyBorder="1" applyAlignment="1" applyProtection="1">
      <alignment horizontal="center" vertical="center"/>
    </xf>
    <xf numFmtId="178" fontId="1" fillId="48" borderId="110" xfId="3" applyNumberFormat="1" applyFill="1" applyBorder="1" applyAlignment="1" applyProtection="1">
      <alignment horizontal="center" vertical="center"/>
    </xf>
    <xf numFmtId="178" fontId="1" fillId="48" borderId="205" xfId="3" applyNumberFormat="1" applyFill="1" applyBorder="1" applyAlignment="1" applyProtection="1">
      <alignment horizontal="center" vertical="center"/>
    </xf>
    <xf numFmtId="178" fontId="1" fillId="48" borderId="206" xfId="3" applyNumberFormat="1" applyFill="1" applyBorder="1" applyAlignment="1" applyProtection="1">
      <alignment horizontal="center" vertical="center"/>
    </xf>
    <xf numFmtId="178" fontId="1" fillId="48" borderId="207" xfId="3" applyNumberFormat="1" applyFill="1" applyBorder="1" applyAlignment="1" applyProtection="1">
      <alignment horizontal="center" vertical="center"/>
    </xf>
    <xf numFmtId="0" fontId="4" fillId="3" borderId="203" xfId="0" applyFont="1" applyFill="1" applyBorder="1" applyAlignment="1">
      <alignment horizontal="center" vertical="center"/>
    </xf>
    <xf numFmtId="0" fontId="24" fillId="7" borderId="28" xfId="0" applyFont="1" applyFill="1" applyBorder="1" applyAlignment="1" applyProtection="1">
      <alignment horizontal="left" vertical="center"/>
      <protection locked="0"/>
    </xf>
    <xf numFmtId="0" fontId="0" fillId="27" borderId="209" xfId="0" applyFill="1" applyBorder="1" applyAlignment="1" applyProtection="1">
      <alignment horizontal="left" vertical="center"/>
      <protection locked="0"/>
    </xf>
    <xf numFmtId="0" fontId="0" fillId="7" borderId="209" xfId="0" applyFill="1" applyBorder="1" applyAlignment="1" applyProtection="1">
      <alignment horizontal="left" vertical="center"/>
      <protection locked="0"/>
    </xf>
    <xf numFmtId="0" fontId="0" fillId="7" borderId="28" xfId="0" applyFill="1" applyBorder="1" applyAlignment="1" applyProtection="1">
      <alignment horizontal="left" vertical="center"/>
      <protection locked="0"/>
    </xf>
    <xf numFmtId="0" fontId="0" fillId="7" borderId="204" xfId="0" applyFill="1" applyBorder="1" applyAlignment="1" applyProtection="1">
      <alignment horizontal="left" vertical="center"/>
      <protection locked="0"/>
    </xf>
    <xf numFmtId="0" fontId="4" fillId="8" borderId="119" xfId="0" applyFont="1" applyFill="1" applyBorder="1" applyAlignment="1">
      <alignment horizontal="center" vertical="center" wrapText="1"/>
    </xf>
    <xf numFmtId="0" fontId="4" fillId="3" borderId="119" xfId="0" applyFont="1" applyFill="1" applyBorder="1" applyAlignment="1">
      <alignment horizontal="center" vertical="center"/>
    </xf>
    <xf numFmtId="0" fontId="4" fillId="8" borderId="114" xfId="0" applyFont="1" applyFill="1" applyBorder="1" applyAlignment="1">
      <alignment horizontal="center" vertical="center" wrapText="1"/>
    </xf>
    <xf numFmtId="164" fontId="0" fillId="27" borderId="177" xfId="2" applyNumberFormat="1" applyFont="1" applyFill="1" applyBorder="1" applyAlignment="1" applyProtection="1">
      <alignment vertical="center"/>
      <protection locked="0"/>
    </xf>
    <xf numFmtId="164" fontId="0" fillId="7" borderId="177" xfId="2" applyNumberFormat="1" applyFont="1" applyFill="1" applyBorder="1" applyAlignment="1" applyProtection="1">
      <alignment vertical="center"/>
      <protection locked="0"/>
    </xf>
    <xf numFmtId="164" fontId="0" fillId="7" borderId="161" xfId="2" applyNumberFormat="1" applyFont="1" applyFill="1" applyBorder="1" applyAlignment="1" applyProtection="1">
      <alignment vertical="center"/>
      <protection locked="0"/>
    </xf>
    <xf numFmtId="164" fontId="0" fillId="7" borderId="131" xfId="2" applyNumberFormat="1" applyFont="1" applyFill="1" applyBorder="1" applyAlignment="1" applyProtection="1">
      <alignment vertical="center"/>
      <protection locked="0"/>
    </xf>
    <xf numFmtId="164" fontId="0" fillId="38" borderId="162" xfId="2" applyNumberFormat="1" applyFont="1" applyFill="1" applyBorder="1" applyAlignment="1" applyProtection="1">
      <alignment vertical="center"/>
    </xf>
    <xf numFmtId="164" fontId="0" fillId="38" borderId="210" xfId="2" applyNumberFormat="1" applyFont="1" applyFill="1" applyBorder="1" applyAlignment="1" applyProtection="1">
      <alignment vertical="center"/>
    </xf>
    <xf numFmtId="164" fontId="0" fillId="36" borderId="210" xfId="2" applyNumberFormat="1" applyFont="1" applyFill="1" applyBorder="1" applyAlignment="1" applyProtection="1">
      <alignment vertical="center"/>
    </xf>
    <xf numFmtId="0" fontId="24" fillId="7" borderId="187" xfId="0" applyFont="1" applyFill="1" applyBorder="1" applyAlignment="1" applyProtection="1">
      <alignment horizontal="left" vertical="center"/>
      <protection locked="0"/>
    </xf>
    <xf numFmtId="164" fontId="24" fillId="7" borderId="28" xfId="2" applyNumberFormat="1" applyFont="1" applyFill="1" applyBorder="1" applyAlignment="1" applyProtection="1">
      <alignment vertical="center"/>
      <protection locked="0"/>
    </xf>
    <xf numFmtId="0" fontId="0" fillId="27" borderId="202" xfId="0" applyFill="1" applyBorder="1" applyAlignment="1" applyProtection="1">
      <alignment horizontal="left" vertical="center"/>
      <protection locked="0"/>
    </xf>
    <xf numFmtId="0" fontId="0" fillId="7" borderId="202" xfId="0" applyFill="1" applyBorder="1" applyAlignment="1" applyProtection="1">
      <alignment horizontal="left" vertical="center"/>
      <protection locked="0"/>
    </xf>
    <xf numFmtId="0" fontId="0" fillId="7" borderId="187" xfId="0" applyFill="1" applyBorder="1" applyAlignment="1" applyProtection="1">
      <alignment horizontal="left" vertical="center"/>
      <protection locked="0"/>
    </xf>
    <xf numFmtId="164" fontId="0" fillId="7" borderId="28" xfId="2" applyNumberFormat="1" applyFont="1" applyFill="1" applyBorder="1" applyAlignment="1" applyProtection="1">
      <alignment vertical="center"/>
      <protection locked="0"/>
    </xf>
    <xf numFmtId="164" fontId="0" fillId="7" borderId="186" xfId="2" applyNumberFormat="1" applyFont="1" applyFill="1" applyBorder="1" applyAlignment="1" applyProtection="1">
      <alignment vertical="center"/>
      <protection locked="0"/>
    </xf>
    <xf numFmtId="0" fontId="0" fillId="7" borderId="199" xfId="0" applyFill="1" applyBorder="1" applyAlignment="1" applyProtection="1">
      <alignment horizontal="left" vertical="center"/>
      <protection locked="0"/>
    </xf>
    <xf numFmtId="164" fontId="0" fillId="7" borderId="200" xfId="2" applyNumberFormat="1" applyFont="1" applyFill="1" applyBorder="1" applyAlignment="1" applyProtection="1">
      <alignment vertical="center"/>
      <protection locked="0"/>
    </xf>
    <xf numFmtId="164" fontId="0" fillId="7" borderId="39" xfId="2" applyNumberFormat="1" applyFont="1" applyFill="1" applyBorder="1" applyAlignment="1" applyProtection="1">
      <alignment vertical="center"/>
      <protection locked="0"/>
    </xf>
    <xf numFmtId="164" fontId="4" fillId="15" borderId="24" xfId="0" applyNumberFormat="1" applyFont="1" applyFill="1" applyBorder="1" applyAlignment="1">
      <alignment horizontal="center" vertical="center" wrapText="1"/>
    </xf>
    <xf numFmtId="164" fontId="4" fillId="15" borderId="211" xfId="0" applyNumberFormat="1" applyFont="1" applyFill="1" applyBorder="1" applyAlignment="1">
      <alignment horizontal="center" vertical="center" wrapText="1"/>
    </xf>
    <xf numFmtId="164" fontId="4" fillId="15" borderId="212"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89" xfId="0" applyFont="1" applyFill="1" applyBorder="1" applyAlignment="1">
      <alignment horizontal="center" vertical="center" wrapText="1"/>
    </xf>
    <xf numFmtId="0" fontId="4" fillId="8" borderId="190" xfId="0" applyFont="1" applyFill="1" applyBorder="1" applyAlignment="1">
      <alignment horizontal="center" vertical="center" wrapText="1"/>
    </xf>
    <xf numFmtId="164" fontId="0" fillId="39" borderId="82" xfId="2" applyNumberFormat="1" applyFont="1" applyFill="1" applyBorder="1" applyAlignment="1" applyProtection="1">
      <alignment vertical="center"/>
    </xf>
    <xf numFmtId="9" fontId="6" fillId="2" borderId="0" xfId="3" applyFont="1" applyFill="1" applyAlignment="1">
      <alignment horizontal="center"/>
    </xf>
    <xf numFmtId="168" fontId="0" fillId="7" borderId="215" xfId="2" applyNumberFormat="1" applyFont="1" applyFill="1" applyBorder="1" applyAlignment="1" applyProtection="1">
      <alignment horizontal="center" vertical="center"/>
      <protection locked="0"/>
    </xf>
    <xf numFmtId="168" fontId="0" fillId="7" borderId="181" xfId="2" applyNumberFormat="1" applyFont="1" applyFill="1" applyBorder="1" applyAlignment="1" applyProtection="1">
      <alignment horizontal="center" vertical="center"/>
      <protection locked="0"/>
    </xf>
    <xf numFmtId="0" fontId="0" fillId="2" borderId="225" xfId="0" applyFill="1" applyBorder="1"/>
    <xf numFmtId="9" fontId="0" fillId="2" borderId="231" xfId="3" applyFont="1" applyFill="1" applyBorder="1" applyAlignment="1">
      <alignment horizontal="center"/>
    </xf>
    <xf numFmtId="9" fontId="0" fillId="2" borderId="181" xfId="3" applyFont="1" applyFill="1" applyBorder="1" applyAlignment="1">
      <alignment horizontal="center"/>
    </xf>
    <xf numFmtId="9" fontId="0" fillId="2" borderId="90" xfId="3" applyFont="1" applyFill="1" applyBorder="1" applyAlignment="1">
      <alignment horizontal="center"/>
    </xf>
    <xf numFmtId="9" fontId="2" fillId="2" borderId="225" xfId="3" applyFont="1" applyFill="1" applyBorder="1" applyAlignment="1">
      <alignment horizontal="center"/>
    </xf>
    <xf numFmtId="6" fontId="26" fillId="2" borderId="232" xfId="0" applyNumberFormat="1" applyFont="1" applyFill="1" applyBorder="1" applyAlignment="1">
      <alignment horizontal="right" vertical="center" wrapText="1"/>
    </xf>
    <xf numFmtId="9" fontId="0" fillId="2" borderId="0" xfId="0" applyNumberFormat="1" applyFill="1"/>
    <xf numFmtId="6" fontId="0" fillId="2" borderId="0" xfId="0" applyNumberFormat="1" applyFill="1"/>
    <xf numFmtId="0" fontId="2" fillId="2" borderId="119" xfId="0" applyFont="1" applyFill="1" applyBorder="1" applyAlignment="1">
      <alignment horizontal="center"/>
    </xf>
    <xf numFmtId="42" fontId="0" fillId="2" borderId="0" xfId="6" applyFont="1" applyFill="1"/>
    <xf numFmtId="0" fontId="2" fillId="2" borderId="0" xfId="0" applyFont="1" applyFill="1"/>
    <xf numFmtId="42" fontId="1" fillId="2" borderId="0" xfId="6" applyFont="1" applyFill="1"/>
    <xf numFmtId="42" fontId="2" fillId="2" borderId="0" xfId="6" applyFont="1" applyFill="1"/>
    <xf numFmtId="42" fontId="24" fillId="2" borderId="0" xfId="6" applyFont="1" applyFill="1"/>
    <xf numFmtId="9" fontId="0" fillId="2" borderId="0" xfId="3" applyFont="1" applyFill="1" applyAlignment="1">
      <alignment horizontal="center"/>
    </xf>
    <xf numFmtId="9" fontId="24" fillId="2" borderId="0" xfId="3" applyFont="1" applyFill="1" applyAlignment="1">
      <alignment horizontal="center"/>
    </xf>
    <xf numFmtId="9" fontId="2" fillId="2" borderId="0" xfId="3" applyFont="1" applyFill="1" applyAlignment="1">
      <alignment horizontal="center"/>
    </xf>
    <xf numFmtId="42" fontId="0" fillId="2" borderId="0" xfId="0" applyNumberFormat="1" applyFill="1"/>
    <xf numFmtId="1" fontId="0" fillId="2" borderId="119" xfId="0" applyNumberFormat="1" applyFill="1" applyBorder="1" applyAlignment="1">
      <alignment horizontal="center"/>
    </xf>
    <xf numFmtId="0" fontId="0" fillId="2" borderId="0" xfId="0" applyFill="1" applyAlignment="1">
      <alignment horizontal="center"/>
    </xf>
    <xf numFmtId="42" fontId="24" fillId="2" borderId="0" xfId="0" applyNumberFormat="1" applyFont="1" applyFill="1"/>
    <xf numFmtId="9" fontId="0" fillId="2" borderId="0" xfId="0" applyNumberFormat="1" applyFill="1" applyAlignment="1">
      <alignment horizontal="center"/>
    </xf>
    <xf numFmtId="6" fontId="26" fillId="57" borderId="232" xfId="0" applyNumberFormat="1" applyFont="1" applyFill="1" applyBorder="1" applyAlignment="1">
      <alignment horizontal="right" vertical="center" wrapText="1"/>
    </xf>
    <xf numFmtId="6" fontId="26" fillId="42" borderId="232" xfId="0" applyNumberFormat="1" applyFont="1" applyFill="1" applyBorder="1" applyAlignment="1">
      <alignment horizontal="right" vertical="center" wrapText="1"/>
    </xf>
    <xf numFmtId="0" fontId="2" fillId="2" borderId="214" xfId="0" applyFont="1" applyFill="1" applyBorder="1" applyAlignment="1">
      <alignment horizontal="center"/>
    </xf>
    <xf numFmtId="0" fontId="2" fillId="2" borderId="213" xfId="0" applyFont="1" applyFill="1" applyBorder="1" applyAlignment="1">
      <alignment horizontal="center"/>
    </xf>
    <xf numFmtId="0" fontId="0" fillId="2" borderId="228" xfId="0" applyFill="1" applyBorder="1" applyAlignment="1">
      <alignment horizontal="left"/>
    </xf>
    <xf numFmtId="0" fontId="0" fillId="2" borderId="70" xfId="0" applyFill="1" applyBorder="1" applyAlignment="1">
      <alignment horizontal="left"/>
    </xf>
    <xf numFmtId="0" fontId="0" fillId="2" borderId="229" xfId="0" applyFill="1" applyBorder="1" applyAlignment="1">
      <alignment horizontal="left"/>
    </xf>
    <xf numFmtId="0" fontId="0" fillId="2" borderId="230" xfId="0" applyFill="1" applyBorder="1" applyAlignment="1">
      <alignment horizontal="left"/>
    </xf>
    <xf numFmtId="0" fontId="0" fillId="2" borderId="225" xfId="0" applyFill="1" applyBorder="1" applyAlignment="1">
      <alignment horizontal="left"/>
    </xf>
    <xf numFmtId="42" fontId="0" fillId="2" borderId="225" xfId="6" applyFont="1" applyFill="1" applyBorder="1"/>
    <xf numFmtId="0" fontId="0" fillId="2" borderId="225" xfId="0" applyFill="1" applyBorder="1" applyAlignment="1">
      <alignment horizontal="center"/>
    </xf>
    <xf numFmtId="6" fontId="2" fillId="55" borderId="0" xfId="0" applyNumberFormat="1" applyFont="1" applyFill="1"/>
    <xf numFmtId="9" fontId="0" fillId="2" borderId="0" xfId="3" applyFont="1" applyFill="1"/>
    <xf numFmtId="9" fontId="0" fillId="2" borderId="225" xfId="0" applyNumberFormat="1" applyFill="1" applyBorder="1" applyAlignment="1">
      <alignment horizontal="center"/>
    </xf>
    <xf numFmtId="9" fontId="0" fillId="2" borderId="225" xfId="3" applyFont="1" applyFill="1" applyBorder="1" applyAlignment="1">
      <alignment horizontal="center"/>
    </xf>
    <xf numFmtId="10" fontId="0" fillId="2" borderId="0" xfId="0" applyNumberFormat="1" applyFill="1"/>
    <xf numFmtId="180" fontId="0" fillId="2" borderId="0" xfId="0" applyNumberFormat="1" applyFill="1"/>
    <xf numFmtId="167" fontId="0" fillId="7" borderId="0" xfId="0" applyNumberFormat="1" applyFill="1"/>
    <xf numFmtId="0" fontId="0" fillId="2" borderId="70" xfId="0" applyFill="1" applyBorder="1"/>
    <xf numFmtId="0" fontId="24" fillId="7" borderId="47" xfId="0" applyFont="1" applyFill="1" applyBorder="1" applyAlignment="1" applyProtection="1">
      <alignment horizontal="left" vertical="center"/>
      <protection locked="0"/>
    </xf>
    <xf numFmtId="164" fontId="0" fillId="19" borderId="132" xfId="2" applyNumberFormat="1" applyFont="1" applyFill="1" applyBorder="1" applyAlignment="1" applyProtection="1">
      <alignment vertical="center"/>
    </xf>
    <xf numFmtId="164" fontId="0" fillId="19" borderId="142" xfId="2" applyNumberFormat="1" applyFont="1" applyFill="1" applyBorder="1" applyAlignment="1" applyProtection="1">
      <alignment vertical="center"/>
    </xf>
    <xf numFmtId="164" fontId="0" fillId="12" borderId="133" xfId="2" applyNumberFormat="1" applyFont="1" applyFill="1" applyBorder="1" applyAlignment="1" applyProtection="1">
      <alignment vertical="center"/>
    </xf>
    <xf numFmtId="164" fontId="0" fillId="12" borderId="151" xfId="2" applyNumberFormat="1" applyFont="1" applyFill="1" applyBorder="1" applyAlignment="1" applyProtection="1">
      <alignment vertical="center"/>
    </xf>
    <xf numFmtId="164" fontId="10" fillId="18" borderId="64" xfId="0" applyNumberFormat="1" applyFont="1" applyFill="1" applyBorder="1" applyAlignment="1">
      <alignment vertical="center"/>
    </xf>
    <xf numFmtId="164" fontId="10" fillId="18" borderId="148" xfId="0" applyNumberFormat="1" applyFont="1" applyFill="1" applyBorder="1" applyAlignment="1">
      <alignment vertical="center"/>
    </xf>
    <xf numFmtId="164" fontId="0" fillId="19" borderId="137" xfId="2" applyNumberFormat="1" applyFont="1" applyFill="1" applyBorder="1" applyAlignment="1" applyProtection="1">
      <alignment vertical="center"/>
    </xf>
    <xf numFmtId="164" fontId="0" fillId="12" borderId="143" xfId="2" applyNumberFormat="1" applyFont="1" applyFill="1" applyBorder="1" applyAlignment="1" applyProtection="1">
      <alignment vertical="center"/>
    </xf>
    <xf numFmtId="164" fontId="0" fillId="19" borderId="146" xfId="2" applyNumberFormat="1" applyFont="1" applyFill="1" applyBorder="1" applyAlignment="1" applyProtection="1">
      <alignment vertical="center"/>
    </xf>
    <xf numFmtId="164" fontId="0" fillId="19" borderId="83" xfId="2" applyNumberFormat="1" applyFont="1" applyFill="1" applyBorder="1" applyAlignment="1" applyProtection="1">
      <alignment vertical="center"/>
    </xf>
    <xf numFmtId="164" fontId="0" fillId="12" borderId="147" xfId="2" applyNumberFormat="1" applyFont="1" applyFill="1" applyBorder="1" applyAlignment="1" applyProtection="1">
      <alignment vertical="center"/>
    </xf>
    <xf numFmtId="164" fontId="0" fillId="12" borderId="23" xfId="2" applyNumberFormat="1" applyFont="1" applyFill="1" applyBorder="1" applyAlignment="1" applyProtection="1">
      <alignment vertical="center"/>
    </xf>
    <xf numFmtId="164" fontId="25" fillId="1" borderId="146" xfId="0" applyNumberFormat="1" applyFont="1" applyFill="1" applyBorder="1" applyAlignment="1">
      <alignment vertical="center"/>
    </xf>
    <xf numFmtId="164" fontId="25" fillId="1" borderId="83" xfId="0" applyNumberFormat="1" applyFont="1" applyFill="1" applyBorder="1" applyAlignment="1">
      <alignment vertical="center"/>
    </xf>
    <xf numFmtId="164" fontId="24" fillId="19" borderId="132" xfId="2" applyNumberFormat="1" applyFont="1" applyFill="1" applyBorder="1" applyAlignment="1" applyProtection="1">
      <alignment vertical="center"/>
    </xf>
    <xf numFmtId="164" fontId="24" fillId="19" borderId="137" xfId="2" applyNumberFormat="1" applyFont="1" applyFill="1" applyBorder="1" applyAlignment="1" applyProtection="1">
      <alignment vertical="center"/>
    </xf>
    <xf numFmtId="164" fontId="24" fillId="12" borderId="133" xfId="2" applyNumberFormat="1" applyFont="1" applyFill="1" applyBorder="1" applyAlignment="1" applyProtection="1">
      <alignment vertical="center"/>
    </xf>
    <xf numFmtId="164" fontId="24" fillId="12" borderId="143" xfId="2" applyNumberFormat="1" applyFont="1" applyFill="1" applyBorder="1" applyAlignment="1" applyProtection="1">
      <alignment vertical="center"/>
    </xf>
    <xf numFmtId="164" fontId="25" fillId="19" borderId="132" xfId="2" applyNumberFormat="1" applyFont="1" applyFill="1" applyBorder="1" applyAlignment="1" applyProtection="1">
      <alignment vertical="center"/>
    </xf>
    <xf numFmtId="164" fontId="25" fillId="19" borderId="142" xfId="2" applyNumberFormat="1" applyFont="1" applyFill="1" applyBorder="1" applyAlignment="1" applyProtection="1">
      <alignment vertical="center"/>
    </xf>
    <xf numFmtId="164" fontId="10" fillId="18" borderId="114" xfId="0" applyNumberFormat="1" applyFont="1" applyFill="1" applyBorder="1" applyAlignment="1">
      <alignment vertical="center"/>
    </xf>
    <xf numFmtId="164" fontId="10" fillId="18" borderId="115" xfId="0" applyNumberFormat="1" applyFont="1" applyFill="1" applyBorder="1" applyAlignment="1">
      <alignment vertical="center"/>
    </xf>
    <xf numFmtId="164" fontId="25" fillId="12" borderId="133" xfId="2" applyNumberFormat="1" applyFont="1" applyFill="1" applyBorder="1" applyAlignment="1" applyProtection="1">
      <alignment vertical="center"/>
    </xf>
    <xf numFmtId="164" fontId="25" fillId="12" borderId="151" xfId="2" applyNumberFormat="1" applyFont="1" applyFill="1" applyBorder="1" applyAlignment="1" applyProtection="1">
      <alignment vertical="center"/>
    </xf>
    <xf numFmtId="164" fontId="0" fillId="1" borderId="146" xfId="0" applyNumberFormat="1" applyFill="1" applyBorder="1" applyAlignment="1">
      <alignment vertical="center"/>
    </xf>
    <xf numFmtId="164" fontId="0" fillId="1" borderId="83" xfId="0" applyNumberFormat="1" applyFill="1" applyBorder="1" applyAlignment="1">
      <alignment vertical="center"/>
    </xf>
    <xf numFmtId="164" fontId="0" fillId="12" borderId="132" xfId="2" applyNumberFormat="1" applyFont="1" applyFill="1" applyBorder="1" applyAlignment="1" applyProtection="1">
      <alignment vertical="center"/>
    </xf>
    <xf numFmtId="164" fontId="0" fillId="12" borderId="137" xfId="2" applyNumberFormat="1" applyFont="1" applyFill="1" applyBorder="1" applyAlignment="1" applyProtection="1">
      <alignment vertical="center"/>
    </xf>
    <xf numFmtId="164" fontId="0" fillId="1" borderId="147" xfId="0" applyNumberFormat="1" applyFill="1" applyBorder="1" applyAlignment="1">
      <alignment vertical="center"/>
    </xf>
    <xf numFmtId="164" fontId="0" fillId="1" borderId="23" xfId="0" applyNumberFormat="1" applyFill="1" applyBorder="1" applyAlignment="1">
      <alignment vertical="center"/>
    </xf>
    <xf numFmtId="0" fontId="0" fillId="2" borderId="238" xfId="0" applyFill="1" applyBorder="1" applyAlignment="1">
      <alignment horizontal="left" vertical="center"/>
    </xf>
    <xf numFmtId="0" fontId="0" fillId="2" borderId="203" xfId="0" applyFill="1" applyBorder="1" applyAlignment="1">
      <alignment horizontal="left" vertical="center"/>
    </xf>
    <xf numFmtId="0" fontId="0" fillId="2" borderId="223" xfId="0" applyFill="1" applyBorder="1" applyAlignment="1">
      <alignment horizontal="left" vertical="center"/>
    </xf>
    <xf numFmtId="166" fontId="0" fillId="2" borderId="239" xfId="2" applyNumberFormat="1" applyFont="1" applyFill="1" applyBorder="1" applyAlignment="1" applyProtection="1">
      <alignment vertical="center"/>
    </xf>
    <xf numFmtId="166" fontId="0" fillId="2" borderId="240" xfId="2" applyNumberFormat="1" applyFont="1" applyFill="1" applyBorder="1" applyAlignment="1" applyProtection="1">
      <alignment vertical="center"/>
    </xf>
    <xf numFmtId="166" fontId="0" fillId="2" borderId="241" xfId="2" applyNumberFormat="1" applyFont="1" applyFill="1" applyBorder="1" applyAlignment="1" applyProtection="1">
      <alignment vertical="center"/>
    </xf>
    <xf numFmtId="166" fontId="0" fillId="2" borderId="242" xfId="2" applyNumberFormat="1" applyFont="1" applyFill="1" applyBorder="1" applyAlignment="1" applyProtection="1">
      <alignment vertical="center"/>
    </xf>
    <xf numFmtId="166" fontId="0" fillId="2" borderId="244" xfId="2" applyNumberFormat="1" applyFont="1" applyFill="1" applyBorder="1" applyAlignment="1" applyProtection="1">
      <alignment vertical="center"/>
    </xf>
    <xf numFmtId="166" fontId="0" fillId="2" borderId="245" xfId="2" applyNumberFormat="1" applyFont="1" applyFill="1" applyBorder="1" applyAlignment="1" applyProtection="1">
      <alignment vertical="center"/>
    </xf>
    <xf numFmtId="167" fontId="0" fillId="26" borderId="69" xfId="2" applyNumberFormat="1" applyFont="1" applyFill="1" applyBorder="1" applyAlignment="1" applyProtection="1">
      <alignment vertical="center"/>
    </xf>
    <xf numFmtId="167" fontId="0" fillId="26" borderId="62" xfId="2" applyNumberFormat="1" applyFont="1" applyFill="1" applyBorder="1" applyAlignment="1" applyProtection="1">
      <alignment vertical="center"/>
    </xf>
    <xf numFmtId="168" fontId="0" fillId="27" borderId="69" xfId="2" applyNumberFormat="1" applyFont="1" applyFill="1" applyBorder="1" applyAlignment="1" applyProtection="1">
      <alignment vertical="center"/>
    </xf>
    <xf numFmtId="168" fontId="0" fillId="27" borderId="180" xfId="2" applyNumberFormat="1" applyFont="1" applyFill="1" applyBorder="1" applyAlignment="1" applyProtection="1">
      <alignment vertical="center"/>
    </xf>
    <xf numFmtId="168" fontId="0" fillId="7" borderId="239" xfId="2" applyNumberFormat="1" applyFont="1" applyFill="1" applyBorder="1" applyAlignment="1" applyProtection="1">
      <alignment horizontal="center" vertical="center"/>
      <protection locked="0"/>
    </xf>
    <xf numFmtId="168" fontId="0" fillId="7" borderId="240" xfId="2" applyNumberFormat="1" applyFont="1" applyFill="1" applyBorder="1" applyAlignment="1" applyProtection="1">
      <alignment horizontal="center" vertical="center"/>
      <protection locked="0"/>
    </xf>
    <xf numFmtId="172" fontId="0" fillId="0" borderId="203" xfId="2" applyNumberFormat="1" applyFont="1" applyFill="1" applyBorder="1" applyAlignment="1" applyProtection="1">
      <alignment vertical="center"/>
    </xf>
    <xf numFmtId="172" fontId="0" fillId="0" borderId="223" xfId="2" applyNumberFormat="1" applyFont="1" applyFill="1" applyBorder="1" applyAlignment="1" applyProtection="1">
      <alignment vertical="center"/>
    </xf>
    <xf numFmtId="164" fontId="0" fillId="36" borderId="246" xfId="2" applyNumberFormat="1" applyFont="1" applyFill="1" applyBorder="1" applyAlignment="1" applyProtection="1">
      <alignment vertical="center"/>
    </xf>
    <xf numFmtId="164" fontId="0" fillId="38" borderId="239" xfId="2" applyNumberFormat="1" applyFont="1" applyFill="1" applyBorder="1" applyAlignment="1" applyProtection="1">
      <alignment vertical="center"/>
    </xf>
    <xf numFmtId="164" fontId="0" fillId="38" borderId="240" xfId="2" applyNumberFormat="1" applyFont="1" applyFill="1" applyBorder="1" applyAlignment="1" applyProtection="1">
      <alignment vertical="center"/>
    </xf>
    <xf numFmtId="164" fontId="0" fillId="49" borderId="252" xfId="2" applyNumberFormat="1" applyFont="1" applyFill="1" applyBorder="1" applyAlignment="1" applyProtection="1">
      <alignment vertical="center"/>
    </xf>
    <xf numFmtId="164" fontId="0" fillId="48" borderId="239" xfId="2" applyNumberFormat="1" applyFont="1" applyFill="1" applyBorder="1" applyAlignment="1" applyProtection="1">
      <alignment vertical="center"/>
    </xf>
    <xf numFmtId="164" fontId="0" fillId="48" borderId="254" xfId="2" applyNumberFormat="1" applyFont="1" applyFill="1" applyBorder="1" applyAlignment="1" applyProtection="1">
      <alignment vertical="center"/>
    </xf>
    <xf numFmtId="164" fontId="0" fillId="1" borderId="246" xfId="2" applyNumberFormat="1" applyFont="1" applyFill="1" applyBorder="1" applyAlignment="1" applyProtection="1">
      <alignment vertical="center"/>
    </xf>
    <xf numFmtId="164" fontId="0" fillId="0" borderId="239" xfId="2" applyNumberFormat="1" applyFont="1" applyFill="1" applyBorder="1" applyAlignment="1" applyProtection="1">
      <alignment vertical="center"/>
    </xf>
    <xf numFmtId="164" fontId="0" fillId="0" borderId="254" xfId="2" applyNumberFormat="1" applyFont="1" applyFill="1" applyBorder="1" applyAlignment="1" applyProtection="1">
      <alignment vertical="center"/>
    </xf>
    <xf numFmtId="177" fontId="0" fillId="0" borderId="246" xfId="3" applyNumberFormat="1" applyFont="1" applyBorder="1" applyAlignment="1">
      <alignment horizontal="center" vertical="center"/>
    </xf>
    <xf numFmtId="177" fontId="0" fillId="0" borderId="239" xfId="3" applyNumberFormat="1" applyFont="1" applyBorder="1" applyAlignment="1">
      <alignment horizontal="center" vertical="center"/>
    </xf>
    <xf numFmtId="177" fontId="0" fillId="0" borderId="240" xfId="3" applyNumberFormat="1" applyFont="1" applyBorder="1" applyAlignment="1">
      <alignment horizontal="center" vertical="center"/>
    </xf>
    <xf numFmtId="164" fontId="0" fillId="36" borderId="69" xfId="2" applyNumberFormat="1" applyFont="1" applyFill="1" applyBorder="1" applyAlignment="1" applyProtection="1">
      <alignment vertical="center"/>
    </xf>
    <xf numFmtId="164" fontId="0" fillId="38" borderId="241" xfId="2" applyNumberFormat="1" applyFont="1" applyFill="1" applyBorder="1" applyAlignment="1" applyProtection="1">
      <alignment vertical="center"/>
    </xf>
    <xf numFmtId="164" fontId="0" fillId="38" borderId="242" xfId="2" applyNumberFormat="1" applyFont="1" applyFill="1" applyBorder="1" applyAlignment="1" applyProtection="1">
      <alignment vertical="center"/>
    </xf>
    <xf numFmtId="164" fontId="0" fillId="49" borderId="74" xfId="2" applyNumberFormat="1" applyFont="1" applyFill="1" applyBorder="1" applyAlignment="1" applyProtection="1">
      <alignment vertical="center"/>
    </xf>
    <xf numFmtId="164" fontId="0" fillId="48" borderId="241" xfId="2" applyNumberFormat="1" applyFont="1" applyFill="1" applyBorder="1" applyAlignment="1" applyProtection="1">
      <alignment vertical="center"/>
    </xf>
    <xf numFmtId="164" fontId="0" fillId="48" borderId="104" xfId="2" applyNumberFormat="1" applyFont="1" applyFill="1" applyBorder="1" applyAlignment="1" applyProtection="1">
      <alignment vertical="center"/>
    </xf>
    <xf numFmtId="164" fontId="0" fillId="1" borderId="69" xfId="2" applyNumberFormat="1" applyFont="1" applyFill="1" applyBorder="1" applyAlignment="1" applyProtection="1">
      <alignment vertical="center"/>
    </xf>
    <xf numFmtId="164" fontId="0" fillId="0" borderId="241" xfId="2" applyNumberFormat="1" applyFont="1" applyFill="1" applyBorder="1" applyAlignment="1" applyProtection="1">
      <alignment vertical="center"/>
    </xf>
    <xf numFmtId="164" fontId="0" fillId="0" borderId="104" xfId="2" applyNumberFormat="1" applyFont="1" applyFill="1" applyBorder="1" applyAlignment="1" applyProtection="1">
      <alignment vertical="center"/>
    </xf>
    <xf numFmtId="177" fontId="0" fillId="0" borderId="69" xfId="3" applyNumberFormat="1" applyFont="1" applyBorder="1" applyAlignment="1">
      <alignment horizontal="center" vertical="center"/>
    </xf>
    <xf numFmtId="177" fontId="0" fillId="0" borderId="241" xfId="3" applyNumberFormat="1" applyFont="1" applyBorder="1" applyAlignment="1">
      <alignment horizontal="center" vertical="center"/>
    </xf>
    <xf numFmtId="177" fontId="0" fillId="0" borderId="242" xfId="3" applyNumberFormat="1" applyFont="1" applyBorder="1" applyAlignment="1">
      <alignment horizontal="center" vertical="center"/>
    </xf>
    <xf numFmtId="164" fontId="0" fillId="36" borderId="243" xfId="2" applyNumberFormat="1" applyFont="1" applyFill="1" applyBorder="1" applyAlignment="1" applyProtection="1">
      <alignment vertical="center"/>
    </xf>
    <xf numFmtId="164" fontId="0" fillId="38" borderId="244" xfId="2" applyNumberFormat="1" applyFont="1" applyFill="1" applyBorder="1" applyAlignment="1" applyProtection="1">
      <alignment vertical="center"/>
    </xf>
    <xf numFmtId="164" fontId="0" fillId="38" borderId="245" xfId="2" applyNumberFormat="1" applyFont="1" applyFill="1" applyBorder="1" applyAlignment="1" applyProtection="1">
      <alignment vertical="center"/>
    </xf>
    <xf numFmtId="164" fontId="0" fillId="49" borderId="253" xfId="2" applyNumberFormat="1" applyFont="1" applyFill="1" applyBorder="1" applyAlignment="1" applyProtection="1">
      <alignment vertical="center"/>
    </xf>
    <xf numFmtId="164" fontId="0" fillId="48" borderId="244" xfId="2" applyNumberFormat="1" applyFont="1" applyFill="1" applyBorder="1" applyAlignment="1" applyProtection="1">
      <alignment vertical="center"/>
    </xf>
    <xf numFmtId="164" fontId="0" fillId="48" borderId="255" xfId="2" applyNumberFormat="1" applyFont="1" applyFill="1" applyBorder="1" applyAlignment="1" applyProtection="1">
      <alignment vertical="center"/>
    </xf>
    <xf numFmtId="164" fontId="0" fillId="1" borderId="243" xfId="2" applyNumberFormat="1" applyFont="1" applyFill="1" applyBorder="1" applyAlignment="1" applyProtection="1">
      <alignment vertical="center"/>
    </xf>
    <xf numFmtId="164" fontId="0" fillId="0" borderId="244" xfId="2" applyNumberFormat="1" applyFont="1" applyFill="1" applyBorder="1" applyAlignment="1" applyProtection="1">
      <alignment vertical="center"/>
    </xf>
    <xf numFmtId="164" fontId="0" fillId="0" borderId="255" xfId="2" applyNumberFormat="1" applyFont="1" applyFill="1" applyBorder="1" applyAlignment="1" applyProtection="1">
      <alignment vertical="center"/>
    </xf>
    <xf numFmtId="177" fontId="0" fillId="0" borderId="243" xfId="3" applyNumberFormat="1" applyFont="1" applyBorder="1" applyAlignment="1">
      <alignment horizontal="center" vertical="center"/>
    </xf>
    <xf numFmtId="177" fontId="0" fillId="0" borderId="244" xfId="3" applyNumberFormat="1" applyFont="1" applyBorder="1" applyAlignment="1">
      <alignment horizontal="center" vertical="center"/>
    </xf>
    <xf numFmtId="177" fontId="0" fillId="0" borderId="245" xfId="3" applyNumberFormat="1" applyFont="1" applyBorder="1" applyAlignment="1">
      <alignment horizontal="center" vertical="center"/>
    </xf>
    <xf numFmtId="172" fontId="0" fillId="0" borderId="238" xfId="2" applyNumberFormat="1" applyFont="1" applyFill="1" applyBorder="1" applyAlignment="1" applyProtection="1">
      <alignment vertical="center"/>
    </xf>
    <xf numFmtId="164" fontId="0" fillId="38" borderId="246" xfId="2" applyNumberFormat="1" applyFont="1" applyFill="1" applyBorder="1" applyAlignment="1" applyProtection="1">
      <alignment vertical="center"/>
    </xf>
    <xf numFmtId="178" fontId="1" fillId="48" borderId="246" xfId="3" applyNumberFormat="1" applyFill="1" applyBorder="1" applyAlignment="1" applyProtection="1">
      <alignment horizontal="center" vertical="center"/>
    </xf>
    <xf numFmtId="178" fontId="1" fillId="48" borderId="239" xfId="3" applyNumberFormat="1" applyFill="1" applyBorder="1" applyAlignment="1" applyProtection="1">
      <alignment horizontal="center" vertical="center"/>
    </xf>
    <xf numFmtId="178" fontId="1" fillId="48" borderId="240" xfId="3" applyNumberFormat="1" applyFill="1" applyBorder="1" applyAlignment="1" applyProtection="1">
      <alignment horizontal="center" vertical="center"/>
    </xf>
    <xf numFmtId="0" fontId="0" fillId="7" borderId="238" xfId="0" applyFill="1" applyBorder="1" applyAlignment="1" applyProtection="1">
      <alignment horizontal="left" vertical="center"/>
      <protection locked="0"/>
    </xf>
    <xf numFmtId="164" fontId="0" fillId="7" borderId="59" xfId="2" applyNumberFormat="1" applyFont="1" applyFill="1" applyBorder="1" applyAlignment="1" applyProtection="1">
      <alignment vertical="center"/>
      <protection locked="0"/>
    </xf>
    <xf numFmtId="0" fontId="0" fillId="7" borderId="256" xfId="0" applyFill="1" applyBorder="1" applyAlignment="1" applyProtection="1">
      <alignment horizontal="left" vertical="center"/>
      <protection locked="0"/>
    </xf>
    <xf numFmtId="164" fontId="0" fillId="7" borderId="238" xfId="2" applyNumberFormat="1" applyFont="1" applyFill="1" applyBorder="1" applyAlignment="1" applyProtection="1">
      <alignment vertical="center"/>
      <protection locked="0"/>
    </xf>
    <xf numFmtId="164" fontId="0" fillId="38" borderId="247" xfId="2" applyNumberFormat="1" applyFont="1" applyFill="1" applyBorder="1" applyAlignment="1" applyProtection="1">
      <alignment vertical="center"/>
    </xf>
    <xf numFmtId="172" fontId="0" fillId="0" borderId="220" xfId="2" applyNumberFormat="1" applyFont="1" applyFill="1" applyBorder="1" applyAlignment="1" applyProtection="1">
      <alignment vertical="center"/>
    </xf>
    <xf numFmtId="164" fontId="0" fillId="38" borderId="198" xfId="2" applyNumberFormat="1" applyFont="1" applyFill="1" applyBorder="1" applyAlignment="1" applyProtection="1">
      <alignment vertical="center"/>
    </xf>
    <xf numFmtId="164" fontId="0" fillId="38" borderId="224" xfId="2" applyNumberFormat="1" applyFont="1" applyFill="1" applyBorder="1" applyAlignment="1" applyProtection="1">
      <alignment vertical="center"/>
    </xf>
    <xf numFmtId="164" fontId="0" fillId="38" borderId="257" xfId="2" applyNumberFormat="1" applyFont="1" applyFill="1" applyBorder="1" applyAlignment="1" applyProtection="1">
      <alignment vertical="center"/>
    </xf>
    <xf numFmtId="178" fontId="1" fillId="48" borderId="69" xfId="3" applyNumberFormat="1" applyFill="1" applyBorder="1" applyAlignment="1" applyProtection="1">
      <alignment horizontal="center" vertical="center"/>
    </xf>
    <xf numFmtId="178" fontId="1" fillId="48" borderId="241" xfId="3" applyNumberFormat="1" applyFill="1" applyBorder="1" applyAlignment="1" applyProtection="1">
      <alignment horizontal="center" vertical="center"/>
    </xf>
    <xf numFmtId="178" fontId="1" fillId="48" borderId="242" xfId="3" applyNumberFormat="1" applyFill="1" applyBorder="1" applyAlignment="1" applyProtection="1">
      <alignment horizontal="center" vertical="center"/>
    </xf>
    <xf numFmtId="0" fontId="0" fillId="7" borderId="203" xfId="0" applyFill="1" applyBorder="1" applyAlignment="1" applyProtection="1">
      <alignment horizontal="left" vertical="center"/>
      <protection locked="0"/>
    </xf>
    <xf numFmtId="164" fontId="0" fillId="7" borderId="179" xfId="2" applyNumberFormat="1" applyFont="1" applyFill="1" applyBorder="1" applyAlignment="1" applyProtection="1">
      <alignment vertical="center"/>
      <protection locked="0"/>
    </xf>
    <xf numFmtId="0" fontId="0" fillId="7" borderId="140" xfId="0" applyFill="1" applyBorder="1" applyAlignment="1" applyProtection="1">
      <alignment horizontal="left" vertical="center"/>
      <protection locked="0"/>
    </xf>
    <xf numFmtId="164" fontId="0" fillId="7" borderId="203" xfId="2" applyNumberFormat="1" applyFont="1" applyFill="1" applyBorder="1" applyAlignment="1" applyProtection="1">
      <alignment vertical="center"/>
      <protection locked="0"/>
    </xf>
    <xf numFmtId="164" fontId="0" fillId="38" borderId="178" xfId="2" applyNumberFormat="1" applyFont="1" applyFill="1" applyBorder="1" applyAlignment="1" applyProtection="1">
      <alignment vertical="center"/>
    </xf>
    <xf numFmtId="164" fontId="0" fillId="38" borderId="243" xfId="2" applyNumberFormat="1" applyFont="1" applyFill="1" applyBorder="1" applyAlignment="1" applyProtection="1">
      <alignment vertical="center"/>
    </xf>
    <xf numFmtId="178" fontId="1" fillId="48" borderId="243" xfId="3" applyNumberFormat="1" applyFill="1" applyBorder="1" applyAlignment="1" applyProtection="1">
      <alignment horizontal="center" vertical="center"/>
    </xf>
    <xf numFmtId="178" fontId="1" fillId="48" borderId="244" xfId="3" applyNumberFormat="1" applyFill="1" applyBorder="1" applyAlignment="1" applyProtection="1">
      <alignment horizontal="center" vertical="center"/>
    </xf>
    <xf numFmtId="178" fontId="1" fillId="48" borderId="245" xfId="3" applyNumberFormat="1" applyFill="1" applyBorder="1" applyAlignment="1" applyProtection="1">
      <alignment horizontal="center" vertical="center"/>
    </xf>
    <xf numFmtId="0" fontId="0" fillId="7" borderId="223" xfId="0" applyFill="1" applyBorder="1" applyAlignment="1" applyProtection="1">
      <alignment horizontal="left" vertical="center"/>
      <protection locked="0"/>
    </xf>
    <xf numFmtId="164" fontId="0" fillId="7" borderId="258" xfId="2" applyNumberFormat="1" applyFont="1" applyFill="1" applyBorder="1" applyAlignment="1" applyProtection="1">
      <alignment vertical="center"/>
      <protection locked="0"/>
    </xf>
    <xf numFmtId="0" fontId="0" fillId="7" borderId="259" xfId="0" applyFill="1" applyBorder="1" applyAlignment="1" applyProtection="1">
      <alignment horizontal="left" vertical="center"/>
      <protection locked="0"/>
    </xf>
    <xf numFmtId="164" fontId="0" fillId="7" borderId="223" xfId="2" applyNumberFormat="1" applyFont="1" applyFill="1" applyBorder="1" applyAlignment="1" applyProtection="1">
      <alignment vertical="center"/>
      <protection locked="0"/>
    </xf>
    <xf numFmtId="164" fontId="0" fillId="38" borderId="218" xfId="2" applyNumberFormat="1" applyFont="1" applyFill="1" applyBorder="1" applyAlignment="1" applyProtection="1">
      <alignment vertical="center"/>
    </xf>
    <xf numFmtId="0" fontId="8" fillId="53" borderId="225" xfId="0" applyFont="1" applyFill="1" applyBorder="1" applyAlignment="1">
      <alignment horizontal="center" vertical="center"/>
    </xf>
    <xf numFmtId="175" fontId="6" fillId="7" borderId="225" xfId="2" applyNumberFormat="1" applyFont="1" applyFill="1" applyBorder="1" applyProtection="1">
      <protection locked="0"/>
    </xf>
    <xf numFmtId="9" fontId="4" fillId="12" borderId="0" xfId="3" applyFont="1" applyFill="1" applyBorder="1" applyAlignment="1" applyProtection="1">
      <alignment horizontal="center" vertical="center"/>
    </xf>
    <xf numFmtId="164" fontId="4" fillId="7" borderId="118" xfId="0" applyNumberFormat="1" applyFont="1" applyFill="1" applyBorder="1" applyAlignment="1">
      <alignment vertical="center"/>
    </xf>
    <xf numFmtId="0" fontId="2" fillId="0" borderId="0" xfId="0" applyFont="1" applyAlignment="1">
      <alignment horizontal="right"/>
    </xf>
    <xf numFmtId="0" fontId="22" fillId="2" borderId="0" xfId="0" applyFont="1" applyFill="1" applyAlignment="1">
      <alignment horizontal="right"/>
    </xf>
    <xf numFmtId="0" fontId="2" fillId="0" borderId="0" xfId="0" applyFont="1" applyAlignment="1">
      <alignment horizontal="right" indent="2"/>
    </xf>
    <xf numFmtId="166" fontId="0" fillId="2" borderId="230" xfId="2" applyNumberFormat="1" applyFont="1" applyFill="1" applyBorder="1" applyAlignment="1" applyProtection="1">
      <alignment vertical="center"/>
    </xf>
    <xf numFmtId="166" fontId="0" fillId="2" borderId="213" xfId="2" applyNumberFormat="1" applyFont="1" applyFill="1" applyBorder="1" applyAlignment="1" applyProtection="1">
      <alignment vertical="center"/>
    </xf>
    <xf numFmtId="0" fontId="0" fillId="2" borderId="222" xfId="0" applyFill="1" applyBorder="1" applyAlignment="1">
      <alignment horizontal="left" vertical="center"/>
    </xf>
    <xf numFmtId="0" fontId="0" fillId="2" borderId="209" xfId="0" applyFill="1" applyBorder="1" applyAlignment="1">
      <alignment horizontal="left" vertical="center"/>
    </xf>
    <xf numFmtId="0" fontId="2" fillId="2" borderId="209" xfId="0" applyFont="1" applyFill="1" applyBorder="1" applyAlignment="1">
      <alignment horizontal="left" vertical="center"/>
    </xf>
    <xf numFmtId="0" fontId="0" fillId="2" borderId="209" xfId="0" applyFill="1" applyBorder="1" applyAlignment="1">
      <alignment horizontal="right" vertical="center"/>
    </xf>
    <xf numFmtId="0" fontId="0" fillId="2" borderId="223" xfId="0" applyFill="1" applyBorder="1" applyAlignment="1">
      <alignment horizontal="right" vertical="center"/>
    </xf>
    <xf numFmtId="0" fontId="2" fillId="0" borderId="216" xfId="0" applyFont="1" applyBorder="1" applyAlignment="1">
      <alignment horizontal="left" vertical="center"/>
    </xf>
    <xf numFmtId="9" fontId="2" fillId="2" borderId="0" xfId="3" applyFont="1" applyFill="1"/>
    <xf numFmtId="1" fontId="0" fillId="0" borderId="0" xfId="0" applyNumberFormat="1"/>
    <xf numFmtId="1" fontId="0" fillId="2" borderId="0" xfId="0" applyNumberFormat="1" applyFill="1"/>
    <xf numFmtId="166" fontId="0" fillId="2" borderId="74" xfId="2" applyNumberFormat="1" applyFont="1" applyFill="1" applyBorder="1" applyAlignment="1" applyProtection="1">
      <alignment vertical="center"/>
    </xf>
    <xf numFmtId="166" fontId="0" fillId="2" borderId="253" xfId="2" applyNumberFormat="1" applyFont="1" applyFill="1" applyBorder="1" applyAlignment="1" applyProtection="1">
      <alignment vertical="center"/>
    </xf>
    <xf numFmtId="0" fontId="24" fillId="0" borderId="157" xfId="0" applyFont="1" applyBorder="1" applyAlignment="1" applyProtection="1">
      <alignment horizontal="left" vertical="center"/>
      <protection locked="0"/>
    </xf>
    <xf numFmtId="173" fontId="0" fillId="38" borderId="209" xfId="0" applyNumberFormat="1" applyFill="1" applyBorder="1" applyAlignment="1">
      <alignment horizontal="right" vertical="center"/>
    </xf>
    <xf numFmtId="166" fontId="0" fillId="7" borderId="255" xfId="2" applyNumberFormat="1" applyFont="1" applyFill="1" applyBorder="1" applyAlignment="1" applyProtection="1">
      <alignment vertical="center"/>
      <protection locked="0"/>
    </xf>
    <xf numFmtId="173" fontId="0" fillId="38" borderId="223" xfId="0" applyNumberFormat="1" applyFill="1" applyBorder="1" applyAlignment="1">
      <alignment horizontal="right" vertical="center"/>
    </xf>
    <xf numFmtId="0" fontId="2" fillId="0" borderId="0" xfId="0" applyFont="1" applyAlignment="1">
      <alignment horizontal="center"/>
    </xf>
    <xf numFmtId="0" fontId="2" fillId="0" borderId="0" xfId="0" applyFont="1"/>
    <xf numFmtId="42" fontId="0" fillId="0" borderId="0" xfId="6" applyFont="1" applyFill="1" applyBorder="1"/>
    <xf numFmtId="9" fontId="0" fillId="0" borderId="0" xfId="3" applyFont="1" applyFill="1" applyBorder="1"/>
    <xf numFmtId="0" fontId="4" fillId="8" borderId="28" xfId="0" applyFont="1" applyFill="1" applyBorder="1" applyAlignment="1">
      <alignment horizontal="center" vertical="center" wrapText="1"/>
    </xf>
    <xf numFmtId="0" fontId="8" fillId="0" borderId="0" xfId="0" applyFont="1" applyAlignment="1">
      <alignment horizontal="center" vertical="center"/>
    </xf>
    <xf numFmtId="175" fontId="2" fillId="0" borderId="0" xfId="0" applyNumberFormat="1" applyFont="1"/>
    <xf numFmtId="0" fontId="4" fillId="3" borderId="264" xfId="0" applyFont="1" applyFill="1" applyBorder="1" applyAlignment="1">
      <alignment horizontal="center" vertical="center" wrapText="1"/>
    </xf>
    <xf numFmtId="164" fontId="4" fillId="0" borderId="265" xfId="2" applyNumberFormat="1" applyFont="1" applyFill="1" applyBorder="1" applyAlignment="1" applyProtection="1">
      <alignment vertical="center"/>
    </xf>
    <xf numFmtId="164" fontId="4" fillId="3" borderId="255" xfId="2" applyNumberFormat="1" applyFont="1" applyFill="1" applyBorder="1" applyAlignment="1" applyProtection="1">
      <alignment vertical="center"/>
    </xf>
    <xf numFmtId="164" fontId="4" fillId="7" borderId="266" xfId="0" applyNumberFormat="1" applyFont="1" applyFill="1" applyBorder="1" applyAlignment="1">
      <alignment vertical="center"/>
    </xf>
    <xf numFmtId="164" fontId="4" fillId="3" borderId="223" xfId="2" applyNumberFormat="1" applyFont="1" applyFill="1" applyBorder="1" applyAlignment="1" applyProtection="1">
      <alignment vertical="center"/>
    </xf>
    <xf numFmtId="9" fontId="1" fillId="0" borderId="266" xfId="3" applyBorder="1" applyAlignment="1" applyProtection="1">
      <alignment horizontal="center"/>
    </xf>
    <xf numFmtId="166" fontId="0" fillId="7" borderId="270" xfId="2" applyNumberFormat="1" applyFont="1" applyFill="1" applyBorder="1" applyAlignment="1" applyProtection="1">
      <alignment vertical="center"/>
      <protection locked="0"/>
    </xf>
    <xf numFmtId="173" fontId="0" fillId="38" borderId="28" xfId="0" applyNumberFormat="1" applyFill="1" applyBorder="1" applyAlignment="1">
      <alignment horizontal="right" vertical="center"/>
    </xf>
    <xf numFmtId="173" fontId="0" fillId="38" borderId="222" xfId="0" applyNumberFormat="1" applyFill="1" applyBorder="1" applyAlignment="1">
      <alignment horizontal="right" vertical="center"/>
    </xf>
    <xf numFmtId="164" fontId="12" fillId="7" borderId="87" xfId="2" applyNumberFormat="1" applyFont="1" applyFill="1" applyBorder="1" applyAlignment="1" applyProtection="1">
      <alignment vertical="center"/>
    </xf>
    <xf numFmtId="42" fontId="0" fillId="2" borderId="0" xfId="0" applyNumberFormat="1" applyFill="1" applyAlignment="1">
      <alignment vertical="center"/>
    </xf>
    <xf numFmtId="179" fontId="0" fillId="2" borderId="274" xfId="0" applyNumberFormat="1" applyFill="1" applyBorder="1"/>
    <xf numFmtId="0" fontId="2" fillId="45" borderId="170" xfId="0" applyFont="1" applyFill="1" applyBorder="1" applyAlignment="1">
      <alignment horizontal="left" vertical="center" indent="1"/>
    </xf>
    <xf numFmtId="0" fontId="2" fillId="56" borderId="185" xfId="0" applyFont="1" applyFill="1" applyBorder="1" applyAlignment="1">
      <alignment horizontal="center" vertical="center" wrapText="1"/>
    </xf>
    <xf numFmtId="0" fontId="22" fillId="56" borderId="185" xfId="0" applyFont="1" applyFill="1" applyBorder="1" applyAlignment="1">
      <alignment horizontal="center" vertical="center" wrapText="1"/>
    </xf>
    <xf numFmtId="0" fontId="0" fillId="2" borderId="199" xfId="0" applyFill="1" applyBorder="1" applyAlignment="1">
      <alignment horizontal="left" indent="2"/>
    </xf>
    <xf numFmtId="179" fontId="2" fillId="2" borderId="275" xfId="0" applyNumberFormat="1" applyFont="1" applyFill="1" applyBorder="1"/>
    <xf numFmtId="0" fontId="0" fillId="2" borderId="159" xfId="0" applyFill="1" applyBorder="1" applyAlignment="1">
      <alignment horizontal="left" indent="2"/>
    </xf>
    <xf numFmtId="179" fontId="0" fillId="2" borderId="47" xfId="0" applyNumberFormat="1" applyFill="1" applyBorder="1"/>
    <xf numFmtId="179" fontId="2" fillId="2" borderId="160" xfId="0" applyNumberFormat="1" applyFont="1" applyFill="1" applyBorder="1"/>
    <xf numFmtId="0" fontId="2" fillId="45" borderId="111" xfId="0" applyFont="1" applyFill="1" applyBorder="1" applyAlignment="1">
      <alignment horizontal="left" vertical="center" indent="1"/>
    </xf>
    <xf numFmtId="0" fontId="2" fillId="56" borderId="112" xfId="0" applyFont="1" applyFill="1" applyBorder="1" applyAlignment="1">
      <alignment horizontal="center" vertical="center" wrapText="1"/>
    </xf>
    <xf numFmtId="0" fontId="22" fillId="56" borderId="112" xfId="0" applyFont="1" applyFill="1" applyBorder="1" applyAlignment="1">
      <alignment horizontal="center" vertical="center" wrapText="1"/>
    </xf>
    <xf numFmtId="0" fontId="2" fillId="56" borderId="113" xfId="0" applyFont="1" applyFill="1" applyBorder="1" applyAlignment="1">
      <alignment horizontal="center" vertical="center" wrapText="1"/>
    </xf>
    <xf numFmtId="0" fontId="0" fillId="2" borderId="246" xfId="0" applyFill="1" applyBorder="1" applyAlignment="1">
      <alignment horizontal="left" indent="2"/>
    </xf>
    <xf numFmtId="179" fontId="0" fillId="2" borderId="239" xfId="0" applyNumberFormat="1" applyFill="1" applyBorder="1"/>
    <xf numFmtId="179" fontId="2" fillId="2" borderId="165" xfId="0" applyNumberFormat="1" applyFont="1" applyFill="1" applyBorder="1"/>
    <xf numFmtId="179" fontId="22" fillId="2" borderId="111" xfId="0" applyNumberFormat="1" applyFont="1" applyFill="1" applyBorder="1"/>
    <xf numFmtId="179" fontId="22" fillId="2" borderId="249" xfId="0" applyNumberFormat="1" applyFont="1" applyFill="1" applyBorder="1"/>
    <xf numFmtId="0" fontId="0" fillId="2" borderId="276" xfId="0" applyFill="1" applyBorder="1" applyAlignment="1">
      <alignment horizontal="left" indent="2"/>
    </xf>
    <xf numFmtId="179" fontId="0" fillId="2" borderId="277" xfId="0" applyNumberFormat="1" applyFill="1" applyBorder="1"/>
    <xf numFmtId="0" fontId="2" fillId="9" borderId="111" xfId="0" applyFont="1" applyFill="1" applyBorder="1" applyAlignment="1">
      <alignment horizontal="left" indent="2"/>
    </xf>
    <xf numFmtId="179" fontId="22" fillId="2" borderId="112" xfId="0" applyNumberFormat="1" applyFont="1" applyFill="1" applyBorder="1"/>
    <xf numFmtId="179" fontId="2" fillId="2" borderId="113" xfId="0" applyNumberFormat="1" applyFont="1" applyFill="1" applyBorder="1"/>
    <xf numFmtId="164" fontId="1" fillId="7" borderId="161" xfId="2" applyNumberFormat="1" applyFont="1" applyFill="1" applyBorder="1" applyAlignment="1" applyProtection="1">
      <alignment vertical="center"/>
      <protection locked="0"/>
    </xf>
    <xf numFmtId="164" fontId="1" fillId="7" borderId="177" xfId="2" applyNumberFormat="1" applyFont="1" applyFill="1" applyBorder="1" applyAlignment="1" applyProtection="1">
      <alignment vertical="center"/>
      <protection locked="0"/>
    </xf>
    <xf numFmtId="168" fontId="0" fillId="7" borderId="47" xfId="2" applyNumberFormat="1" applyFont="1" applyFill="1" applyBorder="1" applyAlignment="1" applyProtection="1">
      <alignment horizontal="center" vertical="center"/>
      <protection locked="0"/>
    </xf>
    <xf numFmtId="168" fontId="0" fillId="7" borderId="230" xfId="2" applyNumberFormat="1" applyFont="1" applyFill="1" applyBorder="1" applyAlignment="1" applyProtection="1">
      <alignment horizontal="center" vertical="center"/>
      <protection locked="0"/>
    </xf>
    <xf numFmtId="168" fontId="0" fillId="7" borderId="160" xfId="2" applyNumberFormat="1" applyFont="1" applyFill="1" applyBorder="1" applyAlignment="1" applyProtection="1">
      <alignment horizontal="center" vertical="center"/>
      <protection locked="0"/>
    </xf>
    <xf numFmtId="168" fontId="0" fillId="7" borderId="279" xfId="2" applyNumberFormat="1" applyFont="1" applyFill="1" applyBorder="1" applyAlignment="1" applyProtection="1">
      <alignment horizontal="center" vertical="center"/>
      <protection locked="0"/>
    </xf>
    <xf numFmtId="168" fontId="0" fillId="7" borderId="257" xfId="2" applyNumberFormat="1" applyFont="1" applyFill="1" applyBorder="1" applyAlignment="1" applyProtection="1">
      <alignment horizontal="center" vertical="center"/>
      <protection locked="0"/>
    </xf>
    <xf numFmtId="164" fontId="4" fillId="3" borderId="38" xfId="0" applyNumberFormat="1" applyFont="1" applyFill="1" applyBorder="1" applyAlignment="1">
      <alignment horizontal="center" vertical="center" wrapText="1"/>
    </xf>
    <xf numFmtId="164" fontId="4" fillId="3" borderId="19" xfId="0" applyNumberFormat="1" applyFont="1" applyFill="1" applyBorder="1" applyAlignment="1">
      <alignment horizontal="center" vertical="center" wrapText="1"/>
    </xf>
    <xf numFmtId="164" fontId="4" fillId="3" borderId="39" xfId="0" applyNumberFormat="1" applyFont="1" applyFill="1" applyBorder="1" applyAlignment="1">
      <alignment horizontal="center" vertical="center" wrapText="1"/>
    </xf>
    <xf numFmtId="0" fontId="24" fillId="0" borderId="82" xfId="0" applyFont="1" applyBorder="1" applyAlignment="1" applyProtection="1">
      <alignment horizontal="left" vertical="center"/>
      <protection locked="0"/>
    </xf>
    <xf numFmtId="0" fontId="0" fillId="0" borderId="157" xfId="0" applyBorder="1" applyAlignment="1" applyProtection="1">
      <alignment horizontal="left" vertical="center"/>
      <protection locked="0"/>
    </xf>
    <xf numFmtId="0" fontId="0" fillId="7" borderId="159" xfId="0" applyFill="1" applyBorder="1" applyAlignment="1" applyProtection="1">
      <alignment horizontal="left" vertical="center"/>
      <protection locked="0"/>
    </xf>
    <xf numFmtId="0" fontId="0" fillId="7" borderId="279" xfId="0" applyFill="1" applyBorder="1" applyAlignment="1" applyProtection="1">
      <alignment horizontal="left" vertical="center"/>
      <protection locked="0"/>
    </xf>
    <xf numFmtId="0" fontId="0" fillId="7" borderId="280" xfId="0" applyFill="1" applyBorder="1" applyAlignment="1" applyProtection="1">
      <alignment horizontal="left" vertical="center"/>
      <protection locked="0"/>
    </xf>
    <xf numFmtId="0" fontId="0" fillId="7" borderId="274" xfId="0" applyFill="1" applyBorder="1" applyAlignment="1" applyProtection="1">
      <alignment horizontal="left" vertical="center"/>
      <protection locked="0"/>
    </xf>
    <xf numFmtId="166" fontId="0" fillId="7" borderId="274" xfId="2" applyNumberFormat="1" applyFont="1" applyFill="1" applyBorder="1" applyAlignment="1" applyProtection="1">
      <alignment vertical="center"/>
      <protection locked="0"/>
    </xf>
    <xf numFmtId="164" fontId="0" fillId="39" borderId="274" xfId="2" applyNumberFormat="1" applyFont="1" applyFill="1" applyBorder="1" applyAlignment="1" applyProtection="1">
      <alignment vertical="center"/>
      <protection locked="0"/>
    </xf>
    <xf numFmtId="0" fontId="0" fillId="0" borderId="274" xfId="0" applyBorder="1" applyAlignment="1" applyProtection="1">
      <alignment horizontal="left" vertical="center"/>
      <protection locked="0"/>
    </xf>
    <xf numFmtId="166" fontId="0" fillId="7" borderId="279" xfId="2" applyNumberFormat="1" applyFont="1" applyFill="1" applyBorder="1" applyAlignment="1" applyProtection="1">
      <alignment vertical="center"/>
      <protection locked="0"/>
    </xf>
    <xf numFmtId="175" fontId="6" fillId="0" borderId="225" xfId="2" applyNumberFormat="1" applyFont="1" applyBorder="1" applyProtection="1"/>
    <xf numFmtId="0" fontId="0" fillId="7" borderId="198" xfId="0" applyFill="1" applyBorder="1" applyAlignment="1" applyProtection="1">
      <alignment horizontal="left" vertical="center"/>
      <protection locked="0"/>
    </xf>
    <xf numFmtId="42" fontId="0" fillId="38" borderId="279" xfId="2" applyNumberFormat="1" applyFont="1" applyFill="1" applyBorder="1" applyAlignment="1" applyProtection="1">
      <alignment horizontal="center" vertical="center"/>
    </xf>
    <xf numFmtId="42" fontId="0" fillId="38" borderId="274" xfId="2" applyNumberFormat="1" applyFont="1" applyFill="1" applyBorder="1" applyAlignment="1" applyProtection="1">
      <alignment horizontal="center" vertical="center"/>
    </xf>
    <xf numFmtId="9" fontId="4" fillId="3" borderId="267" xfId="3" applyFont="1" applyFill="1" applyBorder="1" applyAlignment="1" applyProtection="1">
      <alignment horizontal="center" vertical="center"/>
    </xf>
    <xf numFmtId="0" fontId="2" fillId="9" borderId="114" xfId="0" applyFont="1" applyFill="1" applyBorder="1" applyAlignment="1">
      <alignment horizontal="left" indent="2"/>
    </xf>
    <xf numFmtId="179" fontId="22" fillId="2" borderId="64" xfId="0" applyNumberFormat="1" applyFont="1" applyFill="1" applyBorder="1"/>
    <xf numFmtId="179" fontId="0" fillId="2" borderId="272" xfId="0" applyNumberFormat="1" applyFill="1" applyBorder="1"/>
    <xf numFmtId="179" fontId="2" fillId="2" borderId="282" xfId="0" applyNumberFormat="1" applyFont="1" applyFill="1" applyBorder="1"/>
    <xf numFmtId="166" fontId="0" fillId="7" borderId="229" xfId="2" applyNumberFormat="1" applyFont="1" applyFill="1" applyBorder="1" applyAlignment="1" applyProtection="1">
      <alignment vertical="center"/>
      <protection locked="0"/>
    </xf>
    <xf numFmtId="0" fontId="0" fillId="7" borderId="277" xfId="0" applyFill="1" applyBorder="1" applyAlignment="1" applyProtection="1">
      <alignment horizontal="left" vertical="center"/>
      <protection locked="0"/>
    </xf>
    <xf numFmtId="166" fontId="0" fillId="7" borderId="277" xfId="2" applyNumberFormat="1" applyFont="1" applyFill="1" applyBorder="1" applyAlignment="1" applyProtection="1">
      <alignment vertical="center"/>
      <protection locked="0"/>
    </xf>
    <xf numFmtId="164" fontId="4" fillId="13" borderId="119" xfId="2" applyNumberFormat="1" applyFont="1" applyFill="1" applyBorder="1" applyAlignment="1" applyProtection="1">
      <alignment horizontal="center" vertical="center"/>
    </xf>
    <xf numFmtId="173" fontId="2" fillId="23" borderId="0" xfId="0" applyNumberFormat="1" applyFont="1" applyFill="1"/>
    <xf numFmtId="0" fontId="2" fillId="58" borderId="274" xfId="0" applyFont="1" applyFill="1" applyBorder="1"/>
    <xf numFmtId="173" fontId="2" fillId="58" borderId="274" xfId="0" applyNumberFormat="1" applyFont="1" applyFill="1" applyBorder="1"/>
    <xf numFmtId="9" fontId="0" fillId="0" borderId="0" xfId="3" applyFont="1"/>
    <xf numFmtId="166" fontId="0" fillId="23" borderId="0" xfId="0" applyNumberFormat="1" applyFill="1"/>
    <xf numFmtId="9" fontId="0" fillId="2" borderId="0" xfId="3" applyFont="1" applyFill="1" applyAlignment="1">
      <alignment vertical="center"/>
    </xf>
    <xf numFmtId="173" fontId="0" fillId="38" borderId="278" xfId="0" applyNumberFormat="1" applyFill="1" applyBorder="1" applyAlignment="1">
      <alignment horizontal="right" vertical="center"/>
    </xf>
    <xf numFmtId="173" fontId="0" fillId="38" borderId="289" xfId="0" applyNumberFormat="1" applyFill="1" applyBorder="1" applyAlignment="1">
      <alignment horizontal="right" vertical="center"/>
    </xf>
    <xf numFmtId="173" fontId="0" fillId="38" borderId="290" xfId="0" applyNumberFormat="1" applyFill="1" applyBorder="1" applyAlignment="1">
      <alignment horizontal="right" vertical="center"/>
    </xf>
    <xf numFmtId="42" fontId="0" fillId="38" borderId="47" xfId="2" applyNumberFormat="1" applyFont="1" applyFill="1" applyBorder="1" applyAlignment="1" applyProtection="1">
      <alignment horizontal="center" vertical="center"/>
    </xf>
    <xf numFmtId="0" fontId="0" fillId="7" borderId="286" xfId="0" applyFill="1" applyBorder="1" applyAlignment="1" applyProtection="1">
      <alignment horizontal="left" vertical="center"/>
      <protection locked="0"/>
    </xf>
    <xf numFmtId="42" fontId="0" fillId="38" borderId="286" xfId="2" applyNumberFormat="1" applyFont="1" applyFill="1" applyBorder="1" applyAlignment="1" applyProtection="1">
      <alignment horizontal="center" vertical="center"/>
    </xf>
    <xf numFmtId="166" fontId="0" fillId="7" borderId="286" xfId="2" applyNumberFormat="1" applyFont="1" applyFill="1" applyBorder="1" applyAlignment="1" applyProtection="1">
      <alignment vertical="center"/>
      <protection locked="0"/>
    </xf>
    <xf numFmtId="166" fontId="0" fillId="7" borderId="279" xfId="2" applyNumberFormat="1" applyFont="1" applyFill="1" applyBorder="1" applyAlignment="1" applyProtection="1">
      <alignment vertical="center"/>
    </xf>
    <xf numFmtId="166" fontId="0" fillId="7" borderId="257" xfId="2" applyNumberFormat="1" applyFont="1" applyFill="1" applyBorder="1" applyAlignment="1" applyProtection="1">
      <alignment vertical="center"/>
      <protection locked="0"/>
    </xf>
    <xf numFmtId="0" fontId="0" fillId="7" borderId="293" xfId="0" applyFill="1" applyBorder="1" applyAlignment="1" applyProtection="1">
      <alignment horizontal="left" vertical="center"/>
      <protection locked="0"/>
    </xf>
    <xf numFmtId="166" fontId="0" fillId="7" borderId="294" xfId="2" applyNumberFormat="1" applyFont="1" applyFill="1" applyBorder="1" applyAlignment="1" applyProtection="1">
      <alignment vertical="center"/>
      <protection locked="0"/>
    </xf>
    <xf numFmtId="0" fontId="0" fillId="7" borderId="276" xfId="0" applyFill="1" applyBorder="1" applyAlignment="1" applyProtection="1">
      <alignment horizontal="left" vertical="center"/>
      <protection locked="0"/>
    </xf>
    <xf numFmtId="42" fontId="0" fillId="38" borderId="277" xfId="2" applyNumberFormat="1" applyFont="1" applyFill="1" applyBorder="1" applyAlignment="1" applyProtection="1">
      <alignment horizontal="center" vertical="center"/>
    </xf>
    <xf numFmtId="166" fontId="0" fillId="7" borderId="295" xfId="2" applyNumberFormat="1" applyFont="1" applyFill="1" applyBorder="1" applyAlignment="1" applyProtection="1">
      <alignment vertical="center"/>
      <protection locked="0"/>
    </xf>
    <xf numFmtId="173" fontId="0" fillId="38" borderId="219" xfId="0" applyNumberFormat="1" applyFill="1" applyBorder="1" applyAlignment="1">
      <alignment horizontal="right" vertical="center"/>
    </xf>
    <xf numFmtId="173" fontId="0" fillId="38" borderId="296" xfId="0" applyNumberFormat="1" applyFill="1" applyBorder="1" applyAlignment="1">
      <alignment horizontal="right" vertical="center"/>
    </xf>
    <xf numFmtId="0" fontId="0" fillId="7" borderId="297" xfId="0" applyFill="1" applyBorder="1" applyAlignment="1" applyProtection="1">
      <alignment horizontal="left" vertical="center"/>
      <protection locked="0"/>
    </xf>
    <xf numFmtId="0" fontId="0" fillId="7" borderId="292" xfId="0" applyFill="1" applyBorder="1" applyAlignment="1" applyProtection="1">
      <alignment horizontal="left" vertical="center"/>
      <protection locked="0"/>
    </xf>
    <xf numFmtId="166" fontId="0" fillId="7" borderId="292" xfId="2" applyNumberFormat="1" applyFont="1" applyFill="1" applyBorder="1" applyAlignment="1" applyProtection="1">
      <alignment vertical="center"/>
      <protection locked="0"/>
    </xf>
    <xf numFmtId="42" fontId="0" fillId="38" borderId="292" xfId="2" applyNumberFormat="1" applyFont="1" applyFill="1" applyBorder="1" applyAlignment="1" applyProtection="1">
      <alignment horizontal="center" vertical="center"/>
    </xf>
    <xf numFmtId="166" fontId="0" fillId="7" borderId="298" xfId="2" applyNumberFormat="1" applyFont="1" applyFill="1" applyBorder="1" applyAlignment="1" applyProtection="1">
      <alignment vertical="center"/>
      <protection locked="0"/>
    </xf>
    <xf numFmtId="164" fontId="19" fillId="9" borderId="12" xfId="2" applyNumberFormat="1" applyFont="1" applyFill="1" applyBorder="1" applyAlignment="1" applyProtection="1">
      <alignment vertical="center"/>
    </xf>
    <xf numFmtId="164" fontId="25" fillId="10" borderId="16" xfId="2" applyNumberFormat="1" applyFont="1" applyFill="1" applyBorder="1" applyAlignment="1" applyProtection="1">
      <alignment vertical="center"/>
    </xf>
    <xf numFmtId="0" fontId="4" fillId="0" borderId="0" xfId="42" applyFont="1" applyAlignment="1">
      <alignment vertical="center"/>
    </xf>
    <xf numFmtId="0" fontId="4" fillId="0" borderId="0" xfId="42" applyFont="1" applyAlignment="1">
      <alignment horizontal="center" vertical="center"/>
    </xf>
    <xf numFmtId="0" fontId="6" fillId="0" borderId="0" xfId="42"/>
    <xf numFmtId="9" fontId="3" fillId="0" borderId="0" xfId="37" applyFont="1" applyBorder="1" applyAlignment="1" applyProtection="1">
      <alignment vertical="center"/>
    </xf>
    <xf numFmtId="0" fontId="4" fillId="0" borderId="1" xfId="42" applyFont="1" applyBorder="1" applyAlignment="1">
      <alignment horizontal="right" vertical="center"/>
    </xf>
    <xf numFmtId="0" fontId="7" fillId="7" borderId="302" xfId="42" applyFont="1" applyFill="1" applyBorder="1" applyAlignment="1" applyProtection="1">
      <alignment horizontal="center" vertical="center"/>
      <protection locked="0"/>
    </xf>
    <xf numFmtId="0" fontId="7" fillId="0" borderId="206" xfId="42" applyFont="1" applyBorder="1" applyAlignment="1">
      <alignment horizontal="center" vertical="center"/>
    </xf>
    <xf numFmtId="0" fontId="7" fillId="0" borderId="0" xfId="42" applyFont="1" applyAlignment="1">
      <alignment horizontal="center" vertical="center"/>
    </xf>
    <xf numFmtId="9" fontId="0" fillId="0" borderId="0" xfId="37" applyFont="1" applyProtection="1"/>
    <xf numFmtId="0" fontId="4" fillId="0" borderId="0" xfId="42" applyFont="1" applyAlignment="1">
      <alignment horizontal="right" vertical="center"/>
    </xf>
    <xf numFmtId="0" fontId="6" fillId="23" borderId="0" xfId="42" applyFill="1"/>
    <xf numFmtId="0" fontId="6" fillId="23" borderId="0" xfId="42" applyFill="1" applyAlignment="1">
      <alignment horizontal="left" vertical="center"/>
    </xf>
    <xf numFmtId="173" fontId="4" fillId="23" borderId="0" xfId="42" applyNumberFormat="1" applyFont="1" applyFill="1" applyAlignment="1">
      <alignment horizontal="right" vertical="center"/>
    </xf>
    <xf numFmtId="0" fontId="6" fillId="23" borderId="140" xfId="42" applyFill="1" applyBorder="1"/>
    <xf numFmtId="0" fontId="6" fillId="23" borderId="303" xfId="42" applyFill="1" applyBorder="1"/>
    <xf numFmtId="0" fontId="6" fillId="23" borderId="268" xfId="42" applyFill="1" applyBorder="1"/>
    <xf numFmtId="0" fontId="6" fillId="23" borderId="61" xfId="42" applyFill="1" applyBorder="1"/>
    <xf numFmtId="0" fontId="6" fillId="23" borderId="44" xfId="42" applyFill="1" applyBorder="1"/>
    <xf numFmtId="0" fontId="15" fillId="0" borderId="0" xfId="42" applyFont="1" applyAlignment="1">
      <alignment horizontal="left" vertical="center" indent="2"/>
    </xf>
    <xf numFmtId="0" fontId="15" fillId="0" borderId="0" xfId="42" applyFont="1" applyAlignment="1">
      <alignment vertical="center"/>
    </xf>
    <xf numFmtId="0" fontId="15" fillId="0" borderId="61" xfId="42" applyFont="1" applyBorder="1" applyAlignment="1">
      <alignment vertical="center"/>
    </xf>
    <xf numFmtId="0" fontId="4" fillId="42" borderId="304" xfId="42" applyFont="1" applyFill="1" applyBorder="1" applyAlignment="1">
      <alignment horizontal="center" vertical="center"/>
    </xf>
    <xf numFmtId="9" fontId="6" fillId="10" borderId="304" xfId="42" applyNumberFormat="1" applyFill="1" applyBorder="1" applyAlignment="1">
      <alignment horizontal="center"/>
    </xf>
    <xf numFmtId="173" fontId="6" fillId="42" borderId="304" xfId="42" applyNumberFormat="1" applyFill="1" applyBorder="1" applyAlignment="1">
      <alignment horizontal="center" vertical="center"/>
    </xf>
    <xf numFmtId="167" fontId="4" fillId="10" borderId="304" xfId="37" applyNumberFormat="1" applyFont="1" applyFill="1" applyBorder="1" applyAlignment="1" applyProtection="1">
      <alignment horizontal="center" vertical="center"/>
    </xf>
    <xf numFmtId="0" fontId="4" fillId="8" borderId="306" xfId="42" applyFont="1" applyFill="1" applyBorder="1" applyAlignment="1">
      <alignment horizontal="center" vertical="center" wrapText="1"/>
    </xf>
    <xf numFmtId="0" fontId="4" fillId="8" borderId="307" xfId="42" applyFont="1" applyFill="1" applyBorder="1" applyAlignment="1">
      <alignment horizontal="center" vertical="center" wrapText="1"/>
    </xf>
    <xf numFmtId="0" fontId="4" fillId="8" borderId="308" xfId="42" applyFont="1" applyFill="1" applyBorder="1" applyAlignment="1">
      <alignment horizontal="center" vertical="center" wrapText="1"/>
    </xf>
    <xf numFmtId="0" fontId="16" fillId="43" borderId="276" xfId="42" applyFont="1" applyFill="1" applyBorder="1" applyAlignment="1">
      <alignment horizontal="center" vertical="center"/>
    </xf>
    <xf numFmtId="0" fontId="16" fillId="43" borderId="306" xfId="42" applyFont="1" applyFill="1" applyBorder="1" applyAlignment="1">
      <alignment horizontal="center" vertical="center"/>
    </xf>
    <xf numFmtId="0" fontId="16" fillId="44" borderId="276" xfId="42" applyFont="1" applyFill="1" applyBorder="1" applyAlignment="1">
      <alignment horizontal="center" vertical="center"/>
    </xf>
    <xf numFmtId="0" fontId="16" fillId="44" borderId="308" xfId="42" applyFont="1" applyFill="1" applyBorder="1" applyAlignment="1">
      <alignment horizontal="center" vertical="center"/>
    </xf>
    <xf numFmtId="0" fontId="16" fillId="45" borderId="309" xfId="42" applyFont="1" applyFill="1" applyBorder="1" applyAlignment="1">
      <alignment horizontal="center" vertical="center"/>
    </xf>
    <xf numFmtId="0" fontId="16" fillId="45" borderId="306" xfId="42" applyFont="1" applyFill="1" applyBorder="1" applyAlignment="1">
      <alignment horizontal="center" vertical="center"/>
    </xf>
    <xf numFmtId="0" fontId="16" fillId="45" borderId="308" xfId="42" applyFont="1" applyFill="1" applyBorder="1" applyAlignment="1">
      <alignment horizontal="center" vertical="center"/>
    </xf>
    <xf numFmtId="0" fontId="16" fillId="43" borderId="297" xfId="42" applyFont="1" applyFill="1" applyBorder="1" applyAlignment="1">
      <alignment horizontal="center" vertical="center"/>
    </xf>
    <xf numFmtId="0" fontId="16" fillId="43" borderId="282" xfId="42" applyFont="1" applyFill="1" applyBorder="1" applyAlignment="1">
      <alignment horizontal="center" vertical="center"/>
    </xf>
    <xf numFmtId="0" fontId="16" fillId="44" borderId="297" xfId="42" applyFont="1" applyFill="1" applyBorder="1" applyAlignment="1">
      <alignment horizontal="center" vertical="center"/>
    </xf>
    <xf numFmtId="0" fontId="16" fillId="44" borderId="282" xfId="42" applyFont="1" applyFill="1" applyBorder="1" applyAlignment="1">
      <alignment horizontal="center" vertical="center"/>
    </xf>
    <xf numFmtId="0" fontId="16" fillId="45" borderId="297" xfId="42" applyFont="1" applyFill="1" applyBorder="1" applyAlignment="1">
      <alignment horizontal="center" vertical="center"/>
    </xf>
    <xf numFmtId="0" fontId="16" fillId="45" borderId="282" xfId="42" applyFont="1" applyFill="1" applyBorder="1" applyAlignment="1">
      <alignment horizontal="center" vertical="center"/>
    </xf>
    <xf numFmtId="0" fontId="6" fillId="7" borderId="263" xfId="42" applyFill="1" applyBorder="1" applyAlignment="1" applyProtection="1">
      <alignment horizontal="left" vertical="center"/>
      <protection locked="0"/>
    </xf>
    <xf numFmtId="0" fontId="6" fillId="7" borderId="279" xfId="42" applyFill="1" applyBorder="1" applyAlignment="1" applyProtection="1">
      <alignment horizontal="left" vertical="center"/>
      <protection locked="0"/>
    </xf>
    <xf numFmtId="0" fontId="6" fillId="7" borderId="279" xfId="42" applyFill="1" applyBorder="1" applyProtection="1">
      <protection locked="0"/>
    </xf>
    <xf numFmtId="0" fontId="6" fillId="7" borderId="281" xfId="42" applyFill="1" applyBorder="1" applyProtection="1">
      <protection locked="0"/>
    </xf>
    <xf numFmtId="166" fontId="0" fillId="7" borderId="304" xfId="43" applyNumberFormat="1" applyFont="1" applyFill="1" applyBorder="1" applyAlignment="1" applyProtection="1">
      <alignment vertical="center"/>
      <protection locked="0"/>
    </xf>
    <xf numFmtId="166" fontId="0" fillId="7" borderId="279" xfId="43" applyNumberFormat="1" applyFont="1" applyFill="1" applyBorder="1" applyAlignment="1" applyProtection="1">
      <alignment vertical="center"/>
      <protection locked="0"/>
    </xf>
    <xf numFmtId="166" fontId="0" fillId="7" borderId="281" xfId="43" applyNumberFormat="1" applyFont="1" applyFill="1" applyBorder="1" applyAlignment="1" applyProtection="1">
      <alignment vertical="center"/>
      <protection locked="0"/>
    </xf>
    <xf numFmtId="173" fontId="6" fillId="0" borderId="220" xfId="42" applyNumberFormat="1" applyBorder="1" applyAlignment="1">
      <alignment horizontal="right" vertical="center"/>
    </xf>
    <xf numFmtId="9" fontId="6" fillId="7" borderId="198" xfId="42" applyNumberFormat="1" applyFill="1" applyBorder="1" applyAlignment="1" applyProtection="1">
      <alignment horizontal="center" vertical="center"/>
      <protection locked="0"/>
    </xf>
    <xf numFmtId="173" fontId="6" fillId="0" borderId="270" xfId="42" applyNumberFormat="1" applyBorder="1" applyAlignment="1">
      <alignment horizontal="right" vertical="center"/>
    </xf>
    <xf numFmtId="173" fontId="6" fillId="0" borderId="257" xfId="42" applyNumberFormat="1" applyBorder="1" applyAlignment="1">
      <alignment horizontal="right" vertical="center"/>
    </xf>
    <xf numFmtId="9" fontId="0" fillId="7" borderId="263" xfId="37" applyFont="1" applyFill="1" applyBorder="1" applyAlignment="1" applyProtection="1">
      <alignment horizontal="center" vertical="center"/>
      <protection locked="0"/>
    </xf>
    <xf numFmtId="173" fontId="6" fillId="0" borderId="281" xfId="42" applyNumberFormat="1" applyBorder="1" applyAlignment="1">
      <alignment horizontal="right" vertical="center"/>
    </xf>
    <xf numFmtId="9" fontId="6" fillId="42" borderId="220" xfId="42" applyNumberFormat="1" applyFill="1" applyBorder="1" applyAlignment="1">
      <alignment horizontal="center" vertical="center"/>
    </xf>
    <xf numFmtId="0" fontId="4" fillId="30" borderId="304" xfId="42" applyFont="1" applyFill="1" applyBorder="1" applyAlignment="1">
      <alignment horizontal="center" vertical="center"/>
    </xf>
    <xf numFmtId="0" fontId="12" fillId="31" borderId="304" xfId="42" applyFont="1" applyFill="1" applyBorder="1" applyAlignment="1">
      <alignment horizontal="left" vertical="center"/>
    </xf>
    <xf numFmtId="164" fontId="12" fillId="31" borderId="304" xfId="43" applyNumberFormat="1" applyFont="1" applyFill="1" applyBorder="1" applyAlignment="1" applyProtection="1">
      <alignment horizontal="center" vertical="center"/>
    </xf>
    <xf numFmtId="9" fontId="18" fillId="0" borderId="249" xfId="37" applyFont="1" applyFill="1" applyBorder="1" applyAlignment="1" applyProtection="1">
      <alignment horizontal="center" vertical="center"/>
    </xf>
    <xf numFmtId="173" fontId="6" fillId="46" borderId="251" xfId="42" applyNumberFormat="1" applyFill="1" applyBorder="1" applyAlignment="1">
      <alignment horizontal="right" vertical="center"/>
    </xf>
    <xf numFmtId="173" fontId="6" fillId="46" borderId="110" xfId="42" applyNumberFormat="1" applyFill="1" applyBorder="1" applyAlignment="1">
      <alignment horizontal="right" vertical="center"/>
    </xf>
    <xf numFmtId="9" fontId="18" fillId="0" borderId="182" xfId="37" applyFont="1" applyFill="1" applyBorder="1" applyAlignment="1" applyProtection="1">
      <alignment horizontal="center" vertical="center"/>
    </xf>
    <xf numFmtId="9" fontId="6" fillId="2" borderId="111" xfId="42" applyNumberFormat="1" applyFill="1" applyBorder="1" applyAlignment="1">
      <alignment horizontal="center" vertical="center"/>
    </xf>
    <xf numFmtId="173" fontId="6" fillId="42" borderId="112" xfId="42" applyNumberFormat="1" applyFill="1" applyBorder="1" applyAlignment="1">
      <alignment horizontal="right" vertical="center"/>
    </xf>
    <xf numFmtId="9" fontId="6" fillId="2" borderId="112" xfId="42" applyNumberFormat="1" applyFill="1" applyBorder="1" applyAlignment="1">
      <alignment horizontal="center" vertical="center"/>
    </xf>
    <xf numFmtId="9" fontId="0" fillId="2" borderId="112" xfId="37" applyFont="1" applyFill="1" applyBorder="1" applyAlignment="1" applyProtection="1">
      <alignment horizontal="center" vertical="center"/>
    </xf>
    <xf numFmtId="173" fontId="6" fillId="42" borderId="113" xfId="42" applyNumberFormat="1" applyFill="1" applyBorder="1" applyAlignment="1">
      <alignment horizontal="right" vertical="center"/>
    </xf>
    <xf numFmtId="0" fontId="6" fillId="7" borderId="273" xfId="42" applyFill="1" applyBorder="1" applyAlignment="1" applyProtection="1">
      <alignment horizontal="left" vertical="center"/>
      <protection locked="0"/>
    </xf>
    <xf numFmtId="0" fontId="6" fillId="7" borderId="304" xfId="42" applyFill="1" applyBorder="1" applyAlignment="1" applyProtection="1">
      <alignment horizontal="left" vertical="center"/>
      <protection locked="0"/>
    </xf>
    <xf numFmtId="0" fontId="6" fillId="7" borderId="304" xfId="42" applyFill="1" applyBorder="1" applyProtection="1">
      <protection locked="0"/>
    </xf>
    <xf numFmtId="0" fontId="6" fillId="7" borderId="270" xfId="42" applyFill="1" applyBorder="1" applyProtection="1">
      <protection locked="0"/>
    </xf>
    <xf numFmtId="173" fontId="6" fillId="38" borderId="312" xfId="42" applyNumberFormat="1" applyFill="1" applyBorder="1" applyAlignment="1">
      <alignment horizontal="right" vertical="center"/>
    </xf>
    <xf numFmtId="173" fontId="6" fillId="0" borderId="311" xfId="42" applyNumberFormat="1" applyBorder="1" applyAlignment="1">
      <alignment horizontal="right" vertical="center"/>
    </xf>
    <xf numFmtId="9" fontId="6" fillId="7" borderId="313" xfId="42" applyNumberFormat="1" applyFill="1" applyBorder="1" applyAlignment="1" applyProtection="1">
      <alignment horizontal="center" vertical="center"/>
      <protection locked="0"/>
    </xf>
    <xf numFmtId="173" fontId="6" fillId="0" borderId="314" xfId="42" applyNumberFormat="1" applyBorder="1" applyAlignment="1">
      <alignment horizontal="right" vertical="center"/>
    </xf>
    <xf numFmtId="9" fontId="0" fillId="7" borderId="273" xfId="37" applyFont="1" applyFill="1" applyBorder="1" applyAlignment="1" applyProtection="1">
      <alignment horizontal="center" vertical="center"/>
      <protection locked="0"/>
    </xf>
    <xf numFmtId="9" fontId="6" fillId="42" borderId="311" xfId="42" applyNumberFormat="1" applyFill="1" applyBorder="1" applyAlignment="1">
      <alignment horizontal="center" vertical="center"/>
    </xf>
    <xf numFmtId="0" fontId="4" fillId="34" borderId="304" xfId="42" applyFont="1" applyFill="1" applyBorder="1" applyAlignment="1">
      <alignment horizontal="center" vertical="center" wrapText="1"/>
    </xf>
    <xf numFmtId="0" fontId="12" fillId="34" borderId="304" xfId="42" applyFont="1" applyFill="1" applyBorder="1" applyAlignment="1">
      <alignment horizontal="left" vertical="center"/>
    </xf>
    <xf numFmtId="164" fontId="12" fillId="34" borderId="304" xfId="43" applyNumberFormat="1" applyFont="1" applyFill="1" applyBorder="1" applyAlignment="1" applyProtection="1">
      <alignment horizontal="center" vertical="center"/>
    </xf>
    <xf numFmtId="166" fontId="0" fillId="7" borderId="270" xfId="43" applyNumberFormat="1" applyFont="1" applyFill="1" applyBorder="1" applyAlignment="1" applyProtection="1">
      <alignment vertical="center"/>
      <protection locked="0"/>
    </xf>
    <xf numFmtId="1" fontId="6" fillId="0" borderId="304" xfId="42" applyNumberFormat="1" applyBorder="1" applyAlignment="1">
      <alignment horizontal="center" vertical="center" wrapText="1"/>
    </xf>
    <xf numFmtId="170" fontId="13" fillId="0" borderId="304" xfId="42" applyNumberFormat="1" applyFont="1" applyBorder="1" applyAlignment="1">
      <alignment horizontal="left"/>
    </xf>
    <xf numFmtId="164" fontId="0" fillId="7" borderId="304" xfId="43" applyNumberFormat="1" applyFont="1" applyFill="1" applyBorder="1" applyAlignment="1" applyProtection="1">
      <alignment vertical="center"/>
      <protection locked="0"/>
    </xf>
    <xf numFmtId="0" fontId="6" fillId="23" borderId="64" xfId="42" applyFill="1" applyBorder="1"/>
    <xf numFmtId="0" fontId="6" fillId="23" borderId="65" xfId="42" applyFill="1" applyBorder="1"/>
    <xf numFmtId="0" fontId="6" fillId="23" borderId="66" xfId="42" applyFill="1" applyBorder="1"/>
    <xf numFmtId="164" fontId="6" fillId="7" borderId="304" xfId="20" applyNumberFormat="1" applyFill="1" applyBorder="1" applyAlignment="1" applyProtection="1">
      <alignment vertical="center"/>
      <protection locked="0"/>
    </xf>
    <xf numFmtId="0" fontId="6" fillId="7" borderId="309" xfId="42" applyFill="1" applyBorder="1" applyAlignment="1" applyProtection="1">
      <alignment horizontal="left" vertical="center"/>
      <protection locked="0"/>
    </xf>
    <xf numFmtId="0" fontId="6" fillId="7" borderId="307" xfId="42" applyFill="1" applyBorder="1" applyAlignment="1" applyProtection="1">
      <alignment horizontal="left" vertical="center"/>
      <protection locked="0"/>
    </xf>
    <xf numFmtId="0" fontId="6" fillId="7" borderId="307" xfId="42" applyFill="1" applyBorder="1" applyProtection="1">
      <protection locked="0"/>
    </xf>
    <xf numFmtId="0" fontId="6" fillId="7" borderId="306" xfId="42" applyFill="1" applyBorder="1" applyProtection="1">
      <protection locked="0"/>
    </xf>
    <xf numFmtId="166" fontId="0" fillId="7" borderId="307" xfId="43" applyNumberFormat="1" applyFont="1" applyFill="1" applyBorder="1" applyAlignment="1" applyProtection="1">
      <alignment vertical="center"/>
      <protection locked="0"/>
    </xf>
    <xf numFmtId="166" fontId="0" fillId="7" borderId="306" xfId="43" applyNumberFormat="1" applyFont="1" applyFill="1" applyBorder="1" applyAlignment="1" applyProtection="1">
      <alignment vertical="center"/>
      <protection locked="0"/>
    </xf>
    <xf numFmtId="173" fontId="6" fillId="38" borderId="300" xfId="42" applyNumberFormat="1" applyFill="1" applyBorder="1" applyAlignment="1">
      <alignment horizontal="right" vertical="center"/>
    </xf>
    <xf numFmtId="173" fontId="6" fillId="0" borderId="223" xfId="42" applyNumberFormat="1" applyBorder="1" applyAlignment="1">
      <alignment horizontal="right" vertical="center"/>
    </xf>
    <xf numFmtId="9" fontId="6" fillId="7" borderId="276" xfId="42" applyNumberFormat="1" applyFill="1" applyBorder="1" applyAlignment="1" applyProtection="1">
      <alignment horizontal="center" vertical="center"/>
      <protection locked="0"/>
    </xf>
    <xf numFmtId="173" fontId="6" fillId="0" borderId="306" xfId="42" applyNumberFormat="1" applyBorder="1" applyAlignment="1">
      <alignment horizontal="right" vertical="center"/>
    </xf>
    <xf numFmtId="173" fontId="6" fillId="0" borderId="308" xfId="42" applyNumberFormat="1" applyBorder="1" applyAlignment="1">
      <alignment horizontal="right" vertical="center"/>
    </xf>
    <xf numFmtId="9" fontId="0" fillId="7" borderId="309" xfId="37" applyFont="1" applyFill="1" applyBorder="1" applyAlignment="1" applyProtection="1">
      <alignment horizontal="center" vertical="center"/>
      <protection locked="0"/>
    </xf>
    <xf numFmtId="9" fontId="6" fillId="42" borderId="223" xfId="42" applyNumberFormat="1" applyFill="1" applyBorder="1" applyAlignment="1">
      <alignment horizontal="center" vertical="center"/>
    </xf>
    <xf numFmtId="173" fontId="6" fillId="38" borderId="220" xfId="42" applyNumberFormat="1" applyFill="1" applyBorder="1" applyAlignment="1">
      <alignment horizontal="right" vertical="center"/>
    </xf>
    <xf numFmtId="173" fontId="6" fillId="0" borderId="222" xfId="42" applyNumberFormat="1" applyBorder="1" applyAlignment="1">
      <alignment horizontal="right" vertical="center"/>
    </xf>
    <xf numFmtId="173" fontId="6" fillId="38" borderId="311" xfId="42" applyNumberFormat="1" applyFill="1" applyBorder="1" applyAlignment="1">
      <alignment horizontal="right" vertical="center"/>
    </xf>
    <xf numFmtId="173" fontId="6" fillId="38" borderId="223" xfId="42" applyNumberFormat="1" applyFill="1" applyBorder="1" applyAlignment="1">
      <alignment horizontal="right" vertical="center"/>
    </xf>
    <xf numFmtId="0" fontId="6" fillId="7" borderId="283" xfId="42" applyFill="1" applyBorder="1" applyAlignment="1" applyProtection="1">
      <alignment horizontal="left" vertical="center"/>
      <protection locked="0"/>
    </xf>
    <xf numFmtId="0" fontId="6" fillId="7" borderId="241" xfId="42" applyFill="1" applyBorder="1" applyAlignment="1" applyProtection="1">
      <alignment horizontal="left" vertical="center"/>
      <protection locked="0"/>
    </xf>
    <xf numFmtId="0" fontId="6" fillId="7" borderId="241" xfId="42" applyFill="1" applyBorder="1" applyProtection="1">
      <protection locked="0"/>
    </xf>
    <xf numFmtId="0" fontId="6" fillId="7" borderId="284" xfId="42" applyFill="1" applyBorder="1" applyProtection="1">
      <protection locked="0"/>
    </xf>
    <xf numFmtId="173" fontId="6" fillId="38" borderId="203" xfId="42" applyNumberFormat="1" applyFill="1" applyBorder="1" applyAlignment="1">
      <alignment horizontal="right" vertical="center"/>
    </xf>
    <xf numFmtId="173" fontId="6" fillId="0" borderId="203" xfId="42" applyNumberFormat="1" applyBorder="1" applyAlignment="1">
      <alignment horizontal="right" vertical="center"/>
    </xf>
    <xf numFmtId="0" fontId="6" fillId="7" borderId="291" xfId="42" applyFill="1" applyBorder="1" applyAlignment="1" applyProtection="1">
      <alignment horizontal="left" vertical="center"/>
      <protection locked="0"/>
    </xf>
    <xf numFmtId="0" fontId="6" fillId="7" borderId="292" xfId="42" applyFill="1" applyBorder="1" applyAlignment="1" applyProtection="1">
      <alignment horizontal="left" vertical="center"/>
      <protection locked="0"/>
    </xf>
    <xf numFmtId="0" fontId="6" fillId="7" borderId="292" xfId="42" applyFill="1" applyBorder="1" applyProtection="1">
      <protection locked="0"/>
    </xf>
    <xf numFmtId="0" fontId="6" fillId="7" borderId="298" xfId="42" applyFill="1" applyBorder="1" applyProtection="1">
      <protection locked="0"/>
    </xf>
    <xf numFmtId="173" fontId="6" fillId="38" borderId="271" xfId="42" applyNumberFormat="1" applyFill="1" applyBorder="1" applyAlignment="1">
      <alignment horizontal="right" vertical="center"/>
    </xf>
    <xf numFmtId="173" fontId="6" fillId="0" borderId="271" xfId="42" applyNumberFormat="1" applyBorder="1" applyAlignment="1">
      <alignment horizontal="right" vertical="center"/>
    </xf>
    <xf numFmtId="164" fontId="6" fillId="7" borderId="304" xfId="39" applyNumberFormat="1" applyFill="1" applyBorder="1" applyAlignment="1" applyProtection="1">
      <alignment vertical="center"/>
      <protection locked="0"/>
    </xf>
    <xf numFmtId="173" fontId="7" fillId="42" borderId="76" xfId="42" applyNumberFormat="1" applyFont="1" applyFill="1" applyBorder="1" applyAlignment="1">
      <alignment horizontal="right" vertical="center"/>
    </xf>
    <xf numFmtId="9" fontId="19" fillId="10" borderId="111" xfId="37" applyFont="1" applyFill="1" applyBorder="1" applyAlignment="1" applyProtection="1">
      <alignment horizontal="center" vertical="center"/>
    </xf>
    <xf numFmtId="173" fontId="7" fillId="42" borderId="113" xfId="42" applyNumberFormat="1" applyFont="1" applyFill="1" applyBorder="1" applyAlignment="1">
      <alignment horizontal="right" vertical="center"/>
    </xf>
    <xf numFmtId="9" fontId="19" fillId="10" borderId="120" xfId="37" applyFont="1" applyFill="1" applyBorder="1" applyAlignment="1" applyProtection="1">
      <alignment horizontal="center" vertical="center"/>
    </xf>
    <xf numFmtId="0" fontId="6" fillId="7" borderId="230" xfId="42" applyFill="1" applyBorder="1" applyAlignment="1" applyProtection="1">
      <alignment horizontal="left" vertical="center"/>
      <protection locked="0"/>
    </xf>
    <xf numFmtId="0" fontId="6" fillId="7" borderId="47" xfId="42" applyFill="1" applyBorder="1" applyAlignment="1" applyProtection="1">
      <alignment horizontal="left" vertical="center"/>
      <protection locked="0"/>
    </xf>
    <xf numFmtId="0" fontId="6" fillId="7" borderId="47" xfId="42" applyFill="1" applyBorder="1" applyProtection="1">
      <protection locked="0"/>
    </xf>
    <xf numFmtId="0" fontId="6" fillId="7" borderId="229" xfId="42" applyFill="1" applyBorder="1" applyProtection="1">
      <protection locked="0"/>
    </xf>
    <xf numFmtId="0" fontId="6" fillId="23" borderId="0" xfId="42" applyFill="1" applyAlignment="1">
      <alignment horizontal="center" vertical="center"/>
    </xf>
    <xf numFmtId="164" fontId="6" fillId="7" borderId="304" xfId="41" applyNumberFormat="1" applyFill="1" applyBorder="1" applyAlignment="1" applyProtection="1">
      <alignment vertical="center"/>
      <protection locked="0"/>
    </xf>
    <xf numFmtId="173" fontId="6" fillId="23" borderId="0" xfId="42" applyNumberFormat="1" applyFill="1"/>
    <xf numFmtId="173" fontId="7" fillId="42" borderId="119" xfId="42" applyNumberFormat="1" applyFont="1" applyFill="1" applyBorder="1" applyAlignment="1">
      <alignment horizontal="right" vertical="center"/>
    </xf>
    <xf numFmtId="0" fontId="4" fillId="40" borderId="304" xfId="42" applyFont="1" applyFill="1" applyBorder="1" applyAlignment="1">
      <alignment horizontal="center" vertical="center" wrapText="1"/>
    </xf>
    <xf numFmtId="0" fontId="4" fillId="18" borderId="304" xfId="42" applyFont="1" applyFill="1" applyBorder="1" applyAlignment="1">
      <alignment horizontal="left" vertical="center"/>
    </xf>
    <xf numFmtId="164" fontId="4" fillId="40" borderId="304" xfId="42" applyNumberFormat="1" applyFont="1" applyFill="1" applyBorder="1" applyAlignment="1">
      <alignment horizontal="center" vertical="center" wrapText="1"/>
    </xf>
    <xf numFmtId="174" fontId="6" fillId="23" borderId="0" xfId="42" applyNumberFormat="1" applyFill="1"/>
    <xf numFmtId="175" fontId="1" fillId="0" borderId="0" xfId="43" applyNumberFormat="1" applyProtection="1"/>
    <xf numFmtId="175" fontId="6" fillId="23" borderId="0" xfId="42" applyNumberFormat="1" applyFill="1"/>
    <xf numFmtId="0" fontId="0" fillId="66" borderId="0" xfId="0" applyFill="1" applyAlignment="1">
      <alignment horizontal="center"/>
    </xf>
    <xf numFmtId="9" fontId="6" fillId="2" borderId="0" xfId="3" applyFont="1" applyFill="1" applyBorder="1" applyAlignment="1" applyProtection="1">
      <alignment horizontal="center" vertical="center"/>
    </xf>
    <xf numFmtId="167" fontId="0" fillId="26" borderId="61" xfId="2" applyNumberFormat="1" applyFont="1" applyFill="1" applyBorder="1" applyAlignment="1" applyProtection="1">
      <alignment vertical="center"/>
    </xf>
    <xf numFmtId="167" fontId="0" fillId="26" borderId="0" xfId="2" applyNumberFormat="1" applyFont="1" applyFill="1" applyBorder="1" applyAlignment="1" applyProtection="1">
      <alignment vertical="center"/>
    </xf>
    <xf numFmtId="167" fontId="0" fillId="26" borderId="70" xfId="2" applyNumberFormat="1" applyFont="1" applyFill="1" applyBorder="1" applyAlignment="1" applyProtection="1">
      <alignment vertical="center"/>
    </xf>
    <xf numFmtId="167" fontId="0" fillId="26" borderId="64" xfId="2" applyNumberFormat="1" applyFont="1" applyFill="1" applyBorder="1" applyAlignment="1" applyProtection="1">
      <alignment vertical="center"/>
    </xf>
    <xf numFmtId="167" fontId="0" fillId="26" borderId="65" xfId="2" applyNumberFormat="1" applyFont="1" applyFill="1" applyBorder="1" applyAlignment="1" applyProtection="1">
      <alignment vertical="center"/>
    </xf>
    <xf numFmtId="166" fontId="0" fillId="2" borderId="170" xfId="2" applyNumberFormat="1" applyFont="1" applyFill="1" applyBorder="1" applyAlignment="1" applyProtection="1">
      <alignment vertical="center"/>
    </xf>
    <xf numFmtId="166" fontId="0" fillId="2" borderId="279" xfId="2" applyNumberFormat="1" applyFont="1" applyFill="1" applyBorder="1" applyAlignment="1" applyProtection="1">
      <alignment vertical="center"/>
    </xf>
    <xf numFmtId="166" fontId="0" fillId="2" borderId="257" xfId="2" applyNumberFormat="1" applyFont="1" applyFill="1" applyBorder="1" applyAlignment="1" applyProtection="1">
      <alignment vertical="center"/>
    </xf>
    <xf numFmtId="167" fontId="0" fillId="26" borderId="276" xfId="2" applyNumberFormat="1" applyFont="1" applyFill="1" applyBorder="1" applyAlignment="1" applyProtection="1">
      <alignment horizontal="center" vertical="center"/>
    </xf>
    <xf numFmtId="166" fontId="0" fillId="2" borderId="307" xfId="2" applyNumberFormat="1" applyFont="1" applyFill="1" applyBorder="1" applyAlignment="1" applyProtection="1">
      <alignment vertical="center"/>
    </xf>
    <xf numFmtId="166" fontId="0" fillId="2" borderId="308" xfId="2" applyNumberFormat="1" applyFont="1" applyFill="1" applyBorder="1" applyAlignment="1" applyProtection="1">
      <alignment vertical="center"/>
    </xf>
    <xf numFmtId="167" fontId="0" fillId="26" borderId="140" xfId="2" applyNumberFormat="1" applyFont="1" applyFill="1" applyBorder="1" applyAlignment="1" applyProtection="1">
      <alignment vertical="center"/>
    </xf>
    <xf numFmtId="167" fontId="0" fillId="26" borderId="303" xfId="2" applyNumberFormat="1" applyFont="1" applyFill="1" applyBorder="1" applyAlignment="1" applyProtection="1">
      <alignment vertical="center"/>
    </xf>
    <xf numFmtId="167" fontId="0" fillId="26" borderId="283" xfId="2" applyNumberFormat="1" applyFont="1" applyFill="1" applyBorder="1" applyAlignment="1" applyProtection="1">
      <alignment vertical="center"/>
    </xf>
    <xf numFmtId="167" fontId="0" fillId="26" borderId="182" xfId="2" applyNumberFormat="1" applyFont="1" applyFill="1" applyBorder="1" applyAlignment="1" applyProtection="1">
      <alignment vertical="center"/>
    </xf>
    <xf numFmtId="167" fontId="0" fillId="26" borderId="249" xfId="2" applyNumberFormat="1" applyFont="1" applyFill="1" applyBorder="1" applyAlignment="1" applyProtection="1">
      <alignment vertical="center"/>
    </xf>
    <xf numFmtId="166" fontId="0" fillId="2" borderId="276" xfId="2" applyNumberFormat="1" applyFont="1" applyFill="1" applyBorder="1" applyAlignment="1" applyProtection="1">
      <alignment vertical="center"/>
    </xf>
    <xf numFmtId="166" fontId="0" fillId="2" borderId="263" xfId="2" applyNumberFormat="1" applyFont="1" applyFill="1" applyBorder="1" applyAlignment="1" applyProtection="1">
      <alignment vertical="center"/>
    </xf>
    <xf numFmtId="166" fontId="0" fillId="2" borderId="320" xfId="2" applyNumberFormat="1" applyFont="1" applyFill="1" applyBorder="1" applyAlignment="1" applyProtection="1">
      <alignment vertical="center"/>
    </xf>
    <xf numFmtId="166" fontId="0" fillId="2" borderId="288" xfId="2" applyNumberFormat="1" applyFont="1" applyFill="1" applyBorder="1" applyAlignment="1" applyProtection="1">
      <alignment vertical="center"/>
    </xf>
    <xf numFmtId="166" fontId="0" fillId="2" borderId="294" xfId="2" applyNumberFormat="1" applyFont="1" applyFill="1" applyBorder="1" applyAlignment="1" applyProtection="1">
      <alignment vertical="center"/>
    </xf>
    <xf numFmtId="166" fontId="0" fillId="2" borderId="293" xfId="2" applyNumberFormat="1" applyFont="1" applyFill="1" applyBorder="1" applyAlignment="1" applyProtection="1">
      <alignment vertical="center"/>
    </xf>
    <xf numFmtId="167" fontId="0" fillId="26" borderId="319" xfId="2" applyNumberFormat="1" applyFont="1" applyFill="1" applyBorder="1" applyAlignment="1" applyProtection="1">
      <alignment vertical="center"/>
    </xf>
    <xf numFmtId="167" fontId="0" fillId="26" borderId="323" xfId="2" applyNumberFormat="1" applyFont="1" applyFill="1" applyBorder="1" applyAlignment="1" applyProtection="1">
      <alignment vertical="center"/>
    </xf>
    <xf numFmtId="167" fontId="0" fillId="26" borderId="324" xfId="2" applyNumberFormat="1" applyFont="1" applyFill="1" applyBorder="1" applyAlignment="1" applyProtection="1">
      <alignment vertical="center"/>
    </xf>
    <xf numFmtId="166" fontId="0" fillId="2" borderId="326" xfId="2" applyNumberFormat="1" applyFont="1" applyFill="1" applyBorder="1" applyAlignment="1" applyProtection="1">
      <alignment vertical="center"/>
    </xf>
    <xf numFmtId="166" fontId="0" fillId="2" borderId="327" xfId="2" applyNumberFormat="1" applyFont="1" applyFill="1" applyBorder="1" applyAlignment="1" applyProtection="1">
      <alignment vertical="center"/>
    </xf>
    <xf numFmtId="167" fontId="0" fillId="26" borderId="328" xfId="2" applyNumberFormat="1" applyFont="1" applyFill="1" applyBorder="1" applyAlignment="1" applyProtection="1">
      <alignment vertical="center"/>
    </xf>
    <xf numFmtId="167" fontId="0" fillId="26" borderId="329" xfId="2" applyNumberFormat="1" applyFont="1" applyFill="1" applyBorder="1" applyAlignment="1" applyProtection="1">
      <alignment vertical="center"/>
    </xf>
    <xf numFmtId="166" fontId="0" fillId="2" borderId="301" xfId="2" applyNumberFormat="1" applyFont="1" applyFill="1" applyBorder="1" applyAlignment="1" applyProtection="1">
      <alignment vertical="center"/>
    </xf>
    <xf numFmtId="0" fontId="0" fillId="0" borderId="162" xfId="0" applyBorder="1" applyAlignment="1">
      <alignment horizontal="left" vertical="center"/>
    </xf>
    <xf numFmtId="0" fontId="0" fillId="2" borderId="311" xfId="0" applyFill="1" applyBorder="1" applyAlignment="1">
      <alignment horizontal="left" vertical="center"/>
    </xf>
    <xf numFmtId="0" fontId="0" fillId="0" borderId="216" xfId="0" applyBorder="1" applyAlignment="1">
      <alignment horizontal="left" vertical="center"/>
    </xf>
    <xf numFmtId="168" fontId="0" fillId="0" borderId="0" xfId="0" applyNumberFormat="1"/>
    <xf numFmtId="0" fontId="0" fillId="2" borderId="216" xfId="0" applyFill="1" applyBorder="1" applyAlignment="1">
      <alignment horizontal="right" vertical="center"/>
    </xf>
    <xf numFmtId="0" fontId="0" fillId="2" borderId="217" xfId="0" applyFill="1" applyBorder="1" applyAlignment="1">
      <alignment horizontal="right" vertical="center"/>
    </xf>
    <xf numFmtId="0" fontId="0" fillId="0" borderId="247" xfId="0" applyBorder="1" applyAlignment="1">
      <alignment horizontal="left" vertical="center"/>
    </xf>
    <xf numFmtId="0" fontId="0" fillId="0" borderId="140" xfId="0" applyBorder="1" applyAlignment="1">
      <alignment horizontal="left" vertical="center"/>
    </xf>
    <xf numFmtId="0" fontId="0" fillId="0" borderId="259" xfId="0" applyBorder="1" applyAlignment="1">
      <alignment horizontal="left" vertical="center"/>
    </xf>
    <xf numFmtId="0" fontId="0" fillId="0" borderId="219" xfId="0" applyBorder="1" applyAlignment="1">
      <alignment horizontal="left" vertical="center"/>
    </xf>
    <xf numFmtId="0" fontId="0" fillId="0" borderId="217" xfId="0" applyBorder="1" applyAlignment="1">
      <alignment horizontal="left" vertical="center"/>
    </xf>
    <xf numFmtId="0" fontId="0" fillId="0" borderId="44" xfId="0" applyBorder="1" applyAlignment="1">
      <alignment horizontal="left" vertical="center"/>
    </xf>
    <xf numFmtId="0" fontId="0" fillId="0" borderId="218" xfId="0" applyBorder="1" applyAlignment="1">
      <alignment horizontal="left" vertical="center"/>
    </xf>
    <xf numFmtId="6" fontId="0" fillId="0" borderId="0" xfId="0" applyNumberFormat="1"/>
    <xf numFmtId="10" fontId="0" fillId="0" borderId="0" xfId="0" applyNumberFormat="1"/>
    <xf numFmtId="0" fontId="41"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42" fillId="0" borderId="0" xfId="0" applyFont="1" applyAlignment="1">
      <alignment vertical="center"/>
    </xf>
    <xf numFmtId="3" fontId="41" fillId="0" borderId="0" xfId="3" applyNumberFormat="1" applyFont="1" applyBorder="1" applyAlignment="1" applyProtection="1">
      <alignment vertical="center"/>
    </xf>
    <xf numFmtId="9" fontId="41" fillId="0" borderId="0" xfId="3" applyFont="1" applyBorder="1" applyAlignment="1" applyProtection="1">
      <alignment vertical="center"/>
    </xf>
    <xf numFmtId="0" fontId="22" fillId="0" borderId="0" xfId="0" applyFont="1" applyAlignment="1">
      <alignment horizontal="right" vertical="center"/>
    </xf>
    <xf numFmtId="0" fontId="43" fillId="23" borderId="0" xfId="0" applyFont="1" applyFill="1" applyAlignment="1">
      <alignment horizontal="left" vertical="center" indent="2"/>
    </xf>
    <xf numFmtId="164" fontId="22" fillId="0" borderId="0" xfId="0" applyNumberFormat="1" applyFont="1" applyAlignment="1">
      <alignment horizontal="center" vertical="center" wrapText="1"/>
    </xf>
    <xf numFmtId="164" fontId="40" fillId="68" borderId="316" xfId="0" applyNumberFormat="1" applyFont="1" applyFill="1" applyBorder="1" applyAlignment="1">
      <alignment horizontal="center" vertical="center" wrapText="1"/>
    </xf>
    <xf numFmtId="164" fontId="40" fillId="68" borderId="317" xfId="0" applyNumberFormat="1" applyFont="1" applyFill="1" applyBorder="1" applyAlignment="1">
      <alignment horizontal="center" vertical="center" wrapText="1"/>
    </xf>
    <xf numFmtId="164" fontId="40" fillId="68" borderId="318" xfId="0" applyNumberFormat="1" applyFont="1" applyFill="1" applyBorder="1" applyAlignment="1">
      <alignment horizontal="center" vertical="center" wrapText="1"/>
    </xf>
    <xf numFmtId="164" fontId="22" fillId="8" borderId="64" xfId="0" applyNumberFormat="1" applyFont="1" applyFill="1" applyBorder="1" applyAlignment="1">
      <alignment horizontal="center" vertical="center" wrapText="1"/>
    </xf>
    <xf numFmtId="164" fontId="22" fillId="8" borderId="317" xfId="0" applyNumberFormat="1" applyFont="1" applyFill="1" applyBorder="1" applyAlignment="1">
      <alignment horizontal="center" vertical="center" wrapText="1"/>
    </xf>
    <xf numFmtId="164" fontId="22" fillId="8" borderId="66" xfId="0" applyNumberFormat="1" applyFont="1" applyFill="1" applyBorder="1" applyAlignment="1">
      <alignment horizontal="center" vertical="center" wrapText="1"/>
    </xf>
    <xf numFmtId="164" fontId="22" fillId="3" borderId="316" xfId="0" applyNumberFormat="1" applyFont="1" applyFill="1" applyBorder="1" applyAlignment="1">
      <alignment horizontal="center" vertical="center" wrapText="1"/>
    </xf>
    <xf numFmtId="164" fontId="22" fillId="3" borderId="317" xfId="0" applyNumberFormat="1" applyFont="1" applyFill="1" applyBorder="1" applyAlignment="1">
      <alignment horizontal="center" vertical="center" wrapText="1"/>
    </xf>
    <xf numFmtId="164" fontId="22" fillId="3" borderId="318" xfId="0" applyNumberFormat="1" applyFont="1" applyFill="1" applyBorder="1" applyAlignment="1">
      <alignment horizontal="center" vertical="center" wrapText="1"/>
    </xf>
    <xf numFmtId="164" fontId="22" fillId="15" borderId="38" xfId="0" applyNumberFormat="1" applyFont="1" applyFill="1" applyBorder="1" applyAlignment="1">
      <alignment horizontal="center" vertical="center" wrapText="1"/>
    </xf>
    <xf numFmtId="164" fontId="22" fillId="15" borderId="19" xfId="0" applyNumberFormat="1" applyFont="1" applyFill="1" applyBorder="1" applyAlignment="1">
      <alignment horizontal="center" vertical="center" wrapText="1"/>
    </xf>
    <xf numFmtId="164" fontId="22" fillId="15" borderId="39" xfId="0" applyNumberFormat="1" applyFont="1" applyFill="1" applyBorder="1" applyAlignment="1">
      <alignment horizontal="center" vertical="center" wrapText="1"/>
    </xf>
    <xf numFmtId="168" fontId="22" fillId="25" borderId="52" xfId="0" applyNumberFormat="1" applyFont="1" applyFill="1" applyBorder="1" applyAlignment="1">
      <alignment horizontal="center"/>
    </xf>
    <xf numFmtId="168" fontId="22" fillId="25" borderId="57" xfId="0" applyNumberFormat="1" applyFont="1" applyFill="1" applyBorder="1" applyAlignment="1">
      <alignment horizontal="center"/>
    </xf>
    <xf numFmtId="168" fontId="22" fillId="28" borderId="57" xfId="0" applyNumberFormat="1" applyFont="1" applyFill="1" applyBorder="1" applyAlignment="1">
      <alignment horizontal="center"/>
    </xf>
    <xf numFmtId="168" fontId="22" fillId="25" borderId="60" xfId="0" applyNumberFormat="1" applyFont="1" applyFill="1" applyBorder="1" applyAlignment="1">
      <alignment horizontal="center"/>
    </xf>
    <xf numFmtId="168" fontId="22" fillId="25" borderId="28" xfId="0" applyNumberFormat="1" applyFont="1" applyFill="1" applyBorder="1" applyAlignment="1">
      <alignment horizontal="center"/>
    </xf>
    <xf numFmtId="168" fontId="22" fillId="25" borderId="238" xfId="0" applyNumberFormat="1" applyFont="1" applyFill="1" applyBorder="1" applyAlignment="1">
      <alignment horizontal="center"/>
    </xf>
    <xf numFmtId="166" fontId="25" fillId="2" borderId="69" xfId="2" applyNumberFormat="1" applyFont="1" applyFill="1" applyBorder="1" applyAlignment="1" applyProtection="1">
      <alignment vertical="center"/>
    </xf>
    <xf numFmtId="166" fontId="25" fillId="2" borderId="241" xfId="2" applyNumberFormat="1" applyFont="1" applyFill="1" applyBorder="1" applyAlignment="1" applyProtection="1">
      <alignment vertical="center"/>
    </xf>
    <xf numFmtId="166" fontId="25" fillId="2" borderId="242" xfId="2" applyNumberFormat="1" applyFont="1" applyFill="1" applyBorder="1" applyAlignment="1" applyProtection="1">
      <alignment vertical="center"/>
    </xf>
    <xf numFmtId="168" fontId="22" fillId="25" borderId="278" xfId="0" applyNumberFormat="1" applyFont="1" applyFill="1" applyBorder="1" applyAlignment="1">
      <alignment horizontal="center"/>
    </xf>
    <xf numFmtId="166" fontId="25" fillId="2" borderId="243" xfId="2" applyNumberFormat="1" applyFont="1" applyFill="1" applyBorder="1" applyAlignment="1" applyProtection="1">
      <alignment vertical="center"/>
    </xf>
    <xf numFmtId="166" fontId="25" fillId="2" borderId="244" xfId="2" applyNumberFormat="1" applyFont="1" applyFill="1" applyBorder="1" applyAlignment="1" applyProtection="1">
      <alignment vertical="center"/>
    </xf>
    <xf numFmtId="166" fontId="25" fillId="2" borderId="245" xfId="2" applyNumberFormat="1" applyFont="1" applyFill="1" applyBorder="1" applyAlignment="1" applyProtection="1">
      <alignment vertical="center"/>
    </xf>
    <xf numFmtId="168" fontId="25" fillId="7" borderId="244" xfId="2" applyNumberFormat="1" applyFont="1" applyFill="1" applyBorder="1" applyAlignment="1" applyProtection="1">
      <alignment horizontal="center" vertical="center"/>
      <protection locked="0"/>
    </xf>
    <xf numFmtId="168" fontId="25" fillId="7" borderId="245" xfId="2" applyNumberFormat="1" applyFont="1" applyFill="1" applyBorder="1" applyAlignment="1" applyProtection="1">
      <alignment horizontal="center" vertical="center"/>
      <protection locked="0"/>
    </xf>
    <xf numFmtId="168" fontId="22" fillId="25" borderId="218" xfId="0" applyNumberFormat="1" applyFont="1" applyFill="1" applyBorder="1" applyAlignment="1">
      <alignment horizontal="center"/>
    </xf>
    <xf numFmtId="168" fontId="22" fillId="25" borderId="51" xfId="0" applyNumberFormat="1" applyFont="1" applyFill="1" applyBorder="1" applyAlignment="1">
      <alignment horizontal="center"/>
    </xf>
    <xf numFmtId="168" fontId="22" fillId="25" borderId="33" xfId="0" applyNumberFormat="1" applyFont="1" applyFill="1" applyBorder="1" applyAlignment="1">
      <alignment horizontal="center"/>
    </xf>
    <xf numFmtId="168" fontId="22" fillId="25" borderId="44" xfId="0" applyNumberFormat="1" applyFont="1" applyFill="1" applyBorder="1" applyAlignment="1">
      <alignment horizontal="center"/>
    </xf>
    <xf numFmtId="168" fontId="22" fillId="25" borderId="41" xfId="0" applyNumberFormat="1" applyFont="1" applyFill="1" applyBorder="1" applyAlignment="1">
      <alignment horizontal="center"/>
    </xf>
    <xf numFmtId="0" fontId="0" fillId="25" borderId="28" xfId="0" applyFill="1" applyBorder="1" applyAlignment="1">
      <alignment horizontal="left" vertical="center"/>
    </xf>
    <xf numFmtId="166" fontId="25" fillId="25" borderId="170" xfId="2" applyNumberFormat="1" applyFont="1" applyFill="1" applyBorder="1" applyAlignment="1" applyProtection="1">
      <alignment vertical="center"/>
    </xf>
    <xf numFmtId="166" fontId="25" fillId="25" borderId="279" xfId="2" applyNumberFormat="1" applyFont="1" applyFill="1" applyBorder="1" applyAlignment="1" applyProtection="1">
      <alignment vertical="center"/>
    </xf>
    <xf numFmtId="166" fontId="25" fillId="25" borderId="257" xfId="2" applyNumberFormat="1" applyFont="1" applyFill="1" applyBorder="1" applyAlignment="1" applyProtection="1">
      <alignment vertical="center"/>
    </xf>
    <xf numFmtId="166" fontId="0" fillId="25" borderId="170" xfId="2" applyNumberFormat="1" applyFont="1" applyFill="1" applyBorder="1" applyAlignment="1" applyProtection="1">
      <alignment vertical="center"/>
    </xf>
    <xf numFmtId="166" fontId="0" fillId="25" borderId="279" xfId="2" applyNumberFormat="1" applyFont="1" applyFill="1" applyBorder="1" applyAlignment="1" applyProtection="1">
      <alignment vertical="center"/>
    </xf>
    <xf numFmtId="166" fontId="0" fillId="25" borderId="257" xfId="2" applyNumberFormat="1" applyFont="1" applyFill="1" applyBorder="1" applyAlignment="1" applyProtection="1">
      <alignment vertical="center"/>
    </xf>
    <xf numFmtId="166" fontId="0" fillId="69" borderId="279" xfId="2" applyNumberFormat="1" applyFont="1" applyFill="1" applyBorder="1" applyAlignment="1" applyProtection="1">
      <alignment vertical="center"/>
    </xf>
    <xf numFmtId="0" fontId="0" fillId="7" borderId="0" xfId="0" applyFill="1" applyProtection="1">
      <protection locked="0"/>
    </xf>
    <xf numFmtId="42" fontId="0" fillId="0" borderId="0" xfId="6" applyFont="1"/>
    <xf numFmtId="42" fontId="0" fillId="0" borderId="0" xfId="0" applyNumberFormat="1"/>
    <xf numFmtId="0" fontId="0" fillId="2" borderId="127" xfId="0" applyFill="1" applyBorder="1"/>
    <xf numFmtId="0" fontId="0" fillId="2" borderId="230" xfId="0" applyFill="1" applyBorder="1"/>
    <xf numFmtId="164" fontId="22" fillId="2" borderId="119" xfId="3" applyNumberFormat="1" applyFont="1" applyFill="1" applyBorder="1" applyAlignment="1">
      <alignment horizontal="center" vertical="center"/>
    </xf>
    <xf numFmtId="167" fontId="0" fillId="7" borderId="263" xfId="2" applyNumberFormat="1" applyFont="1" applyFill="1" applyBorder="1" applyAlignment="1" applyProtection="1">
      <alignment horizontal="center" vertical="center"/>
    </xf>
    <xf numFmtId="167" fontId="0" fillId="7" borderId="279" xfId="2" applyNumberFormat="1" applyFont="1" applyFill="1" applyBorder="1" applyAlignment="1" applyProtection="1">
      <alignment horizontal="center" vertical="center"/>
    </xf>
    <xf numFmtId="167" fontId="0" fillId="7" borderId="248" xfId="2" applyNumberFormat="1" applyFont="1" applyFill="1" applyBorder="1" applyAlignment="1" applyProtection="1">
      <alignment horizontal="center" vertical="center"/>
    </xf>
    <xf numFmtId="167" fontId="0" fillId="7" borderId="230" xfId="2" applyNumberFormat="1" applyFont="1" applyFill="1" applyBorder="1" applyAlignment="1" applyProtection="1">
      <alignment horizontal="center" vertical="center"/>
    </xf>
    <xf numFmtId="167" fontId="0" fillId="7" borderId="47" xfId="2" applyNumberFormat="1" applyFont="1" applyFill="1" applyBorder="1" applyAlignment="1" applyProtection="1">
      <alignment horizontal="center" vertical="center"/>
    </xf>
    <xf numFmtId="167" fontId="0" fillId="7" borderId="229" xfId="2" applyNumberFormat="1" applyFont="1" applyFill="1" applyBorder="1" applyAlignment="1" applyProtection="1">
      <alignment horizontal="center" vertical="center"/>
    </xf>
    <xf numFmtId="167" fontId="0" fillId="7" borderId="182" xfId="2" applyNumberFormat="1" applyFont="1" applyFill="1" applyBorder="1" applyAlignment="1" applyProtection="1">
      <alignment horizontal="center" vertical="center"/>
    </xf>
    <xf numFmtId="167" fontId="0" fillId="7" borderId="106" xfId="2" applyNumberFormat="1" applyFont="1" applyFill="1" applyBorder="1" applyAlignment="1" applyProtection="1">
      <alignment horizontal="center" vertical="center"/>
    </xf>
    <xf numFmtId="167" fontId="0" fillId="7" borderId="251" xfId="2" applyNumberFormat="1" applyFont="1" applyFill="1" applyBorder="1" applyAlignment="1" applyProtection="1">
      <alignment horizontal="center" vertical="center"/>
    </xf>
    <xf numFmtId="167" fontId="0" fillId="7" borderId="198" xfId="2" applyNumberFormat="1" applyFont="1" applyFill="1" applyBorder="1" applyAlignment="1" applyProtection="1">
      <alignment horizontal="center" vertical="center"/>
    </xf>
    <xf numFmtId="167" fontId="0" fillId="7" borderId="224" xfId="2" applyNumberFormat="1" applyFont="1" applyFill="1" applyBorder="1" applyAlignment="1" applyProtection="1">
      <alignment horizontal="center" vertical="center"/>
    </xf>
    <xf numFmtId="167" fontId="0" fillId="7" borderId="249" xfId="2" applyNumberFormat="1" applyFont="1" applyFill="1" applyBorder="1" applyAlignment="1" applyProtection="1">
      <alignment horizontal="center" vertical="center"/>
    </xf>
    <xf numFmtId="167" fontId="0" fillId="7" borderId="250" xfId="2" applyNumberFormat="1" applyFont="1" applyFill="1" applyBorder="1" applyAlignment="1" applyProtection="1">
      <alignment horizontal="center" vertical="center"/>
    </xf>
    <xf numFmtId="167" fontId="0" fillId="25" borderId="263" xfId="2" applyNumberFormat="1" applyFont="1" applyFill="1" applyBorder="1" applyAlignment="1" applyProtection="1">
      <alignment horizontal="center" vertical="center"/>
    </xf>
    <xf numFmtId="167" fontId="0" fillId="25" borderId="279" xfId="2" applyNumberFormat="1" applyFont="1" applyFill="1" applyBorder="1" applyAlignment="1" applyProtection="1">
      <alignment horizontal="center" vertical="center"/>
    </xf>
    <xf numFmtId="167" fontId="0" fillId="25" borderId="248" xfId="2" applyNumberFormat="1" applyFont="1" applyFill="1" applyBorder="1" applyAlignment="1" applyProtection="1">
      <alignment horizontal="center" vertical="center"/>
    </xf>
    <xf numFmtId="167" fontId="0" fillId="7" borderId="228" xfId="2" applyNumberFormat="1" applyFont="1" applyFill="1" applyBorder="1" applyAlignment="1" applyProtection="1">
      <alignment horizontal="center" vertical="center"/>
    </xf>
    <xf numFmtId="167" fontId="0" fillId="7" borderId="306" xfId="2" applyNumberFormat="1" applyFont="1" applyFill="1" applyBorder="1" applyAlignment="1" applyProtection="1">
      <alignment horizontal="center" vertical="center"/>
    </xf>
    <xf numFmtId="0" fontId="0" fillId="0" borderId="0" xfId="0" applyAlignment="1" applyProtection="1">
      <alignment horizontal="left" vertical="center" wrapText="1"/>
      <protection locked="0"/>
    </xf>
    <xf numFmtId="166" fontId="0" fillId="0" borderId="0" xfId="0" applyNumberFormat="1"/>
    <xf numFmtId="0" fontId="2" fillId="0" borderId="0" xfId="0" applyFont="1" applyAlignment="1">
      <alignment horizontal="left" vertical="center"/>
    </xf>
    <xf numFmtId="0" fontId="0" fillId="0" borderId="0" xfId="0" applyAlignment="1">
      <alignment horizontal="right" vertical="center"/>
    </xf>
    <xf numFmtId="167" fontId="0" fillId="0" borderId="0" xfId="2" applyNumberFormat="1" applyFont="1" applyFill="1" applyBorder="1" applyAlignment="1" applyProtection="1">
      <alignment vertical="center"/>
    </xf>
    <xf numFmtId="166" fontId="6" fillId="0" borderId="0" xfId="2" applyNumberFormat="1" applyFont="1" applyFill="1" applyBorder="1" applyAlignment="1" applyProtection="1">
      <alignment vertical="center"/>
    </xf>
    <xf numFmtId="167" fontId="0" fillId="0" borderId="0" xfId="2" applyNumberFormat="1" applyFont="1" applyFill="1" applyBorder="1" applyAlignment="1" applyProtection="1">
      <alignment horizontal="center" vertical="center"/>
    </xf>
    <xf numFmtId="0" fontId="44" fillId="0" borderId="0" xfId="0" applyFont="1" applyAlignment="1">
      <alignment vertical="center"/>
    </xf>
    <xf numFmtId="0" fontId="44" fillId="0" borderId="0" xfId="0" applyFont="1" applyAlignment="1">
      <alignment horizontal="left" vertical="center" indent="1"/>
    </xf>
    <xf numFmtId="0" fontId="44" fillId="0" borderId="0" xfId="0" applyFont="1" applyAlignment="1">
      <alignment horizontal="left" vertical="center" indent="5"/>
    </xf>
    <xf numFmtId="166" fontId="1" fillId="7" borderId="304" xfId="43" applyNumberFormat="1" applyFont="1" applyFill="1" applyBorder="1" applyAlignment="1" applyProtection="1">
      <alignment vertical="center"/>
      <protection locked="0"/>
    </xf>
    <xf numFmtId="166" fontId="1" fillId="7" borderId="279" xfId="43" applyNumberFormat="1" applyFont="1" applyFill="1" applyBorder="1" applyAlignment="1" applyProtection="1">
      <alignment vertical="center"/>
      <protection locked="0"/>
    </xf>
    <xf numFmtId="166" fontId="1" fillId="7" borderId="281" xfId="43" applyNumberFormat="1" applyFont="1" applyFill="1" applyBorder="1" applyAlignment="1" applyProtection="1">
      <alignment vertical="center"/>
      <protection locked="0"/>
    </xf>
    <xf numFmtId="166" fontId="1" fillId="7" borderId="304" xfId="43" applyNumberFormat="1" applyFont="1" applyFill="1" applyBorder="1" applyAlignment="1">
      <alignment vertical="center"/>
    </xf>
    <xf numFmtId="166" fontId="1" fillId="7" borderId="270" xfId="43" applyNumberFormat="1" applyFont="1" applyFill="1" applyBorder="1" applyAlignment="1">
      <alignment vertical="center"/>
    </xf>
    <xf numFmtId="166" fontId="1" fillId="7" borderId="270" xfId="43" applyNumberFormat="1" applyFont="1" applyFill="1" applyBorder="1" applyAlignment="1" applyProtection="1">
      <alignment vertical="center"/>
      <protection locked="0"/>
    </xf>
    <xf numFmtId="166" fontId="1" fillId="7" borderId="47" xfId="43" applyNumberFormat="1" applyFont="1" applyFill="1" applyBorder="1" applyAlignment="1" applyProtection="1">
      <alignment vertical="center"/>
      <protection locked="0"/>
    </xf>
    <xf numFmtId="166" fontId="1" fillId="7" borderId="229" xfId="43" applyNumberFormat="1" applyFont="1" applyFill="1" applyBorder="1" applyAlignment="1" applyProtection="1">
      <alignment vertical="center"/>
      <protection locked="0"/>
    </xf>
    <xf numFmtId="173" fontId="25" fillId="38" borderId="299" xfId="42" applyNumberFormat="1" applyFont="1" applyFill="1" applyBorder="1" applyAlignment="1">
      <alignment horizontal="right" vertical="center"/>
    </xf>
    <xf numFmtId="173" fontId="25" fillId="0" borderId="220" xfId="42" applyNumberFormat="1" applyFont="1" applyBorder="1" applyAlignment="1">
      <alignment horizontal="right" vertical="center"/>
    </xf>
    <xf numFmtId="173" fontId="25" fillId="38" borderId="312" xfId="42" applyNumberFormat="1" applyFont="1" applyFill="1" applyBorder="1" applyAlignment="1">
      <alignment horizontal="right" vertical="center"/>
    </xf>
    <xf numFmtId="173" fontId="25" fillId="0" borderId="311" xfId="42" applyNumberFormat="1" applyFont="1" applyBorder="1" applyAlignment="1">
      <alignment horizontal="right" vertical="center"/>
    </xf>
    <xf numFmtId="0" fontId="11" fillId="0" borderId="0" xfId="4" applyBorder="1" applyAlignment="1" applyProtection="1">
      <alignment horizontal="left" vertical="center"/>
    </xf>
    <xf numFmtId="0" fontId="11" fillId="0" borderId="0" xfId="4" applyBorder="1" applyAlignment="1" applyProtection="1">
      <alignment horizontal="left" vertical="center" wrapText="1"/>
    </xf>
    <xf numFmtId="0" fontId="11" fillId="0" borderId="0" xfId="4" applyBorder="1" applyAlignment="1" applyProtection="1">
      <alignment horizontal="center" vertical="center"/>
    </xf>
    <xf numFmtId="0" fontId="0" fillId="2" borderId="225" xfId="0" applyFill="1" applyBorder="1" applyAlignment="1">
      <alignment horizontal="right"/>
    </xf>
    <xf numFmtId="0" fontId="0" fillId="2" borderId="214" xfId="0" applyFill="1" applyBorder="1" applyAlignment="1">
      <alignment horizontal="center"/>
    </xf>
    <xf numFmtId="0" fontId="0" fillId="2" borderId="213" xfId="0" applyFill="1" applyBorder="1" applyAlignment="1">
      <alignment horizontal="center"/>
    </xf>
    <xf numFmtId="0" fontId="0" fillId="2" borderId="226" xfId="0" applyFill="1" applyBorder="1" applyAlignment="1">
      <alignment horizontal="left"/>
    </xf>
    <xf numFmtId="0" fontId="0" fillId="2" borderId="227" xfId="0" applyFill="1" applyBorder="1" applyAlignment="1">
      <alignment horizontal="left"/>
    </xf>
    <xf numFmtId="0" fontId="0" fillId="0" borderId="141" xfId="0" applyBorder="1" applyAlignment="1">
      <alignment horizontal="center" vertical="center" wrapText="1"/>
    </xf>
    <xf numFmtId="0" fontId="0" fillId="0" borderId="237" xfId="0" applyBorder="1" applyAlignment="1">
      <alignment horizontal="center" vertical="center" wrapText="1"/>
    </xf>
    <xf numFmtId="0" fontId="0" fillId="0" borderId="24" xfId="0" applyBorder="1" applyAlignment="1">
      <alignment horizontal="center" vertical="center" wrapText="1"/>
    </xf>
    <xf numFmtId="0" fontId="7" fillId="0" borderId="203"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76" xfId="0" applyFont="1" applyBorder="1" applyAlignment="1">
      <alignment horizontal="center" vertical="center" wrapText="1"/>
    </xf>
    <xf numFmtId="0" fontId="25" fillId="0" borderId="141" xfId="0" applyFont="1" applyBorder="1" applyAlignment="1">
      <alignment horizontal="center" vertical="center" wrapText="1"/>
    </xf>
    <xf numFmtId="0" fontId="25" fillId="0" borderId="237" xfId="0" applyFont="1" applyBorder="1" applyAlignment="1">
      <alignment horizontal="center" vertical="center" wrapText="1"/>
    </xf>
    <xf numFmtId="0" fontId="25" fillId="0" borderId="24" xfId="0" applyFont="1" applyBorder="1" applyAlignment="1">
      <alignment horizontal="center" vertical="center" wrapText="1"/>
    </xf>
    <xf numFmtId="164" fontId="8" fillId="14" borderId="234" xfId="0" applyNumberFormat="1" applyFont="1" applyFill="1" applyBorder="1" applyAlignment="1">
      <alignment horizontal="center" vertical="center" wrapText="1"/>
    </xf>
    <xf numFmtId="164" fontId="8" fillId="14" borderId="211" xfId="0" applyNumberFormat="1" applyFont="1" applyFill="1" applyBorder="1" applyAlignment="1">
      <alignment horizontal="center" vertical="center" wrapText="1"/>
    </xf>
    <xf numFmtId="164" fontId="4" fillId="3" borderId="234" xfId="0" applyNumberFormat="1" applyFont="1" applyFill="1" applyBorder="1" applyAlignment="1">
      <alignment horizontal="center" vertical="center"/>
    </xf>
    <xf numFmtId="164" fontId="4" fillId="3" borderId="211" xfId="0" applyNumberFormat="1" applyFont="1" applyFill="1" applyBorder="1" applyAlignment="1">
      <alignment horizontal="center" vertical="center"/>
    </xf>
    <xf numFmtId="164" fontId="9" fillId="14" borderId="235" xfId="0" applyNumberFormat="1" applyFont="1" applyFill="1" applyBorder="1" applyAlignment="1">
      <alignment horizontal="center" vertical="center" wrapText="1"/>
    </xf>
    <xf numFmtId="164" fontId="9" fillId="14" borderId="233" xfId="0" applyNumberFormat="1" applyFont="1" applyFill="1" applyBorder="1" applyAlignment="1">
      <alignment horizontal="center" vertical="center" wrapText="1"/>
    </xf>
    <xf numFmtId="164" fontId="9" fillId="14" borderId="236" xfId="0" applyNumberFormat="1" applyFont="1" applyFill="1" applyBorder="1" applyAlignment="1">
      <alignment horizontal="center" vertical="center" wrapText="1"/>
    </xf>
    <xf numFmtId="0" fontId="4" fillId="2" borderId="1" xfId="0" applyFont="1" applyFill="1" applyBorder="1" applyAlignment="1">
      <alignment horizontal="right" vertical="center"/>
    </xf>
    <xf numFmtId="0" fontId="7" fillId="7" borderId="2"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4" fillId="2" borderId="0" xfId="0" applyFont="1" applyFill="1"/>
    <xf numFmtId="0" fontId="4" fillId="3" borderId="234" xfId="0" applyFont="1" applyFill="1" applyBorder="1" applyAlignment="1">
      <alignment horizontal="center" vertical="center" wrapText="1"/>
    </xf>
    <xf numFmtId="0" fontId="4" fillId="3" borderId="211" xfId="0" applyFont="1" applyFill="1" applyBorder="1" applyAlignment="1">
      <alignment horizontal="center" vertical="center" wrapText="1"/>
    </xf>
    <xf numFmtId="0" fontId="22" fillId="0" borderId="203"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118" xfId="0" applyFont="1" applyBorder="1" applyAlignment="1">
      <alignment horizontal="center" vertical="center" wrapText="1"/>
    </xf>
    <xf numFmtId="168" fontId="0" fillId="27" borderId="170" xfId="2" applyNumberFormat="1" applyFont="1" applyFill="1" applyBorder="1" applyAlignment="1" applyProtection="1">
      <alignment horizontal="center" vertical="center"/>
    </xf>
    <xf numFmtId="168" fontId="0" fillId="27" borderId="243" xfId="2" applyNumberFormat="1" applyFont="1" applyFill="1" applyBorder="1" applyAlignment="1" applyProtection="1">
      <alignment horizontal="center" vertical="center"/>
    </xf>
    <xf numFmtId="168" fontId="0" fillId="27" borderId="73" xfId="2" applyNumberFormat="1" applyFont="1" applyFill="1" applyBorder="1" applyAlignment="1" applyProtection="1">
      <alignment horizontal="center" vertical="center"/>
    </xf>
    <xf numFmtId="168" fontId="0" fillId="27" borderId="10" xfId="2" applyNumberFormat="1" applyFont="1" applyFill="1" applyBorder="1" applyAlignment="1" applyProtection="1">
      <alignment horizontal="center" vertical="center"/>
    </xf>
    <xf numFmtId="168" fontId="0" fillId="27" borderId="74" xfId="2" applyNumberFormat="1" applyFont="1" applyFill="1" applyBorder="1" applyAlignment="1" applyProtection="1">
      <alignment horizontal="center" vertical="center"/>
    </xf>
    <xf numFmtId="168" fontId="0" fillId="27" borderId="61" xfId="2" applyNumberFormat="1" applyFont="1" applyFill="1" applyBorder="1" applyAlignment="1" applyProtection="1">
      <alignment horizontal="center" vertical="center"/>
    </xf>
    <xf numFmtId="168" fontId="0" fillId="27" borderId="0" xfId="2" applyNumberFormat="1" applyFont="1" applyFill="1" applyBorder="1" applyAlignment="1" applyProtection="1">
      <alignment horizontal="center" vertical="center"/>
    </xf>
    <xf numFmtId="168" fontId="0" fillId="27" borderId="70" xfId="2" applyNumberFormat="1" applyFont="1" applyFill="1" applyBorder="1" applyAlignment="1" applyProtection="1">
      <alignment horizontal="center" vertical="center"/>
    </xf>
    <xf numFmtId="168" fontId="0" fillId="27" borderId="64" xfId="2" applyNumberFormat="1" applyFont="1" applyFill="1" applyBorder="1" applyAlignment="1" applyProtection="1">
      <alignment horizontal="center" vertical="center"/>
    </xf>
    <xf numFmtId="168" fontId="0" fillId="27" borderId="65" xfId="2" applyNumberFormat="1" applyFont="1" applyFill="1" applyBorder="1" applyAlignment="1" applyProtection="1">
      <alignment horizontal="center" vertical="center"/>
    </xf>
    <xf numFmtId="168" fontId="0" fillId="27" borderId="75" xfId="2" applyNumberFormat="1" applyFont="1" applyFill="1" applyBorder="1" applyAlignment="1" applyProtection="1">
      <alignment horizontal="center" vertical="center"/>
    </xf>
    <xf numFmtId="0" fontId="22" fillId="2" borderId="299" xfId="0" applyFont="1" applyFill="1" applyBorder="1" applyAlignment="1">
      <alignment horizontal="center" vertical="center" wrapText="1"/>
    </xf>
    <xf numFmtId="0" fontId="22" fillId="2" borderId="300" xfId="0" applyFont="1" applyFill="1" applyBorder="1" applyAlignment="1">
      <alignment horizontal="center" vertical="center" wrapText="1"/>
    </xf>
    <xf numFmtId="0" fontId="22" fillId="0" borderId="222" xfId="0" applyFont="1" applyBorder="1" applyAlignment="1">
      <alignment horizontal="center" vertical="center" wrapText="1"/>
    </xf>
    <xf numFmtId="0" fontId="22" fillId="0" borderId="221" xfId="0" applyFont="1" applyBorder="1" applyAlignment="1">
      <alignment horizontal="center" vertical="center" wrapText="1"/>
    </xf>
    <xf numFmtId="9" fontId="0" fillId="26" borderId="64" xfId="2" applyNumberFormat="1" applyFont="1" applyFill="1" applyBorder="1" applyAlignment="1" applyProtection="1">
      <alignment horizontal="center" vertical="center"/>
    </xf>
    <xf numFmtId="9" fontId="0" fillId="26" borderId="65" xfId="2" applyNumberFormat="1" applyFont="1" applyFill="1" applyBorder="1" applyAlignment="1" applyProtection="1">
      <alignment horizontal="center" vertical="center"/>
    </xf>
    <xf numFmtId="9" fontId="0" fillId="26" borderId="66" xfId="2" applyNumberFormat="1" applyFont="1" applyFill="1" applyBorder="1" applyAlignment="1" applyProtection="1">
      <alignment horizontal="center" vertical="center"/>
    </xf>
    <xf numFmtId="0" fontId="22" fillId="2" borderId="61" xfId="0" applyFont="1" applyFill="1" applyBorder="1" applyAlignment="1">
      <alignment horizontal="center" vertical="center" wrapText="1"/>
    </xf>
    <xf numFmtId="167" fontId="0" fillId="26" borderId="140" xfId="2" applyNumberFormat="1" applyFont="1" applyFill="1" applyBorder="1" applyAlignment="1" applyProtection="1">
      <alignment horizontal="center" vertical="center"/>
    </xf>
    <xf numFmtId="167" fontId="0" fillId="26" borderId="303" xfId="2" applyNumberFormat="1" applyFont="1" applyFill="1" applyBorder="1" applyAlignment="1" applyProtection="1">
      <alignment horizontal="center" vertical="center"/>
    </xf>
    <xf numFmtId="167" fontId="0" fillId="26" borderId="283" xfId="2" applyNumberFormat="1" applyFont="1" applyFill="1" applyBorder="1" applyAlignment="1" applyProtection="1">
      <alignment horizontal="center" vertical="center"/>
    </xf>
    <xf numFmtId="167" fontId="0" fillId="26" borderId="61" xfId="2" applyNumberFormat="1" applyFont="1" applyFill="1" applyBorder="1" applyAlignment="1" applyProtection="1">
      <alignment horizontal="center" vertical="center"/>
    </xf>
    <xf numFmtId="167" fontId="0" fillId="26" borderId="0" xfId="2" applyNumberFormat="1" applyFont="1" applyFill="1" applyBorder="1" applyAlignment="1" applyProtection="1">
      <alignment horizontal="center" vertical="center"/>
    </xf>
    <xf numFmtId="167" fontId="0" fillId="26" borderId="70" xfId="2" applyNumberFormat="1" applyFont="1" applyFill="1" applyBorder="1" applyAlignment="1" applyProtection="1">
      <alignment horizontal="center" vertical="center"/>
    </xf>
    <xf numFmtId="167" fontId="0" fillId="26" borderId="64" xfId="2" applyNumberFormat="1" applyFont="1" applyFill="1" applyBorder="1" applyAlignment="1" applyProtection="1">
      <alignment horizontal="center" vertical="center"/>
    </xf>
    <xf numFmtId="167" fontId="0" fillId="26" borderId="65" xfId="2" applyNumberFormat="1" applyFont="1" applyFill="1" applyBorder="1" applyAlignment="1" applyProtection="1">
      <alignment horizontal="center" vertical="center"/>
    </xf>
    <xf numFmtId="167" fontId="0" fillId="26" borderId="182" xfId="2" applyNumberFormat="1" applyFont="1" applyFill="1" applyBorder="1" applyAlignment="1" applyProtection="1">
      <alignment horizontal="center" vertical="center"/>
    </xf>
    <xf numFmtId="9" fontId="0" fillId="26" borderId="140" xfId="2" applyNumberFormat="1" applyFont="1" applyFill="1" applyBorder="1" applyAlignment="1" applyProtection="1">
      <alignment horizontal="center" vertical="center"/>
    </xf>
    <xf numFmtId="9" fontId="0" fillId="26" borderId="283" xfId="2" applyNumberFormat="1" applyFont="1" applyFill="1" applyBorder="1" applyAlignment="1" applyProtection="1">
      <alignment horizontal="center" vertical="center"/>
    </xf>
    <xf numFmtId="9" fontId="0" fillId="26" borderId="61" xfId="2" applyNumberFormat="1" applyFont="1" applyFill="1" applyBorder="1" applyAlignment="1" applyProtection="1">
      <alignment horizontal="center" vertical="center"/>
    </xf>
    <xf numFmtId="9" fontId="0" fillId="26" borderId="70" xfId="2" applyNumberFormat="1" applyFont="1" applyFill="1" applyBorder="1" applyAlignment="1" applyProtection="1">
      <alignment horizontal="center" vertical="center"/>
    </xf>
    <xf numFmtId="9" fontId="0" fillId="26" borderId="182" xfId="2" applyNumberFormat="1" applyFont="1" applyFill="1" applyBorder="1" applyAlignment="1" applyProtection="1">
      <alignment horizontal="center" vertical="center"/>
    </xf>
    <xf numFmtId="0" fontId="22" fillId="0" borderId="220" xfId="0" applyFont="1" applyBorder="1" applyAlignment="1">
      <alignment horizontal="center" vertical="center" wrapText="1"/>
    </xf>
    <xf numFmtId="0" fontId="22" fillId="0" borderId="223" xfId="0" applyFont="1" applyBorder="1" applyAlignment="1">
      <alignment horizontal="center" vertical="center" wrapText="1"/>
    </xf>
    <xf numFmtId="0" fontId="22" fillId="2" borderId="203" xfId="0" applyFont="1" applyFill="1" applyBorder="1" applyAlignment="1">
      <alignment horizontal="center" vertical="center" wrapText="1"/>
    </xf>
    <xf numFmtId="0" fontId="22" fillId="2" borderId="76" xfId="0" applyFont="1" applyFill="1" applyBorder="1" applyAlignment="1">
      <alignment horizontal="center" vertical="center" wrapText="1"/>
    </xf>
    <xf numFmtId="167" fontId="0" fillId="26" borderId="69" xfId="2" applyNumberFormat="1" applyFont="1" applyFill="1" applyBorder="1" applyAlignment="1" applyProtection="1">
      <alignment horizontal="center" vertical="center"/>
    </xf>
    <xf numFmtId="167" fontId="0" fillId="26" borderId="249" xfId="2" applyNumberFormat="1" applyFont="1" applyFill="1" applyBorder="1" applyAlignment="1" applyProtection="1">
      <alignment horizontal="center" vertical="center"/>
    </xf>
    <xf numFmtId="0" fontId="22" fillId="8" borderId="35" xfId="0" applyFont="1" applyFill="1" applyBorder="1" applyAlignment="1">
      <alignment horizontal="center" vertical="center" wrapText="1"/>
    </xf>
    <xf numFmtId="0" fontId="22" fillId="8" borderId="44" xfId="0" applyFont="1" applyFill="1" applyBorder="1" applyAlignment="1">
      <alignment horizontal="center" vertical="center" wrapText="1"/>
    </xf>
    <xf numFmtId="0" fontId="22" fillId="2" borderId="319" xfId="0" applyFont="1" applyFill="1" applyBorder="1" applyAlignment="1">
      <alignment horizontal="center" vertical="center" wrapText="1"/>
    </xf>
    <xf numFmtId="0" fontId="22" fillId="2" borderId="321" xfId="0" applyFont="1" applyFill="1" applyBorder="1" applyAlignment="1">
      <alignment horizontal="center" vertical="center" wrapText="1"/>
    </xf>
    <xf numFmtId="0" fontId="22" fillId="0" borderId="209" xfId="0" applyFont="1" applyBorder="1" applyAlignment="1">
      <alignment horizontal="center" vertical="center" wrapText="1"/>
    </xf>
    <xf numFmtId="167" fontId="0" fillId="26" borderId="260" xfId="2" applyNumberFormat="1" applyFont="1" applyFill="1" applyBorder="1" applyAlignment="1" applyProtection="1">
      <alignment horizontal="center" vertical="center"/>
    </xf>
    <xf numFmtId="167" fontId="0" fillId="26" borderId="289" xfId="2" applyNumberFormat="1" applyFont="1" applyFill="1" applyBorder="1" applyAlignment="1" applyProtection="1">
      <alignment horizontal="center" vertical="center"/>
    </xf>
    <xf numFmtId="9" fontId="0" fillId="26" borderId="256" xfId="2" applyNumberFormat="1" applyFont="1" applyFill="1" applyBorder="1" applyAlignment="1" applyProtection="1">
      <alignment horizontal="center" vertical="center"/>
    </xf>
    <xf numFmtId="9" fontId="0" fillId="26" borderId="59" xfId="2" applyNumberFormat="1" applyFont="1" applyFill="1" applyBorder="1" applyAlignment="1" applyProtection="1">
      <alignment horizontal="center" vertical="center"/>
    </xf>
    <xf numFmtId="9" fontId="0" fillId="26" borderId="322" xfId="2" applyNumberFormat="1" applyFont="1" applyFill="1" applyBorder="1" applyAlignment="1" applyProtection="1">
      <alignment horizontal="center" vertical="center"/>
    </xf>
    <xf numFmtId="9" fontId="0" fillId="26" borderId="0" xfId="2" applyNumberFormat="1" applyFont="1" applyFill="1" applyBorder="1" applyAlignment="1" applyProtection="1">
      <alignment horizontal="center" vertical="center"/>
    </xf>
    <xf numFmtId="9" fontId="0" fillId="26" borderId="44" xfId="2" applyNumberFormat="1" applyFont="1" applyFill="1" applyBorder="1" applyAlignment="1" applyProtection="1">
      <alignment horizontal="center" vertical="center"/>
    </xf>
    <xf numFmtId="167" fontId="0" fillId="26" borderId="319" xfId="2" applyNumberFormat="1" applyFont="1" applyFill="1" applyBorder="1" applyAlignment="1" applyProtection="1">
      <alignment horizontal="center" vertical="center"/>
    </xf>
    <xf numFmtId="167" fontId="0" fillId="26" borderId="323" xfId="2" applyNumberFormat="1" applyFont="1" applyFill="1" applyBorder="1" applyAlignment="1" applyProtection="1">
      <alignment horizontal="center" vertical="center"/>
    </xf>
    <xf numFmtId="167" fontId="0" fillId="26" borderId="324" xfId="2" applyNumberFormat="1" applyFont="1" applyFill="1" applyBorder="1" applyAlignment="1" applyProtection="1">
      <alignment horizontal="center" vertical="center"/>
    </xf>
    <xf numFmtId="168" fontId="0" fillId="27" borderId="53" xfId="2" applyNumberFormat="1" applyFont="1" applyFill="1" applyBorder="1" applyAlignment="1" applyProtection="1">
      <alignment horizontal="center" vertical="center"/>
    </xf>
    <xf numFmtId="168" fontId="0" fillId="27" borderId="58" xfId="2" applyNumberFormat="1" applyFont="1" applyFill="1" applyBorder="1" applyAlignment="1" applyProtection="1">
      <alignment horizontal="center" vertical="center"/>
    </xf>
    <xf numFmtId="168" fontId="0" fillId="27" borderId="57" xfId="2" applyNumberFormat="1" applyFont="1" applyFill="1" applyBorder="1" applyAlignment="1" applyProtection="1">
      <alignment horizontal="center" vertical="center"/>
    </xf>
    <xf numFmtId="167" fontId="0" fillId="26" borderId="325" xfId="2" applyNumberFormat="1" applyFont="1" applyFill="1" applyBorder="1" applyAlignment="1" applyProtection="1">
      <alignment horizontal="center" vertical="center"/>
    </xf>
    <xf numFmtId="167" fontId="0" fillId="26" borderId="328" xfId="2" applyNumberFormat="1" applyFont="1" applyFill="1" applyBorder="1" applyAlignment="1" applyProtection="1">
      <alignment horizontal="center" vertical="center"/>
    </xf>
    <xf numFmtId="167" fontId="0" fillId="26" borderId="329" xfId="2" applyNumberFormat="1" applyFont="1" applyFill="1" applyBorder="1" applyAlignment="1" applyProtection="1">
      <alignment horizontal="center" vertical="center"/>
    </xf>
    <xf numFmtId="168" fontId="0" fillId="27" borderId="42" xfId="2" applyNumberFormat="1" applyFont="1" applyFill="1" applyBorder="1" applyAlignment="1" applyProtection="1">
      <alignment horizontal="center" vertical="center"/>
    </xf>
    <xf numFmtId="168" fontId="0" fillId="27" borderId="62" xfId="2" applyNumberFormat="1" applyFont="1" applyFill="1" applyBorder="1" applyAlignment="1" applyProtection="1">
      <alignment horizontal="center" vertical="center"/>
    </xf>
    <xf numFmtId="168" fontId="0" fillId="27" borderId="63" xfId="2" applyNumberFormat="1" applyFont="1" applyFill="1" applyBorder="1" applyAlignment="1" applyProtection="1">
      <alignment horizontal="center" vertical="center"/>
    </xf>
    <xf numFmtId="164" fontId="40" fillId="67" borderId="191" xfId="0" applyNumberFormat="1" applyFont="1" applyFill="1" applyBorder="1" applyAlignment="1">
      <alignment horizontal="center" vertical="center" wrapText="1"/>
    </xf>
    <xf numFmtId="164" fontId="40" fillId="67" borderId="264" xfId="0" applyNumberFormat="1" applyFont="1" applyFill="1" applyBorder="1" applyAlignment="1">
      <alignment horizontal="center" vertical="center" wrapText="1"/>
    </xf>
    <xf numFmtId="164" fontId="40" fillId="67" borderId="315" xfId="0" applyNumberFormat="1" applyFont="1" applyFill="1" applyBorder="1" applyAlignment="1">
      <alignment horizontal="center" vertical="center" wrapText="1"/>
    </xf>
    <xf numFmtId="0" fontId="22" fillId="0" borderId="1" xfId="0" applyFont="1" applyBorder="1" applyAlignment="1">
      <alignment horizontal="right" vertical="center"/>
    </xf>
    <xf numFmtId="0" fontId="22" fillId="0" borderId="0" xfId="0" applyFont="1" applyAlignment="1">
      <alignment horizontal="right" vertical="center"/>
    </xf>
    <xf numFmtId="0" fontId="22" fillId="22" borderId="25" xfId="0" applyFont="1" applyFill="1" applyBorder="1" applyAlignment="1">
      <alignment horizontal="center" vertical="center"/>
    </xf>
    <xf numFmtId="0" fontId="22" fillId="22" borderId="26" xfId="0" applyFont="1" applyFill="1" applyBorder="1" applyAlignment="1">
      <alignment horizontal="center" vertical="center"/>
    </xf>
    <xf numFmtId="0" fontId="22" fillId="0" borderId="0" xfId="0" applyFont="1"/>
    <xf numFmtId="0" fontId="22" fillId="3" borderId="299" xfId="0" applyFont="1" applyFill="1" applyBorder="1" applyAlignment="1">
      <alignment horizontal="center" vertical="center" wrapText="1"/>
    </xf>
    <xf numFmtId="0" fontId="22" fillId="3" borderId="300" xfId="0" applyFont="1" applyFill="1" applyBorder="1" applyAlignment="1">
      <alignment horizontal="center" vertical="center" wrapText="1"/>
    </xf>
    <xf numFmtId="0" fontId="22" fillId="8" borderId="28" xfId="0" applyFont="1" applyFill="1" applyBorder="1" applyAlignment="1">
      <alignment horizontal="center" vertical="center" wrapText="1"/>
    </xf>
    <xf numFmtId="0" fontId="22" fillId="8" borderId="223" xfId="0" applyFont="1" applyFill="1" applyBorder="1" applyAlignment="1">
      <alignment horizontal="center" vertical="center" wrapText="1"/>
    </xf>
    <xf numFmtId="164" fontId="22" fillId="8" borderId="140" xfId="0" applyNumberFormat="1" applyFont="1" applyFill="1" applyBorder="1" applyAlignment="1">
      <alignment horizontal="center" vertical="center" wrapText="1"/>
    </xf>
    <xf numFmtId="164" fontId="22" fillId="8" borderId="303" xfId="0" applyNumberFormat="1" applyFont="1" applyFill="1" applyBorder="1" applyAlignment="1">
      <alignment horizontal="center" vertical="center" wrapText="1"/>
    </xf>
    <xf numFmtId="164" fontId="22" fillId="8" borderId="268" xfId="0" applyNumberFormat="1" applyFont="1" applyFill="1" applyBorder="1" applyAlignment="1">
      <alignment horizontal="center" vertical="center" wrapText="1"/>
    </xf>
    <xf numFmtId="164" fontId="40" fillId="68" borderId="191" xfId="0" applyNumberFormat="1" applyFont="1" applyFill="1" applyBorder="1" applyAlignment="1">
      <alignment horizontal="center" vertical="center" wrapText="1"/>
    </xf>
    <xf numFmtId="164" fontId="40" fillId="68" borderId="264" xfId="0" applyNumberFormat="1" applyFont="1" applyFill="1" applyBorder="1" applyAlignment="1">
      <alignment horizontal="center" vertical="center" wrapText="1"/>
    </xf>
    <xf numFmtId="164" fontId="40" fillId="68" borderId="315" xfId="0" applyNumberFormat="1" applyFont="1" applyFill="1" applyBorder="1" applyAlignment="1">
      <alignment horizontal="center" vertical="center" wrapText="1"/>
    </xf>
    <xf numFmtId="0" fontId="22" fillId="3" borderId="220" xfId="0" applyFont="1" applyFill="1" applyBorder="1" applyAlignment="1">
      <alignment horizontal="center" vertical="center" wrapText="1"/>
    </xf>
    <xf numFmtId="0" fontId="22" fillId="3" borderId="221" xfId="0" applyFont="1" applyFill="1" applyBorder="1" applyAlignment="1">
      <alignment horizontal="center" vertical="center" wrapText="1"/>
    </xf>
    <xf numFmtId="0" fontId="22" fillId="8" borderId="161" xfId="0" applyFont="1" applyFill="1" applyBorder="1" applyAlignment="1">
      <alignment horizontal="center" vertical="center" wrapText="1"/>
    </xf>
    <xf numFmtId="0" fontId="22" fillId="8" borderId="59" xfId="0" applyFont="1" applyFill="1" applyBorder="1" applyAlignment="1">
      <alignment horizontal="center" vertical="center" wrapText="1"/>
    </xf>
    <xf numFmtId="164" fontId="40" fillId="14" borderId="34" xfId="0" applyNumberFormat="1" applyFont="1" applyFill="1" applyBorder="1" applyAlignment="1">
      <alignment horizontal="center" vertical="center" wrapText="1"/>
    </xf>
    <xf numFmtId="164" fontId="40" fillId="14" borderId="5" xfId="0" applyNumberFormat="1" applyFont="1" applyFill="1" applyBorder="1" applyAlignment="1">
      <alignment horizontal="center" vertical="center" wrapText="1"/>
    </xf>
    <xf numFmtId="164" fontId="40" fillId="14" borderId="22" xfId="0" applyNumberFormat="1" applyFont="1" applyFill="1" applyBorder="1" applyAlignment="1">
      <alignment horizontal="center" vertical="center" wrapText="1"/>
    </xf>
    <xf numFmtId="42" fontId="0" fillId="0" borderId="0" xfId="6" applyFont="1" applyAlignment="1">
      <alignment horizontal="center"/>
    </xf>
    <xf numFmtId="0" fontId="10" fillId="2" borderId="203" xfId="0" applyFont="1" applyFill="1" applyBorder="1" applyAlignment="1">
      <alignment horizontal="center" vertical="center" wrapText="1"/>
    </xf>
    <xf numFmtId="0" fontId="10" fillId="2" borderId="118"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61" xfId="0" applyFont="1" applyFill="1" applyBorder="1" applyAlignment="1">
      <alignment horizontal="center" vertical="center" wrapText="1"/>
    </xf>
    <xf numFmtId="167" fontId="0" fillId="26" borderId="73" xfId="2" applyNumberFormat="1" applyFont="1" applyFill="1" applyBorder="1" applyAlignment="1" applyProtection="1">
      <alignment horizontal="center" vertical="center"/>
    </xf>
    <xf numFmtId="167" fontId="0" fillId="26" borderId="10" xfId="2" applyNumberFormat="1" applyFont="1" applyFill="1" applyBorder="1" applyAlignment="1" applyProtection="1">
      <alignment horizontal="center" vertical="center"/>
    </xf>
    <xf numFmtId="167" fontId="0" fillId="26" borderId="74" xfId="2" applyNumberFormat="1" applyFont="1" applyFill="1" applyBorder="1" applyAlignment="1" applyProtection="1">
      <alignment horizontal="center" vertical="center"/>
    </xf>
    <xf numFmtId="167" fontId="0" fillId="26" borderId="75" xfId="2" applyNumberFormat="1" applyFont="1" applyFill="1" applyBorder="1" applyAlignment="1" applyProtection="1">
      <alignment horizontal="center" vertical="center"/>
    </xf>
    <xf numFmtId="0" fontId="4" fillId="3" borderId="27"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262" xfId="0" applyFont="1" applyFill="1" applyBorder="1" applyAlignment="1">
      <alignment horizontal="center" vertical="center" wrapText="1"/>
    </xf>
    <xf numFmtId="164" fontId="7" fillId="24" borderId="29" xfId="0" applyNumberFormat="1" applyFont="1" applyFill="1" applyBorder="1" applyAlignment="1">
      <alignment horizontal="center" vertical="center" wrapText="1"/>
    </xf>
    <xf numFmtId="164" fontId="7" fillId="24" borderId="7" xfId="0" applyNumberFormat="1" applyFont="1" applyFill="1" applyBorder="1" applyAlignment="1">
      <alignment horizontal="center" vertical="center" wrapText="1"/>
    </xf>
    <xf numFmtId="164" fontId="7" fillId="24" borderId="30" xfId="0" applyNumberFormat="1" applyFont="1" applyFill="1" applyBorder="1" applyAlignment="1">
      <alignment horizontal="center" vertical="center" wrapText="1"/>
    </xf>
    <xf numFmtId="0" fontId="10" fillId="2" borderId="53" xfId="0" applyFont="1" applyFill="1" applyBorder="1" applyAlignment="1">
      <alignment horizontal="center" vertical="center" wrapText="1"/>
    </xf>
    <xf numFmtId="167" fontId="0" fillId="26" borderId="58" xfId="2" applyNumberFormat="1" applyFont="1" applyFill="1" applyBorder="1" applyAlignment="1" applyProtection="1">
      <alignment horizontal="center" vertical="center"/>
    </xf>
    <xf numFmtId="167" fontId="0" fillId="26" borderId="57" xfId="2" applyNumberFormat="1" applyFont="1" applyFill="1" applyBorder="1" applyAlignment="1" applyProtection="1">
      <alignment horizontal="center" vertical="center"/>
    </xf>
    <xf numFmtId="167" fontId="0" fillId="26" borderId="261" xfId="2" applyNumberFormat="1" applyFont="1" applyFill="1" applyBorder="1" applyAlignment="1" applyProtection="1">
      <alignment horizontal="center" vertical="center"/>
    </xf>
    <xf numFmtId="0" fontId="7" fillId="0" borderId="103"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95" xfId="0" applyFont="1" applyBorder="1" applyAlignment="1">
      <alignment horizontal="center" vertical="center" wrapText="1"/>
    </xf>
    <xf numFmtId="44" fontId="4" fillId="29" borderId="93" xfId="2" applyFont="1" applyFill="1" applyBorder="1" applyAlignment="1" applyProtection="1">
      <alignment horizontal="center" vertical="center" wrapText="1"/>
    </xf>
    <xf numFmtId="44" fontId="4" fillId="29" borderId="85" xfId="2" applyFont="1" applyFill="1" applyBorder="1" applyAlignment="1" applyProtection="1">
      <alignment horizontal="center" vertical="center" wrapText="1"/>
    </xf>
    <xf numFmtId="0" fontId="12" fillId="24" borderId="82" xfId="0" applyFont="1" applyFill="1" applyBorder="1" applyAlignment="1" applyProtection="1">
      <alignment horizontal="left" vertical="center"/>
      <protection locked="0"/>
    </xf>
    <xf numFmtId="0" fontId="12" fillId="8" borderId="100" xfId="0" applyFont="1" applyFill="1" applyBorder="1" applyAlignment="1">
      <alignment horizontal="center" vertical="center"/>
    </xf>
    <xf numFmtId="0" fontId="12" fillId="8" borderId="21" xfId="0" applyFont="1" applyFill="1" applyBorder="1" applyAlignment="1">
      <alignment horizontal="center" vertical="center"/>
    </xf>
    <xf numFmtId="0" fontId="4" fillId="24" borderId="100" xfId="0" applyFont="1" applyFill="1" applyBorder="1" applyAlignment="1">
      <alignment horizontal="center" vertical="center"/>
    </xf>
    <xf numFmtId="0" fontId="4" fillId="24" borderId="83" xfId="0" applyFont="1" applyFill="1" applyBorder="1" applyAlignment="1">
      <alignment horizontal="center" vertical="center"/>
    </xf>
    <xf numFmtId="0" fontId="12" fillId="3" borderId="100" xfId="0" applyFont="1" applyFill="1" applyBorder="1" applyAlignment="1">
      <alignment horizontal="center" vertical="center"/>
    </xf>
    <xf numFmtId="0" fontId="12" fillId="3" borderId="83" xfId="0" applyFont="1" applyFill="1" applyBorder="1" applyAlignment="1">
      <alignment horizontal="center" vertical="center"/>
    </xf>
    <xf numFmtId="0" fontId="12" fillId="8" borderId="100" xfId="0" applyFont="1" applyFill="1" applyBorder="1" applyAlignment="1">
      <alignment horizontal="center" vertical="center" wrapText="1"/>
    </xf>
    <xf numFmtId="0" fontId="12" fillId="8" borderId="83" xfId="0" applyFont="1" applyFill="1" applyBorder="1" applyAlignment="1">
      <alignment horizontal="center" vertical="center" wrapText="1"/>
    </xf>
    <xf numFmtId="0" fontId="12" fillId="24" borderId="87" xfId="0" applyFont="1" applyFill="1" applyBorder="1" applyAlignment="1">
      <alignment horizontal="center" vertical="center"/>
    </xf>
    <xf numFmtId="0" fontId="12" fillId="24" borderId="101" xfId="0" applyFont="1" applyFill="1" applyBorder="1" applyAlignment="1">
      <alignment horizontal="center" vertical="center"/>
    </xf>
    <xf numFmtId="0" fontId="12" fillId="24" borderId="86" xfId="0" applyFont="1" applyFill="1" applyBorder="1" applyAlignment="1">
      <alignment horizontal="center" vertical="center"/>
    </xf>
    <xf numFmtId="0" fontId="7" fillId="0" borderId="67" xfId="0" applyFont="1" applyBorder="1" applyAlignment="1">
      <alignment horizontal="center" vertical="center" wrapText="1"/>
    </xf>
    <xf numFmtId="44" fontId="4" fillId="29" borderId="81" xfId="2" applyFont="1" applyFill="1" applyBorder="1" applyAlignment="1" applyProtection="1">
      <alignment horizontal="center" vertical="center" wrapText="1"/>
    </xf>
    <xf numFmtId="0" fontId="12" fillId="24" borderId="82" xfId="0" applyFont="1" applyFill="1" applyBorder="1" applyAlignment="1">
      <alignment horizontal="center" vertical="center"/>
    </xf>
    <xf numFmtId="0" fontId="7" fillId="7" borderId="77" xfId="0" applyFont="1" applyFill="1" applyBorder="1" applyAlignment="1" applyProtection="1">
      <alignment horizontal="center" vertical="center"/>
      <protection locked="0"/>
    </xf>
    <xf numFmtId="0" fontId="7" fillId="7" borderId="78" xfId="0" applyFont="1" applyFill="1" applyBorder="1" applyAlignment="1" applyProtection="1">
      <alignment horizontal="center" vertical="center"/>
      <protection locked="0"/>
    </xf>
    <xf numFmtId="0" fontId="11" fillId="23" borderId="0" xfId="4" applyFill="1" applyBorder="1" applyAlignment="1" applyProtection="1">
      <alignment horizontal="left" vertical="center" indent="2"/>
    </xf>
    <xf numFmtId="0" fontId="12" fillId="8" borderId="79" xfId="0" applyFont="1" applyFill="1" applyBorder="1" applyAlignment="1">
      <alignment horizontal="center" vertical="center"/>
    </xf>
    <xf numFmtId="0" fontId="4" fillId="24" borderId="79" xfId="0" applyFont="1" applyFill="1" applyBorder="1" applyAlignment="1">
      <alignment horizontal="center" vertical="center"/>
    </xf>
    <xf numFmtId="0" fontId="12" fillId="3" borderId="79" xfId="0" applyFont="1" applyFill="1" applyBorder="1" applyAlignment="1">
      <alignment horizontal="center" vertical="center"/>
    </xf>
    <xf numFmtId="0" fontId="12" fillId="8" borderId="79" xfId="0" applyFont="1" applyFill="1" applyBorder="1" applyAlignment="1">
      <alignment horizontal="center" vertical="center" wrapText="1"/>
    </xf>
    <xf numFmtId="0" fontId="12" fillId="24" borderId="77" xfId="0" applyFont="1" applyFill="1" applyBorder="1" applyAlignment="1">
      <alignment horizontal="center" vertical="center"/>
    </xf>
    <xf numFmtId="0" fontId="12" fillId="24" borderId="80" xfId="0" applyFont="1" applyFill="1" applyBorder="1" applyAlignment="1">
      <alignment horizontal="center" vertical="center"/>
    </xf>
    <xf numFmtId="0" fontId="12" fillId="24" borderId="78" xfId="0" applyFont="1" applyFill="1" applyBorder="1" applyAlignment="1">
      <alignment horizontal="center" vertical="center"/>
    </xf>
    <xf numFmtId="0" fontId="7" fillId="45" borderId="203" xfId="42" applyFont="1" applyFill="1" applyBorder="1" applyAlignment="1">
      <alignment horizontal="center" vertical="center" textRotation="90" wrapText="1"/>
    </xf>
    <xf numFmtId="0" fontId="7" fillId="45" borderId="118" xfId="42" applyFont="1" applyFill="1" applyBorder="1" applyAlignment="1">
      <alignment horizontal="center" vertical="center" textRotation="90" wrapText="1"/>
    </xf>
    <xf numFmtId="0" fontId="7" fillId="45" borderId="76" xfId="42" applyFont="1" applyFill="1" applyBorder="1" applyAlignment="1">
      <alignment horizontal="center" vertical="center" textRotation="90" wrapText="1"/>
    </xf>
    <xf numFmtId="0" fontId="7" fillId="45" borderId="203" xfId="42" applyFont="1" applyFill="1" applyBorder="1" applyAlignment="1">
      <alignment horizontal="left" vertical="center" wrapText="1"/>
    </xf>
    <xf numFmtId="0" fontId="7" fillId="45" borderId="118" xfId="42" applyFont="1" applyFill="1" applyBorder="1" applyAlignment="1">
      <alignment horizontal="left" vertical="center" wrapText="1"/>
    </xf>
    <xf numFmtId="0" fontId="7" fillId="45" borderId="76" xfId="42" applyFont="1" applyFill="1" applyBorder="1" applyAlignment="1">
      <alignment horizontal="left" vertical="center" wrapText="1"/>
    </xf>
    <xf numFmtId="0" fontId="7" fillId="7" borderId="220" xfId="42" applyFont="1" applyFill="1" applyBorder="1" applyAlignment="1" applyProtection="1">
      <alignment horizontal="left" vertical="center" wrapText="1"/>
      <protection locked="0"/>
    </xf>
    <xf numFmtId="0" fontId="7" fillId="7" borderId="311" xfId="42" applyFont="1" applyFill="1" applyBorder="1" applyAlignment="1" applyProtection="1">
      <alignment horizontal="left" vertical="center" wrapText="1"/>
      <protection locked="0"/>
    </xf>
    <xf numFmtId="0" fontId="7" fillId="7" borderId="223" xfId="42" applyFont="1" applyFill="1" applyBorder="1" applyAlignment="1" applyProtection="1">
      <alignment horizontal="left" vertical="center" wrapText="1"/>
      <protection locked="0"/>
    </xf>
    <xf numFmtId="0" fontId="7" fillId="7" borderId="203" xfId="42" applyFont="1" applyFill="1" applyBorder="1" applyAlignment="1" applyProtection="1">
      <alignment horizontal="left" vertical="center" wrapText="1"/>
      <protection locked="0"/>
    </xf>
    <xf numFmtId="0" fontId="7" fillId="7" borderId="118" xfId="42" applyFont="1" applyFill="1" applyBorder="1" applyAlignment="1" applyProtection="1">
      <alignment horizontal="left" vertical="center" wrapText="1"/>
      <protection locked="0"/>
    </xf>
    <xf numFmtId="0" fontId="7" fillId="7" borderId="76" xfId="42" applyFont="1" applyFill="1" applyBorder="1" applyAlignment="1" applyProtection="1">
      <alignment horizontal="left" vertical="center" wrapText="1"/>
      <protection locked="0"/>
    </xf>
    <xf numFmtId="0" fontId="17" fillId="45" borderId="268" xfId="42" applyFont="1" applyFill="1" applyBorder="1" applyAlignment="1">
      <alignment horizontal="center" vertical="center" textRotation="90" wrapText="1"/>
    </xf>
    <xf numFmtId="0" fontId="17" fillId="45" borderId="44" xfId="42" applyFont="1" applyFill="1" applyBorder="1" applyAlignment="1">
      <alignment horizontal="center" vertical="center" textRotation="90" wrapText="1"/>
    </xf>
    <xf numFmtId="0" fontId="17" fillId="45" borderId="66" xfId="42" applyFont="1" applyFill="1" applyBorder="1" applyAlignment="1">
      <alignment horizontal="center" vertical="center" textRotation="90" wrapText="1"/>
    </xf>
    <xf numFmtId="173" fontId="6" fillId="42" borderId="114" xfId="42" applyNumberFormat="1" applyFill="1" applyBorder="1" applyAlignment="1">
      <alignment horizontal="center" vertical="center"/>
    </xf>
    <xf numFmtId="173" fontId="6" fillId="42" borderId="115" xfId="42" applyNumberFormat="1" applyFill="1" applyBorder="1" applyAlignment="1">
      <alignment horizontal="center" vertical="center"/>
    </xf>
    <xf numFmtId="0" fontId="8" fillId="44" borderId="198" xfId="42" applyFont="1" applyFill="1" applyBorder="1" applyAlignment="1">
      <alignment horizontal="center" vertical="center"/>
    </xf>
    <xf numFmtId="0" fontId="8" fillId="44" borderId="257" xfId="42" applyFont="1" applyFill="1" applyBorder="1" applyAlignment="1">
      <alignment horizontal="center" vertical="center"/>
    </xf>
    <xf numFmtId="0" fontId="8" fillId="45" borderId="263" xfId="42" applyFont="1" applyFill="1" applyBorder="1" applyAlignment="1">
      <alignment horizontal="center" vertical="center"/>
    </xf>
    <xf numFmtId="0" fontId="8" fillId="45" borderId="257" xfId="42" applyFont="1" applyFill="1" applyBorder="1" applyAlignment="1">
      <alignment horizontal="center" vertical="center"/>
    </xf>
    <xf numFmtId="0" fontId="8" fillId="43" borderId="299" xfId="42" applyFont="1" applyFill="1" applyBorder="1" applyAlignment="1">
      <alignment horizontal="center" vertical="center"/>
    </xf>
    <xf numFmtId="0" fontId="8" fillId="43" borderId="278" xfId="42" applyFont="1" applyFill="1" applyBorder="1" applyAlignment="1">
      <alignment horizontal="center" vertical="center"/>
    </xf>
    <xf numFmtId="0" fontId="8" fillId="44" borderId="299" xfId="42" applyFont="1" applyFill="1" applyBorder="1" applyAlignment="1">
      <alignment horizontal="center" vertical="center"/>
    </xf>
    <xf numFmtId="0" fontId="8" fillId="44" borderId="278" xfId="42" applyFont="1" applyFill="1" applyBorder="1" applyAlignment="1">
      <alignment horizontal="center" vertical="center"/>
    </xf>
    <xf numFmtId="0" fontId="8" fillId="45" borderId="299" xfId="42" applyFont="1" applyFill="1" applyBorder="1" applyAlignment="1">
      <alignment horizontal="center" vertical="center"/>
    </xf>
    <xf numFmtId="0" fontId="8" fillId="45" borderId="278" xfId="42" applyFont="1" applyFill="1" applyBorder="1" applyAlignment="1">
      <alignment horizontal="center" vertical="center"/>
    </xf>
    <xf numFmtId="0" fontId="16" fillId="43" borderId="300" xfId="42" applyFont="1" applyFill="1" applyBorder="1" applyAlignment="1">
      <alignment horizontal="center" vertical="center"/>
    </xf>
    <xf numFmtId="0" fontId="16" fillId="43" borderId="310" xfId="42" applyFont="1" applyFill="1" applyBorder="1" applyAlignment="1">
      <alignment horizontal="center" vertical="center"/>
    </xf>
    <xf numFmtId="0" fontId="16" fillId="44" borderId="300" xfId="42" applyFont="1" applyFill="1" applyBorder="1" applyAlignment="1">
      <alignment horizontal="center" vertical="center"/>
    </xf>
    <xf numFmtId="0" fontId="16" fillId="44" borderId="310" xfId="42" applyFont="1" applyFill="1" applyBorder="1" applyAlignment="1">
      <alignment horizontal="center" vertical="center"/>
    </xf>
    <xf numFmtId="0" fontId="16" fillId="45" borderId="300" xfId="42" applyFont="1" applyFill="1" applyBorder="1" applyAlignment="1">
      <alignment horizontal="center" vertical="center"/>
    </xf>
    <xf numFmtId="0" fontId="16" fillId="45" borderId="310" xfId="42" applyFont="1" applyFill="1" applyBorder="1" applyAlignment="1">
      <alignment horizontal="center" vertical="center"/>
    </xf>
    <xf numFmtId="0" fontId="8" fillId="43" borderId="198" xfId="42" applyFont="1" applyFill="1" applyBorder="1" applyAlignment="1">
      <alignment horizontal="center" vertical="center"/>
    </xf>
    <xf numFmtId="0" fontId="8" fillId="43" borderId="281" xfId="42" applyFont="1" applyFill="1" applyBorder="1" applyAlignment="1">
      <alignment horizontal="center" vertical="center"/>
    </xf>
    <xf numFmtId="0" fontId="4" fillId="0" borderId="0" xfId="42" applyFont="1" applyAlignment="1">
      <alignment horizontal="center" vertical="center"/>
    </xf>
    <xf numFmtId="0" fontId="4" fillId="8" borderId="140" xfId="42" applyFont="1" applyFill="1" applyBorder="1" applyAlignment="1">
      <alignment horizontal="center" vertical="center" wrapText="1"/>
    </xf>
    <xf numFmtId="0" fontId="4" fillId="8" borderId="283" xfId="42" applyFont="1" applyFill="1" applyBorder="1" applyAlignment="1">
      <alignment horizontal="center" vertical="center" wrapText="1"/>
    </xf>
    <xf numFmtId="0" fontId="4" fillId="8" borderId="64" xfId="42" applyFont="1" applyFill="1" applyBorder="1" applyAlignment="1">
      <alignment horizontal="center" vertical="center" wrapText="1"/>
    </xf>
    <xf numFmtId="0" fontId="4" fillId="8" borderId="182" xfId="42" applyFont="1" applyFill="1" applyBorder="1" applyAlignment="1">
      <alignment horizontal="center" vertical="center" wrapText="1"/>
    </xf>
    <xf numFmtId="0" fontId="4" fillId="8" borderId="241" xfId="42" applyFont="1" applyFill="1" applyBorder="1" applyAlignment="1">
      <alignment horizontal="center" vertical="center"/>
    </xf>
    <xf numFmtId="0" fontId="4" fillId="8" borderId="250" xfId="42" applyFont="1" applyFill="1" applyBorder="1" applyAlignment="1">
      <alignment horizontal="center" vertical="center"/>
    </xf>
    <xf numFmtId="0" fontId="4" fillId="8" borderId="241" xfId="42" applyFont="1" applyFill="1" applyBorder="1" applyAlignment="1">
      <alignment horizontal="center" vertical="center" wrapText="1"/>
    </xf>
    <xf numFmtId="0" fontId="4" fillId="8" borderId="250" xfId="42" applyFont="1" applyFill="1" applyBorder="1" applyAlignment="1">
      <alignment horizontal="center" vertical="center" wrapText="1"/>
    </xf>
    <xf numFmtId="0" fontId="10" fillId="8" borderId="284" xfId="42" applyFont="1" applyFill="1" applyBorder="1" applyAlignment="1">
      <alignment horizontal="center" vertical="center" wrapText="1"/>
    </xf>
    <xf numFmtId="0" fontId="10" fillId="8" borderId="303" xfId="42" applyFont="1" applyFill="1" applyBorder="1" applyAlignment="1">
      <alignment horizontal="center" vertical="center" wrapText="1"/>
    </xf>
    <xf numFmtId="0" fontId="10" fillId="8" borderId="268" xfId="42" applyFont="1" applyFill="1" applyBorder="1" applyAlignment="1">
      <alignment horizontal="center" vertical="center" wrapText="1"/>
    </xf>
    <xf numFmtId="0" fontId="4" fillId="42" borderId="203" xfId="42" applyFont="1" applyFill="1" applyBorder="1" applyAlignment="1">
      <alignment horizontal="center" vertical="center" wrapText="1"/>
    </xf>
    <xf numFmtId="0" fontId="4" fillId="42" borderId="118" xfId="42" applyFont="1" applyFill="1" applyBorder="1" applyAlignment="1">
      <alignment horizontal="center" vertical="center" wrapText="1"/>
    </xf>
    <xf numFmtId="0" fontId="8" fillId="43" borderId="161" xfId="42" applyFont="1" applyFill="1" applyBorder="1" applyAlignment="1">
      <alignment horizontal="center" vertical="center"/>
    </xf>
    <xf numFmtId="0" fontId="8" fillId="45" borderId="161" xfId="42" applyFont="1" applyFill="1" applyBorder="1" applyAlignment="1">
      <alignment horizontal="center" vertical="center"/>
    </xf>
    <xf numFmtId="0" fontId="4" fillId="8" borderId="203" xfId="42" applyFont="1" applyFill="1" applyBorder="1" applyAlignment="1">
      <alignment horizontal="center" vertical="center" wrapText="1"/>
    </xf>
    <xf numFmtId="0" fontId="4" fillId="8" borderId="76" xfId="42" applyFont="1" applyFill="1" applyBorder="1" applyAlignment="1">
      <alignment horizontal="center" vertical="center" wrapText="1"/>
    </xf>
    <xf numFmtId="0" fontId="4" fillId="24" borderId="305" xfId="42" applyFont="1" applyFill="1" applyBorder="1" applyAlignment="1">
      <alignment horizontal="center" vertical="center" wrapText="1"/>
    </xf>
    <xf numFmtId="0" fontId="4" fillId="24" borderId="47" xfId="42" applyFont="1" applyFill="1" applyBorder="1" applyAlignment="1">
      <alignment horizontal="center" vertical="center" wrapText="1"/>
    </xf>
    <xf numFmtId="0" fontId="12" fillId="3" borderId="305" xfId="42" applyFont="1" applyFill="1" applyBorder="1" applyAlignment="1">
      <alignment horizontal="center" vertical="center" wrapText="1"/>
    </xf>
    <xf numFmtId="0" fontId="12" fillId="3" borderId="47" xfId="42" applyFont="1" applyFill="1" applyBorder="1" applyAlignment="1">
      <alignment horizontal="center" vertical="center" wrapText="1"/>
    </xf>
    <xf numFmtId="0" fontId="12" fillId="8" borderId="304" xfId="42" applyFont="1" applyFill="1" applyBorder="1" applyAlignment="1">
      <alignment horizontal="center" vertical="center" wrapText="1"/>
    </xf>
    <xf numFmtId="0" fontId="15" fillId="0" borderId="0" xfId="42" applyFont="1" applyAlignment="1">
      <alignment horizontal="center" vertical="center" wrapText="1"/>
    </xf>
    <xf numFmtId="0" fontId="15" fillId="0" borderId="0" xfId="42" applyFont="1" applyAlignment="1">
      <alignment horizontal="center" vertical="center"/>
    </xf>
    <xf numFmtId="0" fontId="7" fillId="8" borderId="114" xfId="0" applyFont="1" applyFill="1" applyBorder="1" applyAlignment="1">
      <alignment horizontal="center" vertical="center"/>
    </xf>
    <xf numFmtId="0" fontId="7" fillId="8" borderId="183" xfId="0" applyFont="1" applyFill="1" applyBorder="1" applyAlignment="1">
      <alignment horizontal="center" vertical="center"/>
    </xf>
    <xf numFmtId="0" fontId="7" fillId="8" borderId="115" xfId="0" applyFont="1" applyFill="1" applyBorder="1" applyAlignment="1">
      <alignment horizontal="center" vertical="center"/>
    </xf>
    <xf numFmtId="0" fontId="7" fillId="8" borderId="140" xfId="0" applyFont="1" applyFill="1" applyBorder="1" applyAlignment="1">
      <alignment horizontal="center" vertical="center"/>
    </xf>
    <xf numFmtId="0" fontId="7" fillId="8" borderId="179" xfId="0" applyFont="1" applyFill="1" applyBorder="1" applyAlignment="1">
      <alignment horizontal="center" vertical="center"/>
    </xf>
    <xf numFmtId="0" fontId="7" fillId="8" borderId="178" xfId="0" applyFont="1" applyFill="1" applyBorder="1" applyAlignment="1">
      <alignment horizontal="center" vertical="center"/>
    </xf>
    <xf numFmtId="0" fontId="7" fillId="0" borderId="28" xfId="0" applyFont="1" applyBorder="1" applyAlignment="1">
      <alignment horizontal="center" vertical="center" wrapText="1"/>
    </xf>
    <xf numFmtId="0" fontId="7" fillId="0" borderId="154" xfId="0" applyFont="1" applyBorder="1" applyAlignment="1">
      <alignment horizontal="center" vertical="center" wrapText="1"/>
    </xf>
    <xf numFmtId="0" fontId="7" fillId="0" borderId="169" xfId="0" applyFont="1" applyBorder="1" applyAlignment="1">
      <alignment horizontal="center" vertical="center" wrapText="1"/>
    </xf>
    <xf numFmtId="0" fontId="7" fillId="0" borderId="173"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36" xfId="0" applyFont="1" applyBorder="1" applyAlignment="1">
      <alignment horizontal="center" vertical="center" wrapText="1"/>
    </xf>
    <xf numFmtId="0" fontId="7" fillId="7" borderId="88" xfId="0" applyFont="1" applyFill="1" applyBorder="1" applyAlignment="1">
      <alignment horizontal="center" vertical="center"/>
    </xf>
    <xf numFmtId="0" fontId="7" fillId="7" borderId="116" xfId="0" applyFont="1" applyFill="1" applyBorder="1" applyAlignment="1">
      <alignment horizontal="center" vertical="center"/>
    </xf>
    <xf numFmtId="0" fontId="15" fillId="0" borderId="0" xfId="0" applyFont="1" applyAlignment="1">
      <alignment horizontal="left" vertical="center" indent="2"/>
    </xf>
    <xf numFmtId="0" fontId="4" fillId="3" borderId="28" xfId="0" applyFont="1" applyFill="1" applyBorder="1" applyAlignment="1">
      <alignment horizontal="center" vertical="center" wrapText="1"/>
    </xf>
    <xf numFmtId="0" fontId="4" fillId="3" borderId="169" xfId="0" applyFont="1" applyFill="1" applyBorder="1" applyAlignment="1">
      <alignment horizontal="center" vertical="center" wrapText="1"/>
    </xf>
    <xf numFmtId="0" fontId="4" fillId="3" borderId="161" xfId="0" applyFont="1" applyFill="1" applyBorder="1" applyAlignment="1">
      <alignment horizontal="center" vertical="center" wrapText="1"/>
    </xf>
    <xf numFmtId="0" fontId="4" fillId="3" borderId="131" xfId="0" applyFont="1" applyFill="1" applyBorder="1" applyAlignment="1">
      <alignment horizontal="center" vertical="center" wrapText="1"/>
    </xf>
    <xf numFmtId="0" fontId="9" fillId="47" borderId="114" xfId="0" applyFont="1" applyFill="1" applyBorder="1" applyAlignment="1">
      <alignment horizontal="center" vertical="center"/>
    </xf>
    <xf numFmtId="0" fontId="9" fillId="47" borderId="183" xfId="0" applyFont="1" applyFill="1" applyBorder="1" applyAlignment="1">
      <alignment horizontal="center" vertical="center"/>
    </xf>
    <xf numFmtId="0" fontId="9" fillId="47" borderId="115" xfId="0" applyFont="1" applyFill="1" applyBorder="1" applyAlignment="1">
      <alignment horizontal="center" vertical="center"/>
    </xf>
    <xf numFmtId="0" fontId="7" fillId="23" borderId="105" xfId="0" applyFont="1" applyFill="1" applyBorder="1" applyAlignment="1">
      <alignment horizontal="center" vertical="center" wrapText="1"/>
    </xf>
    <xf numFmtId="0" fontId="7" fillId="23" borderId="118" xfId="0" applyFont="1" applyFill="1" applyBorder="1" applyAlignment="1">
      <alignment horizontal="center" vertical="center" wrapText="1"/>
    </xf>
    <xf numFmtId="0" fontId="7" fillId="23" borderId="76" xfId="0" applyFont="1" applyFill="1" applyBorder="1" applyAlignment="1">
      <alignment horizontal="center" vertical="center" wrapText="1"/>
    </xf>
    <xf numFmtId="0" fontId="7" fillId="23" borderId="73" xfId="0" applyFont="1" applyFill="1" applyBorder="1" applyAlignment="1">
      <alignment horizontal="center" vertical="center" wrapText="1"/>
    </xf>
    <xf numFmtId="0" fontId="7" fillId="23" borderId="61" xfId="0" applyFont="1" applyFill="1" applyBorder="1" applyAlignment="1">
      <alignment horizontal="center" vertical="center" wrapText="1"/>
    </xf>
    <xf numFmtId="0" fontId="7" fillId="23" borderId="64" xfId="0" applyFont="1" applyFill="1" applyBorder="1" applyAlignment="1">
      <alignment horizontal="center" vertical="center" wrapText="1"/>
    </xf>
    <xf numFmtId="173" fontId="7" fillId="38" borderId="268" xfId="0" applyNumberFormat="1" applyFont="1" applyFill="1" applyBorder="1" applyAlignment="1">
      <alignment horizontal="center" vertical="center"/>
    </xf>
    <xf numFmtId="173" fontId="7" fillId="38" borderId="44" xfId="0" applyNumberFormat="1" applyFont="1" applyFill="1" applyBorder="1" applyAlignment="1">
      <alignment horizontal="center" vertical="center"/>
    </xf>
    <xf numFmtId="173" fontId="7" fillId="38" borderId="66" xfId="0" applyNumberFormat="1" applyFont="1" applyFill="1" applyBorder="1" applyAlignment="1">
      <alignment horizontal="center" vertical="center"/>
    </xf>
    <xf numFmtId="0" fontId="4" fillId="8" borderId="7" xfId="0" applyFont="1" applyFill="1" applyBorder="1" applyAlignment="1">
      <alignment horizontal="center" vertical="center" wrapText="1"/>
    </xf>
    <xf numFmtId="0" fontId="4" fillId="8" borderId="292" xfId="0" applyFont="1" applyFill="1" applyBorder="1" applyAlignment="1">
      <alignment horizontal="center" vertical="center" wrapText="1"/>
    </xf>
    <xf numFmtId="0" fontId="4" fillId="46" borderId="32" xfId="0" applyFont="1" applyFill="1" applyBorder="1" applyAlignment="1">
      <alignment horizontal="center" vertical="center" wrapText="1"/>
    </xf>
    <xf numFmtId="0" fontId="4" fillId="46" borderId="269" xfId="0" applyFont="1" applyFill="1" applyBorder="1" applyAlignment="1">
      <alignment horizontal="center" vertical="center" wrapText="1"/>
    </xf>
    <xf numFmtId="0" fontId="4" fillId="46" borderId="28" xfId="0" applyFont="1" applyFill="1" applyBorder="1" applyAlignment="1">
      <alignment horizontal="center" vertical="center" wrapText="1"/>
    </xf>
    <xf numFmtId="0" fontId="4" fillId="46" borderId="37" xfId="0" applyFont="1" applyFill="1" applyBorder="1" applyAlignment="1">
      <alignment horizontal="center" vertical="center" wrapText="1"/>
    </xf>
    <xf numFmtId="0" fontId="15" fillId="23" borderId="0" xfId="0" applyFont="1" applyFill="1" applyAlignment="1">
      <alignment horizontal="left" vertical="center" indent="2"/>
    </xf>
    <xf numFmtId="0" fontId="4" fillId="8" borderId="37" xfId="0" applyFont="1" applyFill="1" applyBorder="1" applyAlignment="1">
      <alignment horizontal="center" vertical="center" wrapText="1"/>
    </xf>
    <xf numFmtId="0" fontId="4" fillId="8" borderId="105" xfId="0" applyFont="1" applyFill="1" applyBorder="1" applyAlignment="1">
      <alignment horizontal="center" vertical="center" wrapText="1"/>
    </xf>
    <xf numFmtId="0" fontId="4" fillId="8" borderId="76" xfId="0" applyFont="1" applyFill="1" applyBorder="1" applyAlignment="1">
      <alignment horizontal="center" vertical="center" wrapText="1"/>
    </xf>
    <xf numFmtId="0" fontId="4" fillId="8" borderId="31" xfId="0" applyFont="1" applyFill="1" applyBorder="1" applyAlignment="1">
      <alignment horizontal="center" vertical="center"/>
    </xf>
    <xf numFmtId="0" fontId="4" fillId="8" borderId="291"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292" xfId="0" applyFont="1" applyFill="1" applyBorder="1" applyAlignment="1">
      <alignment horizontal="center" vertical="center"/>
    </xf>
    <xf numFmtId="0" fontId="4" fillId="8" borderId="178"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10" fillId="0" borderId="14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203"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118" xfId="0" applyFont="1" applyBorder="1" applyAlignment="1">
      <alignment horizontal="center" vertical="center" wrapText="1"/>
    </xf>
    <xf numFmtId="0" fontId="7" fillId="7" borderId="122" xfId="0" applyFont="1" applyFill="1" applyBorder="1" applyAlignment="1">
      <alignment horizontal="center" vertical="center"/>
    </xf>
    <xf numFmtId="0" fontId="7" fillId="7" borderId="126" xfId="0" applyFont="1" applyFill="1" applyBorder="1" applyAlignment="1">
      <alignment horizontal="center" vertical="center"/>
    </xf>
    <xf numFmtId="0" fontId="0" fillId="52" borderId="43" xfId="0" applyFill="1" applyBorder="1" applyAlignment="1">
      <alignment horizontal="left" vertical="center" wrapText="1"/>
    </xf>
    <xf numFmtId="0" fontId="0" fillId="52" borderId="59" xfId="0" applyFill="1" applyBorder="1" applyAlignment="1">
      <alignment horizontal="left" vertical="center" wrapText="1"/>
    </xf>
    <xf numFmtId="0" fontId="0" fillId="52" borderId="121" xfId="0" applyFill="1" applyBorder="1" applyAlignment="1">
      <alignment horizontal="left" vertical="center" wrapText="1"/>
    </xf>
    <xf numFmtId="0" fontId="0" fillId="52" borderId="72" xfId="0" applyFill="1" applyBorder="1" applyAlignment="1">
      <alignment horizontal="left" vertical="center" wrapText="1"/>
    </xf>
    <xf numFmtId="0" fontId="0" fillId="52" borderId="0" xfId="0" applyFill="1" applyAlignment="1">
      <alignment horizontal="left" vertical="center" wrapText="1"/>
    </xf>
    <xf numFmtId="0" fontId="0" fillId="52" borderId="70" xfId="0" applyFill="1" applyBorder="1" applyAlignment="1">
      <alignment horizontal="left" vertical="center" wrapText="1"/>
    </xf>
    <xf numFmtId="0" fontId="0" fillId="52" borderId="50" xfId="0" applyFill="1" applyBorder="1" applyAlignment="1">
      <alignment horizontal="left" vertical="center" wrapText="1"/>
    </xf>
    <xf numFmtId="0" fontId="0" fillId="52" borderId="127" xfId="0" applyFill="1" applyBorder="1" applyAlignment="1">
      <alignment horizontal="left" vertical="center" wrapText="1"/>
    </xf>
    <xf numFmtId="0" fontId="0" fillId="52" borderId="49" xfId="0" applyFill="1" applyBorder="1" applyAlignment="1">
      <alignment horizontal="left" vertical="center" wrapText="1"/>
    </xf>
    <xf numFmtId="0" fontId="4" fillId="3" borderId="191" xfId="0" applyFont="1" applyFill="1" applyBorder="1" applyAlignment="1">
      <alignment horizontal="center" vertical="center" wrapText="1"/>
    </xf>
    <xf numFmtId="0" fontId="4" fillId="3" borderId="194" xfId="0" applyFont="1" applyFill="1" applyBorder="1" applyAlignment="1">
      <alignment horizontal="center" vertical="center" wrapText="1"/>
    </xf>
    <xf numFmtId="0" fontId="4" fillId="3" borderId="128" xfId="0" applyFont="1" applyFill="1" applyBorder="1" applyAlignment="1">
      <alignment horizontal="center" vertical="center" wrapText="1"/>
    </xf>
    <xf numFmtId="0" fontId="4" fillId="3" borderId="195" xfId="0" applyFont="1" applyFill="1" applyBorder="1" applyAlignment="1">
      <alignment horizontal="center" vertical="center" wrapText="1"/>
    </xf>
    <xf numFmtId="164" fontId="9" fillId="14" borderId="114" xfId="0" applyNumberFormat="1" applyFont="1" applyFill="1" applyBorder="1" applyAlignment="1">
      <alignment horizontal="center" vertical="center" wrapText="1"/>
    </xf>
    <xf numFmtId="164" fontId="9" fillId="14" borderId="183" xfId="0" applyNumberFormat="1" applyFont="1" applyFill="1" applyBorder="1" applyAlignment="1">
      <alignment horizontal="center" vertical="center" wrapText="1"/>
    </xf>
    <xf numFmtId="164" fontId="9" fillId="14" borderId="115" xfId="0" applyNumberFormat="1" applyFont="1" applyFill="1" applyBorder="1" applyAlignment="1">
      <alignment horizontal="center" vertical="center" wrapText="1"/>
    </xf>
    <xf numFmtId="44" fontId="4" fillId="8" borderId="183" xfId="2" applyFont="1" applyFill="1" applyBorder="1" applyAlignment="1" applyProtection="1">
      <alignment horizontal="center" vertical="center"/>
    </xf>
    <xf numFmtId="44" fontId="4" fillId="8" borderId="115" xfId="2" applyFont="1" applyFill="1" applyBorder="1" applyAlignment="1" applyProtection="1">
      <alignment horizontal="center" vertical="center"/>
    </xf>
    <xf numFmtId="0" fontId="4" fillId="8" borderId="208" xfId="0" applyFont="1" applyFill="1" applyBorder="1" applyAlignment="1">
      <alignment horizontal="center" vertical="center"/>
    </xf>
    <xf numFmtId="0" fontId="4" fillId="8" borderId="140" xfId="0" applyFont="1" applyFill="1" applyBorder="1" applyAlignment="1">
      <alignment horizontal="center" vertical="center"/>
    </xf>
    <xf numFmtId="0" fontId="4" fillId="8" borderId="178" xfId="0" applyFont="1" applyFill="1" applyBorder="1" applyAlignment="1">
      <alignment horizontal="center" vertical="center"/>
    </xf>
    <xf numFmtId="0" fontId="10" fillId="0" borderId="0" xfId="0" applyFont="1" applyAlignment="1">
      <alignment horizontal="center" vertical="center" wrapText="1"/>
    </xf>
    <xf numFmtId="167" fontId="0" fillId="0" borderId="0" xfId="2" applyNumberFormat="1" applyFont="1" applyFill="1" applyBorder="1" applyAlignment="1" applyProtection="1">
      <alignment horizontal="center" vertical="center"/>
    </xf>
    <xf numFmtId="0" fontId="7" fillId="7" borderId="130" xfId="0" applyFont="1" applyFill="1" applyBorder="1" applyAlignment="1">
      <alignment horizontal="center" vertical="center"/>
    </xf>
    <xf numFmtId="0" fontId="7" fillId="7" borderId="129" xfId="0" applyFont="1" applyFill="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center" vertical="center" wrapText="1"/>
      <protection locked="0"/>
    </xf>
    <xf numFmtId="0" fontId="4" fillId="2" borderId="0" xfId="0" applyFont="1" applyFill="1" applyAlignment="1">
      <alignment horizontal="center" vertical="center"/>
    </xf>
    <xf numFmtId="0" fontId="7" fillId="54" borderId="135" xfId="0" applyFont="1" applyFill="1" applyBorder="1" applyAlignment="1" applyProtection="1">
      <alignment horizontal="center" vertical="center"/>
      <protection locked="0"/>
    </xf>
    <xf numFmtId="0" fontId="7" fillId="54" borderId="136" xfId="0" applyFont="1" applyFill="1" applyBorder="1" applyAlignment="1" applyProtection="1">
      <alignment horizontal="center" vertical="center"/>
      <protection locked="0"/>
    </xf>
    <xf numFmtId="0" fontId="21" fillId="2" borderId="0" xfId="0" applyFont="1" applyFill="1" applyAlignment="1">
      <alignment horizontal="left" vertical="center"/>
    </xf>
    <xf numFmtId="0" fontId="0" fillId="2" borderId="0" xfId="0" applyFill="1" applyAlignment="1">
      <alignment horizontal="center" vertical="center" wrapText="1"/>
    </xf>
    <xf numFmtId="0" fontId="7" fillId="0" borderId="0" xfId="0" applyFont="1" applyAlignment="1" applyProtection="1">
      <alignment horizontal="center" vertical="center"/>
      <protection locked="0"/>
    </xf>
    <xf numFmtId="0" fontId="11" fillId="0" borderId="0" xfId="4" applyBorder="1" applyAlignment="1" applyProtection="1">
      <alignment horizontal="left" vertical="center" indent="2"/>
    </xf>
    <xf numFmtId="1" fontId="0" fillId="2" borderId="0" xfId="0" applyNumberFormat="1" applyFill="1" applyAlignment="1">
      <alignment horizontal="center" vertical="center"/>
    </xf>
    <xf numFmtId="0" fontId="4" fillId="7" borderId="114" xfId="0" applyFont="1" applyFill="1" applyBorder="1" applyAlignment="1" applyProtection="1">
      <alignment horizontal="center" vertical="center"/>
      <protection locked="0"/>
    </xf>
    <xf numFmtId="0" fontId="4" fillId="7" borderId="115" xfId="0" applyFont="1" applyFill="1" applyBorder="1" applyAlignment="1" applyProtection="1">
      <alignment horizontal="center" vertical="center"/>
      <protection locked="0"/>
    </xf>
  </cellXfs>
  <cellStyles count="44">
    <cellStyle name="Accent" xfId="8" xr:uid="{F797247C-B060-4166-978E-727979A8309D}"/>
    <cellStyle name="Accent 1" xfId="9" xr:uid="{7A8098E0-8033-4FB3-9FAF-F842E1A9F6DB}"/>
    <cellStyle name="Accent 2" xfId="10" xr:uid="{E0D1D8A8-8639-4018-8D71-9269B2D82BF7}"/>
    <cellStyle name="Accent 3" xfId="11" xr:uid="{D2066B3F-AB85-4E0D-B4CC-B3F26393C156}"/>
    <cellStyle name="Bad" xfId="12" xr:uid="{F16E6916-DACE-4A41-9029-7F179BF83003}"/>
    <cellStyle name="Error" xfId="13" xr:uid="{42C48446-B88A-4669-8D0D-5DF156CB235C}"/>
    <cellStyle name="Euro" xfId="28" xr:uid="{1C471DB7-E6C6-4096-8AFB-7DED10E267C1}"/>
    <cellStyle name="Euro 2" xfId="29" xr:uid="{5B93A24F-D974-469E-A0F2-09993EECBF45}"/>
    <cellStyle name="Euro 3" xfId="30" xr:uid="{9AB1F702-3919-4436-866A-019759029E43}"/>
    <cellStyle name="Footnote" xfId="14" xr:uid="{144D40A6-7535-4351-8065-35B9ED61AF65}"/>
    <cellStyle name="Good" xfId="15" xr:uid="{2E3967E8-E619-4292-B58F-DC4FDB01BC52}"/>
    <cellStyle name="Heading" xfId="16" xr:uid="{16B141DB-7822-4A10-8D7C-49E78058B151}"/>
    <cellStyle name="Heading 1" xfId="17" xr:uid="{E41F91F9-E273-443B-B7D0-6F90502366CA}"/>
    <cellStyle name="Heading 2" xfId="18" xr:uid="{C2827BDF-F283-4C0C-ADD3-18E72DD00CE5}"/>
    <cellStyle name="Hipervínculo" xfId="4" builtinId="8"/>
    <cellStyle name="Hipervínculo 2" xfId="27" xr:uid="{3BD20673-D4AF-49F2-8602-5A407F9F35F0}"/>
    <cellStyle name="Millares" xfId="1" builtinId="3"/>
    <cellStyle name="Millares 2" xfId="31" xr:uid="{C4050A41-C3FB-4869-84FB-4D2958F922EB}"/>
    <cellStyle name="Millares 3" xfId="19" xr:uid="{938CC348-E899-4287-A5CC-9CF37B09CD9B}"/>
    <cellStyle name="Moneda" xfId="2" builtinId="4"/>
    <cellStyle name="Moneda [0]" xfId="6" builtinId="7"/>
    <cellStyle name="Moneda [0] 2" xfId="38" xr:uid="{130305BC-E3EF-4AEF-BC90-4DEEB9453749}"/>
    <cellStyle name="Moneda 2" xfId="33" xr:uid="{1A33DC10-C6D1-4E18-8393-1DCCA5E0B7EE}"/>
    <cellStyle name="Moneda 2 2" xfId="43" xr:uid="{90996A8F-8BE2-431A-BF8D-6C80768A0BA9}"/>
    <cellStyle name="Moneda 3" xfId="32" xr:uid="{D2A80B91-61BA-4A90-AAE7-65F14E3F3556}"/>
    <cellStyle name="Moneda 4" xfId="20" xr:uid="{BA564D6B-3B1E-45DE-96AB-D999A56115CA}"/>
    <cellStyle name="Moneda 5" xfId="39" xr:uid="{0533BF69-8E01-4AC2-9F22-6914C4C308FC}"/>
    <cellStyle name="Moneda 6" xfId="41" xr:uid="{3423F003-B0EF-468C-9082-3ECE72450FF4}"/>
    <cellStyle name="Neutral 2" xfId="21" xr:uid="{81E26086-87AC-43DF-9D70-E4A2C3E8AC87}"/>
    <cellStyle name="Normal" xfId="0" builtinId="0"/>
    <cellStyle name="Normal 2" xfId="34" xr:uid="{C205FE4F-A0E2-441A-B2A4-8545FD4871DF}"/>
    <cellStyle name="Normal 2 2" xfId="42" xr:uid="{9D6195A1-A3CC-4D49-9863-B1969AAAAAA5}"/>
    <cellStyle name="Normal 3" xfId="35" xr:uid="{F553CACC-870A-44CD-849E-497E7CC9B503}"/>
    <cellStyle name="Normal 4" xfId="36" xr:uid="{D9D433C6-3BF7-4CE6-A336-E298DD8A0ECC}"/>
    <cellStyle name="Normal 5" xfId="7" xr:uid="{0A6D2115-9EFD-481F-BF7C-A9FB15D9239A}"/>
    <cellStyle name="Note" xfId="22" xr:uid="{5B93A1B8-CDA9-40A9-8FDD-FE7FB9C28AC3}"/>
    <cellStyle name="Note 2" xfId="40" xr:uid="{DAF40B49-9DDD-4A10-98E1-66D41CC6A9BD}"/>
    <cellStyle name="Porcentaje" xfId="3" builtinId="5"/>
    <cellStyle name="Porcentaje 2" xfId="37" xr:uid="{DF187496-3972-4CA7-B30D-9FD59B3A1A2E}"/>
    <cellStyle name="Porcentaje 3" xfId="5" xr:uid="{00000000-0005-0000-0000-000006000000}"/>
    <cellStyle name="Porcentaje 4" xfId="23" xr:uid="{4512E738-CBF5-41FA-8741-70D386E2A52E}"/>
    <cellStyle name="Status" xfId="24" xr:uid="{AB334025-618B-4F10-9AE4-C66EB1017C89}"/>
    <cellStyle name="Text" xfId="25" xr:uid="{6FE96606-97C3-416C-B357-0FC9404C7CEB}"/>
    <cellStyle name="Warning" xfId="26" xr:uid="{269E8289-29A7-4C9E-9367-BF18618D6525}"/>
  </cellStyles>
  <dxfs count="1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ont>
        <color rgb="FF006100"/>
      </font>
      <fill>
        <patternFill>
          <bgColor rgb="FFC6EFCE"/>
        </patternFill>
      </fill>
    </dxf>
    <dxf>
      <font>
        <color rgb="FF9C0006"/>
      </font>
      <fill>
        <patternFill>
          <bgColor rgb="FFFFC7CE"/>
        </patternFill>
      </fill>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2.xml.rels><?xml version="1.0" encoding="UTF-8" standalone="yes"?>
<Relationships xmlns="http://schemas.openxmlformats.org/package/2006/relationships"><Relationship Id="rId2" Type="http://schemas.openxmlformats.org/officeDocument/2006/relationships/hyperlink" Target="RESUMEN.xlsx" TargetMode="External"/><Relationship Id="rId1" Type="http://schemas.openxmlformats.org/officeDocument/2006/relationships/hyperlink" Target="#'&#205;ndice Tablas'!A1"/></Relationships>
</file>

<file path=xl/drawings/_rels/drawing3.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4.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5.xml.rels><?xml version="1.0" encoding="UTF-8" standalone="yes"?>
<Relationships xmlns="http://schemas.openxmlformats.org/package/2006/relationships"><Relationship Id="rId8" Type="http://schemas.openxmlformats.org/officeDocument/2006/relationships/hyperlink" Target="#'D) Costos Indirectos'!AN9"/><Relationship Id="rId3" Type="http://schemas.openxmlformats.org/officeDocument/2006/relationships/hyperlink" Target="#'D) Costos Indirectos'!M9"/><Relationship Id="rId7" Type="http://schemas.openxmlformats.org/officeDocument/2006/relationships/hyperlink" Target="#'D) Costos Indirectos'!A1"/><Relationship Id="rId2" Type="http://schemas.openxmlformats.org/officeDocument/2006/relationships/hyperlink" Target="#'&#205;ndice Tablas'!A1"/><Relationship Id="rId1" Type="http://schemas.openxmlformats.org/officeDocument/2006/relationships/hyperlink" Target="#'D) Costos Indirectos '!A1"/><Relationship Id="rId6" Type="http://schemas.openxmlformats.org/officeDocument/2006/relationships/hyperlink" Target="#'D) Costos Indirectos'!AG9"/><Relationship Id="rId5" Type="http://schemas.openxmlformats.org/officeDocument/2006/relationships/hyperlink" Target="#'D) Costos Indirectos'!Z9"/><Relationship Id="rId4" Type="http://schemas.openxmlformats.org/officeDocument/2006/relationships/hyperlink" Target="#'D) Costos Indirectos'!U9"/></Relationships>
</file>

<file path=xl/drawings/_rels/drawing6.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7.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8.xml.rels><?xml version="1.0" encoding="UTF-8" standalone="yes"?>
<Relationships xmlns="http://schemas.openxmlformats.org/package/2006/relationships"><Relationship Id="rId1" Type="http://schemas.openxmlformats.org/officeDocument/2006/relationships/hyperlink" Target="#'&#205;ndice Tablas'!A1"/></Relationships>
</file>

<file path=xl/drawings/_rels/drawing9.xml.rels><?xml version="1.0" encoding="UTF-8" standalone="yes"?>
<Relationships xmlns="http://schemas.openxmlformats.org/package/2006/relationships"><Relationship Id="rId2" Type="http://schemas.openxmlformats.org/officeDocument/2006/relationships/hyperlink" Target="#'&#205;ndice Tablas'!A1"/><Relationship Id="rId1" Type="http://schemas.openxmlformats.org/officeDocument/2006/relationships/hyperlink" Target="#'&#205;ndice Tablas '!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190499</xdr:rowOff>
    </xdr:from>
    <xdr:to>
      <xdr:col>9</xdr:col>
      <xdr:colOff>457200</xdr:colOff>
      <xdr:row>46</xdr:row>
      <xdr:rowOff>59530</xdr:rowOff>
    </xdr:to>
    <xdr:pic>
      <xdr:nvPicPr>
        <xdr:cNvPr id="13" name="Imagen 12">
          <a:extLst>
            <a:ext uri="{FF2B5EF4-FFF2-40B4-BE49-F238E27FC236}">
              <a16:creationId xmlns:a16="http://schemas.microsoft.com/office/drawing/2014/main" id="{4D62256F-A9A6-402E-AC8F-4B7FB4EF0608}"/>
            </a:ext>
          </a:extLst>
        </xdr:cNvPr>
        <xdr:cNvPicPr>
          <a:picLocks noChangeAspect="1"/>
        </xdr:cNvPicPr>
      </xdr:nvPicPr>
      <xdr:blipFill>
        <a:blip xmlns:r="http://schemas.openxmlformats.org/officeDocument/2006/relationships" r:embed="rId1"/>
        <a:stretch>
          <a:fillRect/>
        </a:stretch>
      </xdr:blipFill>
      <xdr:spPr>
        <a:xfrm>
          <a:off x="762000" y="952499"/>
          <a:ext cx="6553200" cy="7870031"/>
        </a:xfrm>
        <a:prstGeom prst="rect">
          <a:avLst/>
        </a:prstGeom>
      </xdr:spPr>
    </xdr:pic>
    <xdr:clientData/>
  </xdr:twoCellAnchor>
  <xdr:twoCellAnchor editAs="oneCell">
    <xdr:from>
      <xdr:col>13</xdr:col>
      <xdr:colOff>714374</xdr:colOff>
      <xdr:row>6</xdr:row>
      <xdr:rowOff>76200</xdr:rowOff>
    </xdr:from>
    <xdr:to>
      <xdr:col>24</xdr:col>
      <xdr:colOff>226219</xdr:colOff>
      <xdr:row>45</xdr:row>
      <xdr:rowOff>166687</xdr:rowOff>
    </xdr:to>
    <xdr:pic>
      <xdr:nvPicPr>
        <xdr:cNvPr id="14" name="Imagen 13">
          <a:extLst>
            <a:ext uri="{FF2B5EF4-FFF2-40B4-BE49-F238E27FC236}">
              <a16:creationId xmlns:a16="http://schemas.microsoft.com/office/drawing/2014/main" id="{F3C0C5FD-9AAF-4CCB-9098-A0B12E69DF0B}"/>
            </a:ext>
          </a:extLst>
        </xdr:cNvPr>
        <xdr:cNvPicPr>
          <a:picLocks noChangeAspect="1"/>
        </xdr:cNvPicPr>
      </xdr:nvPicPr>
      <xdr:blipFill>
        <a:blip xmlns:r="http://schemas.openxmlformats.org/officeDocument/2006/relationships" r:embed="rId2"/>
        <a:stretch>
          <a:fillRect/>
        </a:stretch>
      </xdr:blipFill>
      <xdr:spPr>
        <a:xfrm>
          <a:off x="10620374" y="1219200"/>
          <a:ext cx="7893845" cy="7519987"/>
        </a:xfrm>
        <a:prstGeom prst="rect">
          <a:avLst/>
        </a:prstGeom>
      </xdr:spPr>
    </xdr:pic>
    <xdr:clientData/>
  </xdr:twoCellAnchor>
  <xdr:twoCellAnchor editAs="oneCell">
    <xdr:from>
      <xdr:col>1</xdr:col>
      <xdr:colOff>514351</xdr:colOff>
      <xdr:row>49</xdr:row>
      <xdr:rowOff>190499</xdr:rowOff>
    </xdr:from>
    <xdr:to>
      <xdr:col>9</xdr:col>
      <xdr:colOff>266701</xdr:colOff>
      <xdr:row>84</xdr:row>
      <xdr:rowOff>133349</xdr:rowOff>
    </xdr:to>
    <xdr:pic>
      <xdr:nvPicPr>
        <xdr:cNvPr id="15" name="Imagen 14">
          <a:extLst>
            <a:ext uri="{FF2B5EF4-FFF2-40B4-BE49-F238E27FC236}">
              <a16:creationId xmlns:a16="http://schemas.microsoft.com/office/drawing/2014/main" id="{5648B6D0-95E2-4532-BE77-1C8EBE623C86}"/>
            </a:ext>
          </a:extLst>
        </xdr:cNvPr>
        <xdr:cNvPicPr>
          <a:picLocks noChangeAspect="1"/>
        </xdr:cNvPicPr>
      </xdr:nvPicPr>
      <xdr:blipFill>
        <a:blip xmlns:r="http://schemas.openxmlformats.org/officeDocument/2006/relationships" r:embed="rId3"/>
        <a:stretch>
          <a:fillRect/>
        </a:stretch>
      </xdr:blipFill>
      <xdr:spPr>
        <a:xfrm>
          <a:off x="1276351" y="9524999"/>
          <a:ext cx="5848350" cy="6981825"/>
        </a:xfrm>
        <a:prstGeom prst="rect">
          <a:avLst/>
        </a:prstGeom>
      </xdr:spPr>
    </xdr:pic>
    <xdr:clientData/>
  </xdr:twoCellAnchor>
  <xdr:twoCellAnchor editAs="oneCell">
    <xdr:from>
      <xdr:col>14</xdr:col>
      <xdr:colOff>238124</xdr:colOff>
      <xdr:row>49</xdr:row>
      <xdr:rowOff>180975</xdr:rowOff>
    </xdr:from>
    <xdr:to>
      <xdr:col>22</xdr:col>
      <xdr:colOff>678655</xdr:colOff>
      <xdr:row>84</xdr:row>
      <xdr:rowOff>80962</xdr:rowOff>
    </xdr:to>
    <xdr:pic>
      <xdr:nvPicPr>
        <xdr:cNvPr id="16" name="Imagen 15">
          <a:extLst>
            <a:ext uri="{FF2B5EF4-FFF2-40B4-BE49-F238E27FC236}">
              <a16:creationId xmlns:a16="http://schemas.microsoft.com/office/drawing/2014/main" id="{DEF11FA1-5FFC-4032-8E16-CD0E24CE3880}"/>
            </a:ext>
          </a:extLst>
        </xdr:cNvPr>
        <xdr:cNvPicPr>
          <a:picLocks noChangeAspect="1"/>
        </xdr:cNvPicPr>
      </xdr:nvPicPr>
      <xdr:blipFill>
        <a:blip xmlns:r="http://schemas.openxmlformats.org/officeDocument/2006/relationships" r:embed="rId4"/>
        <a:stretch>
          <a:fillRect/>
        </a:stretch>
      </xdr:blipFill>
      <xdr:spPr>
        <a:xfrm>
          <a:off x="10906124" y="9515475"/>
          <a:ext cx="6536531" cy="6938962"/>
        </a:xfrm>
        <a:prstGeom prst="rect">
          <a:avLst/>
        </a:prstGeom>
      </xdr:spPr>
    </xdr:pic>
    <xdr:clientData/>
  </xdr:twoCellAnchor>
  <xdr:twoCellAnchor editAs="oneCell">
    <xdr:from>
      <xdr:col>2</xdr:col>
      <xdr:colOff>0</xdr:colOff>
      <xdr:row>97</xdr:row>
      <xdr:rowOff>0</xdr:rowOff>
    </xdr:from>
    <xdr:to>
      <xdr:col>10</xdr:col>
      <xdr:colOff>257175</xdr:colOff>
      <xdr:row>119</xdr:row>
      <xdr:rowOff>143480</xdr:rowOff>
    </xdr:to>
    <xdr:pic>
      <xdr:nvPicPr>
        <xdr:cNvPr id="17" name="Imagen 16">
          <a:extLst>
            <a:ext uri="{FF2B5EF4-FFF2-40B4-BE49-F238E27FC236}">
              <a16:creationId xmlns:a16="http://schemas.microsoft.com/office/drawing/2014/main" id="{92D582A9-7DCC-4CD8-B2BC-324D89D77693}"/>
            </a:ext>
          </a:extLst>
        </xdr:cNvPr>
        <xdr:cNvPicPr>
          <a:picLocks noChangeAspect="1"/>
        </xdr:cNvPicPr>
      </xdr:nvPicPr>
      <xdr:blipFill>
        <a:blip xmlns:r="http://schemas.openxmlformats.org/officeDocument/2006/relationships" r:embed="rId5"/>
        <a:stretch>
          <a:fillRect/>
        </a:stretch>
      </xdr:blipFill>
      <xdr:spPr>
        <a:xfrm>
          <a:off x="1524000" y="18478500"/>
          <a:ext cx="6353175" cy="4334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35719</xdr:colOff>
      <xdr:row>1</xdr:row>
      <xdr:rowOff>11906</xdr:rowOff>
    </xdr:from>
    <xdr:to>
      <xdr:col>1</xdr:col>
      <xdr:colOff>1345407</xdr:colOff>
      <xdr:row>5</xdr:row>
      <xdr:rowOff>78580</xdr:rowOff>
    </xdr:to>
    <xdr:sp macro="" textlink="">
      <xdr:nvSpPr>
        <xdr:cNvPr id="2" name="Flecha: a la derecha 3">
          <a:hlinkClick xmlns:r="http://schemas.openxmlformats.org/officeDocument/2006/relationships" r:id="rId1"/>
          <a:extLst>
            <a:ext uri="{FF2B5EF4-FFF2-40B4-BE49-F238E27FC236}">
              <a16:creationId xmlns:a16="http://schemas.microsoft.com/office/drawing/2014/main" id="{CBCC58BB-C4F8-452E-AC64-E74746A03898}"/>
            </a:ext>
          </a:extLst>
        </xdr:cNvPr>
        <xdr:cNvSpPr/>
      </xdr:nvSpPr>
      <xdr:spPr bwMode="auto">
        <a:xfrm flipH="1">
          <a:off x="797719" y="202406"/>
          <a:ext cx="1309688" cy="840580"/>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Índice</a:t>
          </a:r>
          <a:r>
            <a:rPr lang="es-CL" sz="1200" b="1" baseline="0">
              <a:solidFill>
                <a:srgbClr val="FF0000"/>
              </a:solidFill>
            </a:rPr>
            <a:t> Tablas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738188</xdr:colOff>
      <xdr:row>0</xdr:row>
      <xdr:rowOff>95250</xdr:rowOff>
    </xdr:from>
    <xdr:to>
      <xdr:col>1</xdr:col>
      <xdr:colOff>1285876</xdr:colOff>
      <xdr:row>4</xdr:row>
      <xdr:rowOff>95249</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4AB75474-02D3-42C6-8C29-B8DBDC3AADC7}"/>
            </a:ext>
          </a:extLst>
        </xdr:cNvPr>
        <xdr:cNvSpPr/>
      </xdr:nvSpPr>
      <xdr:spPr bwMode="auto">
        <a:xfrm flipH="1">
          <a:off x="738188" y="95250"/>
          <a:ext cx="1309688" cy="77390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95254</xdr:colOff>
      <xdr:row>0</xdr:row>
      <xdr:rowOff>71439</xdr:rowOff>
    </xdr:from>
    <xdr:to>
      <xdr:col>0</xdr:col>
      <xdr:colOff>1404942</xdr:colOff>
      <xdr:row>4</xdr:row>
      <xdr:rowOff>47625</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85456FB8-B6BA-4656-B05C-31AA8D5227FC}"/>
            </a:ext>
          </a:extLst>
        </xdr:cNvPr>
        <xdr:cNvSpPr/>
      </xdr:nvSpPr>
      <xdr:spPr bwMode="auto">
        <a:xfrm flipH="1">
          <a:off x="95254" y="71439"/>
          <a:ext cx="1309688" cy="700086"/>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xdr:col>
      <xdr:colOff>0</xdr:colOff>
      <xdr:row>1</xdr:row>
      <xdr:rowOff>0</xdr:rowOff>
    </xdr:from>
    <xdr:to>
      <xdr:col>1</xdr:col>
      <xdr:colOff>333375</xdr:colOff>
      <xdr:row>2</xdr:row>
      <xdr:rowOff>119063</xdr:rowOff>
    </xdr:to>
    <xdr:sp macro="" textlink="">
      <xdr:nvSpPr>
        <xdr:cNvPr id="3" name="Estrella: 5 puntas 2">
          <a:hlinkClick xmlns:r="http://schemas.openxmlformats.org/officeDocument/2006/relationships" r:id="rId2"/>
          <a:extLst>
            <a:ext uri="{FF2B5EF4-FFF2-40B4-BE49-F238E27FC236}">
              <a16:creationId xmlns:a16="http://schemas.microsoft.com/office/drawing/2014/main" id="{BC2ED2C7-A482-4431-B5BD-79309916B822}"/>
            </a:ext>
          </a:extLst>
        </xdr:cNvPr>
        <xdr:cNvSpPr/>
      </xdr:nvSpPr>
      <xdr:spPr bwMode="auto">
        <a:xfrm>
          <a:off x="2105025" y="161925"/>
          <a:ext cx="333375" cy="280988"/>
        </a:xfrm>
        <a:prstGeom prst="star5">
          <a:avLst/>
        </a:prstGeom>
        <a:solidFill>
          <a:srgbClr val="00206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s-C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345280</xdr:colOff>
      <xdr:row>3</xdr:row>
      <xdr:rowOff>166686</xdr:rowOff>
    </xdr:from>
    <xdr:to>
      <xdr:col>0</xdr:col>
      <xdr:colOff>1654968</xdr:colOff>
      <xdr:row>7</xdr:row>
      <xdr:rowOff>35717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B5E732E3-EC88-4022-AFBB-B26BD3E31F1F}"/>
            </a:ext>
          </a:extLst>
        </xdr:cNvPr>
        <xdr:cNvSpPr/>
      </xdr:nvSpPr>
      <xdr:spPr bwMode="auto">
        <a:xfrm flipH="1">
          <a:off x="345280" y="652461"/>
          <a:ext cx="1309688" cy="726281"/>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83342</xdr:colOff>
      <xdr:row>0</xdr:row>
      <xdr:rowOff>107164</xdr:rowOff>
    </xdr:from>
    <xdr:to>
      <xdr:col>0</xdr:col>
      <xdr:colOff>1393030</xdr:colOff>
      <xdr:row>4</xdr:row>
      <xdr:rowOff>71444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3EA5C94-6530-427E-A407-3DF5FCB3245A}"/>
            </a:ext>
          </a:extLst>
        </xdr:cNvPr>
        <xdr:cNvSpPr/>
      </xdr:nvSpPr>
      <xdr:spPr bwMode="auto">
        <a:xfrm flipH="1">
          <a:off x="83342" y="107164"/>
          <a:ext cx="1309688" cy="69770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333375</xdr:colOff>
      <xdr:row>2</xdr:row>
      <xdr:rowOff>47625</xdr:rowOff>
    </xdr:from>
    <xdr:to>
      <xdr:col>32</xdr:col>
      <xdr:colOff>750093</xdr:colOff>
      <xdr:row>3</xdr:row>
      <xdr:rowOff>178593</xdr:rowOff>
    </xdr:to>
    <xdr:sp macro="" textlink="">
      <xdr:nvSpPr>
        <xdr:cNvPr id="2" name="Flecha derecha 5">
          <a:hlinkClick xmlns:r="http://schemas.openxmlformats.org/officeDocument/2006/relationships" r:id="rId1"/>
          <a:extLst>
            <a:ext uri="{FF2B5EF4-FFF2-40B4-BE49-F238E27FC236}">
              <a16:creationId xmlns:a16="http://schemas.microsoft.com/office/drawing/2014/main" id="{DC8523AA-5D62-4E13-8358-C0463D998D52}"/>
            </a:ext>
          </a:extLst>
        </xdr:cNvPr>
        <xdr:cNvSpPr/>
      </xdr:nvSpPr>
      <xdr:spPr bwMode="auto">
        <a:xfrm rot="10800000">
          <a:off x="36833175"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3" name="Flecha derecha 6">
          <a:hlinkClick xmlns:r="http://schemas.openxmlformats.org/officeDocument/2006/relationships" r:id="rId1"/>
          <a:extLst>
            <a:ext uri="{FF2B5EF4-FFF2-40B4-BE49-F238E27FC236}">
              <a16:creationId xmlns:a16="http://schemas.microsoft.com/office/drawing/2014/main" id="{AD3D01FB-4073-4EA9-B751-67D2E854BACE}"/>
            </a:ext>
          </a:extLst>
        </xdr:cNvPr>
        <xdr:cNvSpPr/>
      </xdr:nvSpPr>
      <xdr:spPr bwMode="auto">
        <a:xfrm rot="10800000">
          <a:off x="2927032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4" name="Flecha derecha 7">
          <a:hlinkClick xmlns:r="http://schemas.openxmlformats.org/officeDocument/2006/relationships" r:id="rId1"/>
          <a:extLst>
            <a:ext uri="{FF2B5EF4-FFF2-40B4-BE49-F238E27FC236}">
              <a16:creationId xmlns:a16="http://schemas.microsoft.com/office/drawing/2014/main" id="{39BE8239-5C58-441F-86D3-86A1A151495F}"/>
            </a:ext>
          </a:extLst>
        </xdr:cNvPr>
        <xdr:cNvSpPr/>
      </xdr:nvSpPr>
      <xdr:spPr bwMode="auto">
        <a:xfrm rot="10800000">
          <a:off x="2286952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5" name="Flecha derecha 8">
          <a:hlinkClick xmlns:r="http://schemas.openxmlformats.org/officeDocument/2006/relationships" r:id="rId1"/>
          <a:extLst>
            <a:ext uri="{FF2B5EF4-FFF2-40B4-BE49-F238E27FC236}">
              <a16:creationId xmlns:a16="http://schemas.microsoft.com/office/drawing/2014/main" id="{D487A5F8-BC72-4B2B-8951-542659254C80}"/>
            </a:ext>
          </a:extLst>
        </xdr:cNvPr>
        <xdr:cNvSpPr/>
      </xdr:nvSpPr>
      <xdr:spPr bwMode="auto">
        <a:xfrm rot="10800000">
          <a:off x="15151894" y="509588"/>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6" name="Flecha derecha 10">
          <a:hlinkClick xmlns:r="http://schemas.openxmlformats.org/officeDocument/2006/relationships" r:id="rId1"/>
          <a:extLst>
            <a:ext uri="{FF2B5EF4-FFF2-40B4-BE49-F238E27FC236}">
              <a16:creationId xmlns:a16="http://schemas.microsoft.com/office/drawing/2014/main" id="{E2D0532B-47A4-4E44-9020-6DE528906CE0}"/>
            </a:ext>
          </a:extLst>
        </xdr:cNvPr>
        <xdr:cNvSpPr/>
      </xdr:nvSpPr>
      <xdr:spPr bwMode="auto">
        <a:xfrm rot="10800000">
          <a:off x="42976800"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xdr:col>
      <xdr:colOff>0</xdr:colOff>
      <xdr:row>2</xdr:row>
      <xdr:rowOff>0</xdr:rowOff>
    </xdr:from>
    <xdr:to>
      <xdr:col>1</xdr:col>
      <xdr:colOff>1309688</xdr:colOff>
      <xdr:row>5</xdr:row>
      <xdr:rowOff>142874</xdr:rowOff>
    </xdr:to>
    <xdr:sp macro="" textlink="">
      <xdr:nvSpPr>
        <xdr:cNvPr id="7" name="Flecha: a la derecha 1">
          <a:hlinkClick xmlns:r="http://schemas.openxmlformats.org/officeDocument/2006/relationships" r:id="rId2"/>
          <a:extLst>
            <a:ext uri="{FF2B5EF4-FFF2-40B4-BE49-F238E27FC236}">
              <a16:creationId xmlns:a16="http://schemas.microsoft.com/office/drawing/2014/main" id="{11CA1AC6-2D9D-4BC4-92E9-A810696A830F}"/>
            </a:ext>
          </a:extLst>
        </xdr:cNvPr>
        <xdr:cNvSpPr/>
      </xdr:nvSpPr>
      <xdr:spPr bwMode="auto">
        <a:xfrm flipH="1">
          <a:off x="476250" y="32385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8" name="Flecha derecha 5">
          <a:hlinkClick xmlns:r="http://schemas.openxmlformats.org/officeDocument/2006/relationships" r:id="rId1"/>
          <a:extLst>
            <a:ext uri="{FF2B5EF4-FFF2-40B4-BE49-F238E27FC236}">
              <a16:creationId xmlns:a16="http://schemas.microsoft.com/office/drawing/2014/main" id="{9D35589E-FB1B-4294-A2D7-2C65B3CBF973}"/>
            </a:ext>
          </a:extLst>
        </xdr:cNvPr>
        <xdr:cNvSpPr/>
      </xdr:nvSpPr>
      <xdr:spPr bwMode="auto">
        <a:xfrm rot="10800000">
          <a:off x="39909750"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9" name="Flecha derecha 6">
          <a:hlinkClick xmlns:r="http://schemas.openxmlformats.org/officeDocument/2006/relationships" r:id="rId1"/>
          <a:extLst>
            <a:ext uri="{FF2B5EF4-FFF2-40B4-BE49-F238E27FC236}">
              <a16:creationId xmlns:a16="http://schemas.microsoft.com/office/drawing/2014/main" id="{3F3BCA43-3F19-448F-BBBE-393F4473B33E}"/>
            </a:ext>
          </a:extLst>
        </xdr:cNvPr>
        <xdr:cNvSpPr/>
      </xdr:nvSpPr>
      <xdr:spPr bwMode="auto">
        <a:xfrm rot="10800000">
          <a:off x="32346900" y="485775"/>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10" name="Flecha derecha 7">
          <a:hlinkClick xmlns:r="http://schemas.openxmlformats.org/officeDocument/2006/relationships" r:id="rId1"/>
          <a:extLst>
            <a:ext uri="{FF2B5EF4-FFF2-40B4-BE49-F238E27FC236}">
              <a16:creationId xmlns:a16="http://schemas.microsoft.com/office/drawing/2014/main" id="{EAFF7511-CCC6-4C8C-89E6-F5CF54407A26}"/>
            </a:ext>
          </a:extLst>
        </xdr:cNvPr>
        <xdr:cNvSpPr/>
      </xdr:nvSpPr>
      <xdr:spPr bwMode="auto">
        <a:xfrm rot="10800000">
          <a:off x="25946100" y="485775"/>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1" name="Flecha derecha 8">
          <a:hlinkClick xmlns:r="http://schemas.openxmlformats.org/officeDocument/2006/relationships" r:id="rId1"/>
          <a:extLst>
            <a:ext uri="{FF2B5EF4-FFF2-40B4-BE49-F238E27FC236}">
              <a16:creationId xmlns:a16="http://schemas.microsoft.com/office/drawing/2014/main" id="{511780EA-B1DB-44C6-A5B8-7C56AB3DFD09}"/>
            </a:ext>
          </a:extLst>
        </xdr:cNvPr>
        <xdr:cNvSpPr/>
      </xdr:nvSpPr>
      <xdr:spPr bwMode="auto">
        <a:xfrm rot="10800000">
          <a:off x="17714119" y="509588"/>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12" name="Flecha derecha 10">
          <a:hlinkClick xmlns:r="http://schemas.openxmlformats.org/officeDocument/2006/relationships" r:id="rId1"/>
          <a:extLst>
            <a:ext uri="{FF2B5EF4-FFF2-40B4-BE49-F238E27FC236}">
              <a16:creationId xmlns:a16="http://schemas.microsoft.com/office/drawing/2014/main" id="{805F27B0-3697-494D-B7A0-E2D32D3AE4CF}"/>
            </a:ext>
          </a:extLst>
        </xdr:cNvPr>
        <xdr:cNvSpPr/>
      </xdr:nvSpPr>
      <xdr:spPr bwMode="auto">
        <a:xfrm rot="10800000">
          <a:off x="46053375" y="485775"/>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xdr:col>
      <xdr:colOff>0</xdr:colOff>
      <xdr:row>2</xdr:row>
      <xdr:rowOff>0</xdr:rowOff>
    </xdr:from>
    <xdr:to>
      <xdr:col>1</xdr:col>
      <xdr:colOff>1309688</xdr:colOff>
      <xdr:row>5</xdr:row>
      <xdr:rowOff>142874</xdr:rowOff>
    </xdr:to>
    <xdr:sp macro="" textlink="">
      <xdr:nvSpPr>
        <xdr:cNvPr id="13" name="Flecha: a la derecha 1">
          <a:hlinkClick xmlns:r="http://schemas.openxmlformats.org/officeDocument/2006/relationships" r:id="rId2"/>
          <a:extLst>
            <a:ext uri="{FF2B5EF4-FFF2-40B4-BE49-F238E27FC236}">
              <a16:creationId xmlns:a16="http://schemas.microsoft.com/office/drawing/2014/main" id="{D87DEC84-6C8C-4F81-8684-FC2E3EF0DF67}"/>
            </a:ext>
          </a:extLst>
        </xdr:cNvPr>
        <xdr:cNvSpPr/>
      </xdr:nvSpPr>
      <xdr:spPr bwMode="auto">
        <a:xfrm flipH="1">
          <a:off x="476250" y="323850"/>
          <a:ext cx="1309688" cy="69532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0</xdr:col>
      <xdr:colOff>47624</xdr:colOff>
      <xdr:row>1</xdr:row>
      <xdr:rowOff>0</xdr:rowOff>
    </xdr:from>
    <xdr:to>
      <xdr:col>1</xdr:col>
      <xdr:colOff>762000</xdr:colOff>
      <xdr:row>4</xdr:row>
      <xdr:rowOff>119062</xdr:rowOff>
    </xdr:to>
    <xdr:sp macro="" textlink="">
      <xdr:nvSpPr>
        <xdr:cNvPr id="14" name="Flecha: hacia abajo 13">
          <a:hlinkClick xmlns:r="http://schemas.openxmlformats.org/officeDocument/2006/relationships" r:id="rId3"/>
          <a:extLst>
            <a:ext uri="{FF2B5EF4-FFF2-40B4-BE49-F238E27FC236}">
              <a16:creationId xmlns:a16="http://schemas.microsoft.com/office/drawing/2014/main" id="{9037DD33-8823-4EBB-8A8F-ED82F40B85D1}"/>
            </a:ext>
          </a:extLst>
        </xdr:cNvPr>
        <xdr:cNvSpPr/>
      </xdr:nvSpPr>
      <xdr:spPr bwMode="auto">
        <a:xfrm>
          <a:off x="47624" y="161925"/>
          <a:ext cx="1190626" cy="642937"/>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7</a:t>
          </a:r>
          <a:endParaRPr lang="es-CL" sz="1200" b="1">
            <a:solidFill>
              <a:srgbClr val="FF0000"/>
            </a:solidFill>
          </a:endParaRPr>
        </a:p>
      </xdr:txBody>
    </xdr:sp>
    <xdr:clientData/>
  </xdr:twoCellAnchor>
  <xdr:twoCellAnchor>
    <xdr:from>
      <xdr:col>1</xdr:col>
      <xdr:colOff>797719</xdr:colOff>
      <xdr:row>1</xdr:row>
      <xdr:rowOff>23811</xdr:rowOff>
    </xdr:from>
    <xdr:to>
      <xdr:col>2</xdr:col>
      <xdr:colOff>119064</xdr:colOff>
      <xdr:row>4</xdr:row>
      <xdr:rowOff>142873</xdr:rowOff>
    </xdr:to>
    <xdr:sp macro="" textlink="">
      <xdr:nvSpPr>
        <xdr:cNvPr id="15" name="Flecha: hacia abajo 1">
          <a:hlinkClick xmlns:r="http://schemas.openxmlformats.org/officeDocument/2006/relationships" r:id="rId4"/>
          <a:extLst>
            <a:ext uri="{FF2B5EF4-FFF2-40B4-BE49-F238E27FC236}">
              <a16:creationId xmlns:a16="http://schemas.microsoft.com/office/drawing/2014/main" id="{DB150A17-2F37-45A8-8DD2-BCDCC10232A1}"/>
            </a:ext>
          </a:extLst>
        </xdr:cNvPr>
        <xdr:cNvSpPr/>
      </xdr:nvSpPr>
      <xdr:spPr bwMode="auto">
        <a:xfrm>
          <a:off x="1273969" y="185736"/>
          <a:ext cx="1188245" cy="642937"/>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8</a:t>
          </a:r>
          <a:endParaRPr lang="es-CL" sz="1200" b="1">
            <a:solidFill>
              <a:srgbClr val="FF0000"/>
            </a:solidFill>
          </a:endParaRPr>
        </a:p>
      </xdr:txBody>
    </xdr:sp>
    <xdr:clientData/>
  </xdr:twoCellAnchor>
  <xdr:twoCellAnchor>
    <xdr:from>
      <xdr:col>2</xdr:col>
      <xdr:colOff>154781</xdr:colOff>
      <xdr:row>1</xdr:row>
      <xdr:rowOff>35718</xdr:rowOff>
    </xdr:from>
    <xdr:to>
      <xdr:col>2</xdr:col>
      <xdr:colOff>1345407</xdr:colOff>
      <xdr:row>4</xdr:row>
      <xdr:rowOff>154780</xdr:rowOff>
    </xdr:to>
    <xdr:sp macro="" textlink="">
      <xdr:nvSpPr>
        <xdr:cNvPr id="16" name="Flecha: hacia abajo 1">
          <a:hlinkClick xmlns:r="http://schemas.openxmlformats.org/officeDocument/2006/relationships" r:id="rId5"/>
          <a:extLst>
            <a:ext uri="{FF2B5EF4-FFF2-40B4-BE49-F238E27FC236}">
              <a16:creationId xmlns:a16="http://schemas.microsoft.com/office/drawing/2014/main" id="{2E112E25-B902-49EC-9D67-DA1F4B7F6206}"/>
            </a:ext>
          </a:extLst>
        </xdr:cNvPr>
        <xdr:cNvSpPr/>
      </xdr:nvSpPr>
      <xdr:spPr bwMode="auto">
        <a:xfrm>
          <a:off x="2497931" y="197643"/>
          <a:ext cx="1190626" cy="642937"/>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9</a:t>
          </a:r>
          <a:endParaRPr lang="es-CL" sz="1200" b="1">
            <a:solidFill>
              <a:srgbClr val="FF0000"/>
            </a:solidFill>
          </a:endParaRPr>
        </a:p>
      </xdr:txBody>
    </xdr:sp>
    <xdr:clientData/>
  </xdr:twoCellAnchor>
  <xdr:twoCellAnchor>
    <xdr:from>
      <xdr:col>2</xdr:col>
      <xdr:colOff>1404937</xdr:colOff>
      <xdr:row>1</xdr:row>
      <xdr:rowOff>47625</xdr:rowOff>
    </xdr:from>
    <xdr:to>
      <xdr:col>3</xdr:col>
      <xdr:colOff>678656</xdr:colOff>
      <xdr:row>5</xdr:row>
      <xdr:rowOff>83344</xdr:rowOff>
    </xdr:to>
    <xdr:sp macro="" textlink="">
      <xdr:nvSpPr>
        <xdr:cNvPr id="17" name="Flecha: hacia abajo 1">
          <a:hlinkClick xmlns:r="http://schemas.openxmlformats.org/officeDocument/2006/relationships" r:id="rId6"/>
          <a:extLst>
            <a:ext uri="{FF2B5EF4-FFF2-40B4-BE49-F238E27FC236}">
              <a16:creationId xmlns:a16="http://schemas.microsoft.com/office/drawing/2014/main" id="{D1D80FBA-3158-40AD-93AA-B25382E9CBC3}"/>
            </a:ext>
          </a:extLst>
        </xdr:cNvPr>
        <xdr:cNvSpPr/>
      </xdr:nvSpPr>
      <xdr:spPr bwMode="auto">
        <a:xfrm>
          <a:off x="3748087" y="209550"/>
          <a:ext cx="1731169" cy="750094"/>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10</a:t>
          </a:r>
          <a:endParaRPr lang="es-CL" sz="1200" b="1">
            <a:solidFill>
              <a:srgbClr val="FF0000"/>
            </a:solidFill>
          </a:endParaRPr>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18" name="Flecha derecha 7">
          <a:hlinkClick xmlns:r="http://schemas.openxmlformats.org/officeDocument/2006/relationships" r:id="rId7"/>
          <a:extLst>
            <a:ext uri="{FF2B5EF4-FFF2-40B4-BE49-F238E27FC236}">
              <a16:creationId xmlns:a16="http://schemas.microsoft.com/office/drawing/2014/main" id="{F3E0360B-0FDD-4631-9565-6E0BD580C4C4}"/>
            </a:ext>
          </a:extLst>
        </xdr:cNvPr>
        <xdr:cNvSpPr/>
      </xdr:nvSpPr>
      <xdr:spPr bwMode="auto">
        <a:xfrm rot="10800000">
          <a:off x="39909750"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19" name="Flecha derecha 8">
          <a:hlinkClick xmlns:r="http://schemas.openxmlformats.org/officeDocument/2006/relationships" r:id="rId7"/>
          <a:extLst>
            <a:ext uri="{FF2B5EF4-FFF2-40B4-BE49-F238E27FC236}">
              <a16:creationId xmlns:a16="http://schemas.microsoft.com/office/drawing/2014/main" id="{7C5328C8-1602-45A7-978B-342E946B1CD8}"/>
            </a:ext>
          </a:extLst>
        </xdr:cNvPr>
        <xdr:cNvSpPr/>
      </xdr:nvSpPr>
      <xdr:spPr bwMode="auto">
        <a:xfrm rot="10800000">
          <a:off x="32346900" y="485775"/>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20" name="Flecha derecha 10">
          <a:hlinkClick xmlns:r="http://schemas.openxmlformats.org/officeDocument/2006/relationships" r:id="rId7"/>
          <a:extLst>
            <a:ext uri="{FF2B5EF4-FFF2-40B4-BE49-F238E27FC236}">
              <a16:creationId xmlns:a16="http://schemas.microsoft.com/office/drawing/2014/main" id="{8BCD950E-3302-494A-B4A4-F6F9BE039BAB}"/>
            </a:ext>
          </a:extLst>
        </xdr:cNvPr>
        <xdr:cNvSpPr/>
      </xdr:nvSpPr>
      <xdr:spPr bwMode="auto">
        <a:xfrm rot="10800000">
          <a:off x="25946100" y="485775"/>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21" name="Flecha derecha 11">
          <a:hlinkClick xmlns:r="http://schemas.openxmlformats.org/officeDocument/2006/relationships" r:id="rId7"/>
          <a:extLst>
            <a:ext uri="{FF2B5EF4-FFF2-40B4-BE49-F238E27FC236}">
              <a16:creationId xmlns:a16="http://schemas.microsoft.com/office/drawing/2014/main" id="{69959682-DBB0-4236-8D22-CAB5F4A8403A}"/>
            </a:ext>
          </a:extLst>
        </xdr:cNvPr>
        <xdr:cNvSpPr/>
      </xdr:nvSpPr>
      <xdr:spPr bwMode="auto">
        <a:xfrm rot="10800000">
          <a:off x="17714119" y="509588"/>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5</xdr:col>
      <xdr:colOff>1321594</xdr:colOff>
      <xdr:row>1</xdr:row>
      <xdr:rowOff>0</xdr:rowOff>
    </xdr:from>
    <xdr:to>
      <xdr:col>7</xdr:col>
      <xdr:colOff>47627</xdr:colOff>
      <xdr:row>5</xdr:row>
      <xdr:rowOff>35719</xdr:rowOff>
    </xdr:to>
    <xdr:sp macro="" textlink="">
      <xdr:nvSpPr>
        <xdr:cNvPr id="22" name="Flecha: hacia abajo 1">
          <a:hlinkClick xmlns:r="http://schemas.openxmlformats.org/officeDocument/2006/relationships" r:id="rId8"/>
          <a:extLst>
            <a:ext uri="{FF2B5EF4-FFF2-40B4-BE49-F238E27FC236}">
              <a16:creationId xmlns:a16="http://schemas.microsoft.com/office/drawing/2014/main" id="{1BDF8409-22AD-4110-B78C-2A0D245937E2}"/>
            </a:ext>
          </a:extLst>
        </xdr:cNvPr>
        <xdr:cNvSpPr/>
      </xdr:nvSpPr>
      <xdr:spPr bwMode="auto">
        <a:xfrm>
          <a:off x="11427619" y="161925"/>
          <a:ext cx="1193008" cy="750094"/>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11</a:t>
          </a:r>
          <a:endParaRPr lang="es-CL" sz="1200" b="1">
            <a:solidFill>
              <a:srgbClr val="FF0000"/>
            </a:solidFill>
          </a:endParaRPr>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23" name="Flecha derecha 13">
          <a:hlinkClick xmlns:r="http://schemas.openxmlformats.org/officeDocument/2006/relationships" r:id="rId7"/>
          <a:extLst>
            <a:ext uri="{FF2B5EF4-FFF2-40B4-BE49-F238E27FC236}">
              <a16:creationId xmlns:a16="http://schemas.microsoft.com/office/drawing/2014/main" id="{5D406E25-F4EF-4FC6-9D28-B6B9BE38AB3D}"/>
            </a:ext>
          </a:extLst>
        </xdr:cNvPr>
        <xdr:cNvSpPr/>
      </xdr:nvSpPr>
      <xdr:spPr bwMode="auto">
        <a:xfrm rot="10800000">
          <a:off x="46053375" y="485775"/>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24" name="Flecha derecha 5">
          <a:hlinkClick xmlns:r="http://schemas.openxmlformats.org/officeDocument/2006/relationships" r:id="rId1"/>
          <a:extLst>
            <a:ext uri="{FF2B5EF4-FFF2-40B4-BE49-F238E27FC236}">
              <a16:creationId xmlns:a16="http://schemas.microsoft.com/office/drawing/2014/main" id="{14DA9624-9CA8-4D75-9CFF-C7FE74EC7C73}"/>
            </a:ext>
          </a:extLst>
        </xdr:cNvPr>
        <xdr:cNvSpPr/>
      </xdr:nvSpPr>
      <xdr:spPr bwMode="auto">
        <a:xfrm rot="10800000">
          <a:off x="39909750"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25" name="Flecha derecha 6">
          <a:hlinkClick xmlns:r="http://schemas.openxmlformats.org/officeDocument/2006/relationships" r:id="rId1"/>
          <a:extLst>
            <a:ext uri="{FF2B5EF4-FFF2-40B4-BE49-F238E27FC236}">
              <a16:creationId xmlns:a16="http://schemas.microsoft.com/office/drawing/2014/main" id="{BD82C087-E9A0-479B-872B-09B91EF23C9F}"/>
            </a:ext>
          </a:extLst>
        </xdr:cNvPr>
        <xdr:cNvSpPr/>
      </xdr:nvSpPr>
      <xdr:spPr bwMode="auto">
        <a:xfrm rot="10800000">
          <a:off x="32346900" y="485775"/>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26" name="Flecha derecha 7">
          <a:hlinkClick xmlns:r="http://schemas.openxmlformats.org/officeDocument/2006/relationships" r:id="rId1"/>
          <a:extLst>
            <a:ext uri="{FF2B5EF4-FFF2-40B4-BE49-F238E27FC236}">
              <a16:creationId xmlns:a16="http://schemas.microsoft.com/office/drawing/2014/main" id="{D1C06CF1-34CE-49B7-89EB-C2B8E4008750}"/>
            </a:ext>
          </a:extLst>
        </xdr:cNvPr>
        <xdr:cNvSpPr/>
      </xdr:nvSpPr>
      <xdr:spPr bwMode="auto">
        <a:xfrm rot="10800000">
          <a:off x="25946100" y="485775"/>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27" name="Flecha derecha 8">
          <a:hlinkClick xmlns:r="http://schemas.openxmlformats.org/officeDocument/2006/relationships" r:id="rId1"/>
          <a:extLst>
            <a:ext uri="{FF2B5EF4-FFF2-40B4-BE49-F238E27FC236}">
              <a16:creationId xmlns:a16="http://schemas.microsoft.com/office/drawing/2014/main" id="{13D840B5-ECE8-497D-80B5-33610C576B9A}"/>
            </a:ext>
          </a:extLst>
        </xdr:cNvPr>
        <xdr:cNvSpPr/>
      </xdr:nvSpPr>
      <xdr:spPr bwMode="auto">
        <a:xfrm rot="10800000">
          <a:off x="17714119" y="509588"/>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28" name="Flecha derecha 10">
          <a:hlinkClick xmlns:r="http://schemas.openxmlformats.org/officeDocument/2006/relationships" r:id="rId1"/>
          <a:extLst>
            <a:ext uri="{FF2B5EF4-FFF2-40B4-BE49-F238E27FC236}">
              <a16:creationId xmlns:a16="http://schemas.microsoft.com/office/drawing/2014/main" id="{0C6638E3-9A5E-4FEA-A1B4-2E482DC538D0}"/>
            </a:ext>
          </a:extLst>
        </xdr:cNvPr>
        <xdr:cNvSpPr/>
      </xdr:nvSpPr>
      <xdr:spPr bwMode="auto">
        <a:xfrm rot="10800000">
          <a:off x="46053375" y="485775"/>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xdr:col>
      <xdr:colOff>0</xdr:colOff>
      <xdr:row>2</xdr:row>
      <xdr:rowOff>0</xdr:rowOff>
    </xdr:from>
    <xdr:to>
      <xdr:col>1</xdr:col>
      <xdr:colOff>1309688</xdr:colOff>
      <xdr:row>5</xdr:row>
      <xdr:rowOff>142874</xdr:rowOff>
    </xdr:to>
    <xdr:sp macro="" textlink="">
      <xdr:nvSpPr>
        <xdr:cNvPr id="29" name="Flecha: a la derecha 1">
          <a:hlinkClick xmlns:r="http://schemas.openxmlformats.org/officeDocument/2006/relationships" r:id="rId2"/>
          <a:extLst>
            <a:ext uri="{FF2B5EF4-FFF2-40B4-BE49-F238E27FC236}">
              <a16:creationId xmlns:a16="http://schemas.microsoft.com/office/drawing/2014/main" id="{396E0412-594D-477B-8B7A-FA1D926E8834}"/>
            </a:ext>
          </a:extLst>
        </xdr:cNvPr>
        <xdr:cNvSpPr/>
      </xdr:nvSpPr>
      <xdr:spPr bwMode="auto">
        <a:xfrm flipH="1">
          <a:off x="476250" y="323850"/>
          <a:ext cx="1309688" cy="69532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95248</xdr:colOff>
      <xdr:row>0</xdr:row>
      <xdr:rowOff>130970</xdr:rowOff>
    </xdr:from>
    <xdr:to>
      <xdr:col>0</xdr:col>
      <xdr:colOff>1404936</xdr:colOff>
      <xdr:row>4</xdr:row>
      <xdr:rowOff>130969</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4129DC2A-65C6-4CCE-8343-383868AD44D9}"/>
            </a:ext>
          </a:extLst>
        </xdr:cNvPr>
        <xdr:cNvSpPr/>
      </xdr:nvSpPr>
      <xdr:spPr bwMode="auto">
        <a:xfrm flipH="1">
          <a:off x="95248" y="13097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5A6F2C5F-0166-409D-A112-3F04DE882372}"/>
            </a:ext>
          </a:extLst>
        </xdr:cNvPr>
        <xdr:cNvSpPr/>
      </xdr:nvSpPr>
      <xdr:spPr bwMode="auto">
        <a:xfrm flipH="1">
          <a:off x="47625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59530</xdr:colOff>
      <xdr:row>1</xdr:row>
      <xdr:rowOff>0</xdr:rowOff>
    </xdr:from>
    <xdr:to>
      <xdr:col>0</xdr:col>
      <xdr:colOff>1369218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B4E9F841-0C00-4181-B634-2A19917248E1}"/>
            </a:ext>
          </a:extLst>
        </xdr:cNvPr>
        <xdr:cNvSpPr/>
      </xdr:nvSpPr>
      <xdr:spPr bwMode="auto">
        <a:xfrm flipH="1">
          <a:off x="5953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964406</xdr:colOff>
      <xdr:row>0</xdr:row>
      <xdr:rowOff>35720</xdr:rowOff>
    </xdr:from>
    <xdr:to>
      <xdr:col>0</xdr:col>
      <xdr:colOff>2274094</xdr:colOff>
      <xdr:row>4</xdr:row>
      <xdr:rowOff>35719</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6255FFA9-11ED-4E4D-B907-D5C225911A85}"/>
            </a:ext>
          </a:extLst>
        </xdr:cNvPr>
        <xdr:cNvSpPr/>
      </xdr:nvSpPr>
      <xdr:spPr bwMode="auto">
        <a:xfrm flipH="1">
          <a:off x="707231" y="35720"/>
          <a:ext cx="0" cy="69532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xdr:col>
      <xdr:colOff>0</xdr:colOff>
      <xdr:row>1</xdr:row>
      <xdr:rowOff>0</xdr:rowOff>
    </xdr:from>
    <xdr:to>
      <xdr:col>2</xdr:col>
      <xdr:colOff>547688</xdr:colOff>
      <xdr:row>4</xdr:row>
      <xdr:rowOff>190499</xdr:rowOff>
    </xdr:to>
    <xdr:sp macro="" textlink="">
      <xdr:nvSpPr>
        <xdr:cNvPr id="6" name="Flecha: a la derecha 5">
          <a:hlinkClick xmlns:r="http://schemas.openxmlformats.org/officeDocument/2006/relationships" r:id="rId2"/>
          <a:extLst>
            <a:ext uri="{FF2B5EF4-FFF2-40B4-BE49-F238E27FC236}">
              <a16:creationId xmlns:a16="http://schemas.microsoft.com/office/drawing/2014/main" id="{09FDC050-44C9-4FA8-9BCD-F906B9893524}"/>
            </a:ext>
          </a:extLst>
        </xdr:cNvPr>
        <xdr:cNvSpPr/>
      </xdr:nvSpPr>
      <xdr:spPr bwMode="auto">
        <a:xfrm flipH="1">
          <a:off x="702469" y="190500"/>
          <a:ext cx="1309688" cy="77390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9.2.6\publica\Users\139984374\AppData\Local\Microsoft\Windows\INetCache\Content.Outlook\DS8JP2EW\INFORME%20DE%20REMUNERACIONES%20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de remuneracione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2:N135"/>
  <sheetViews>
    <sheetView showGridLines="0" topLeftCell="A46" zoomScale="90" zoomScaleNormal="90" workbookViewId="0">
      <selection activeCell="B25" sqref="B25"/>
    </sheetView>
  </sheetViews>
  <sheetFormatPr baseColWidth="10" defaultColWidth="11.42578125" defaultRowHeight="15" x14ac:dyDescent="0.25"/>
  <cols>
    <col min="1" max="16384" width="11.42578125" style="179"/>
  </cols>
  <sheetData>
    <row r="2" spans="13:14" x14ac:dyDescent="0.25">
      <c r="N2" s="179" t="s">
        <v>48</v>
      </c>
    </row>
    <row r="8" spans="13:14" x14ac:dyDescent="0.25">
      <c r="M8" s="452"/>
    </row>
    <row r="9" spans="13:14" x14ac:dyDescent="0.25">
      <c r="M9" s="452"/>
    </row>
    <row r="10" spans="13:14" x14ac:dyDescent="0.25">
      <c r="M10" s="452"/>
    </row>
    <row r="11" spans="13:14" x14ac:dyDescent="0.25">
      <c r="M11" s="452"/>
    </row>
    <row r="12" spans="13:14" x14ac:dyDescent="0.25">
      <c r="M12" s="452"/>
    </row>
    <row r="13" spans="13:14" x14ac:dyDescent="0.25">
      <c r="M13" s="452"/>
    </row>
    <row r="14" spans="13:14" x14ac:dyDescent="0.25">
      <c r="M14" s="452"/>
    </row>
    <row r="15" spans="13:14" x14ac:dyDescent="0.25">
      <c r="M15" s="452"/>
    </row>
    <row r="16" spans="13:14" x14ac:dyDescent="0.25">
      <c r="M16" s="452"/>
    </row>
    <row r="17" spans="13:13" x14ac:dyDescent="0.25">
      <c r="M17" s="452"/>
    </row>
    <row r="18" spans="13:13" x14ac:dyDescent="0.25">
      <c r="M18" s="452"/>
    </row>
    <row r="19" spans="13:13" x14ac:dyDescent="0.25">
      <c r="M19" s="452"/>
    </row>
    <row r="20" spans="13:13" x14ac:dyDescent="0.25">
      <c r="M20" s="452"/>
    </row>
    <row r="21" spans="13:13" x14ac:dyDescent="0.25">
      <c r="M21" s="452"/>
    </row>
    <row r="22" spans="13:13" x14ac:dyDescent="0.25">
      <c r="M22" s="452"/>
    </row>
    <row r="23" spans="13:13" x14ac:dyDescent="0.25">
      <c r="M23" s="452"/>
    </row>
    <row r="24" spans="13:13" x14ac:dyDescent="0.25">
      <c r="M24" s="452"/>
    </row>
    <row r="25" spans="13:13" x14ac:dyDescent="0.25">
      <c r="M25" s="452"/>
    </row>
    <row r="26" spans="13:13" x14ac:dyDescent="0.25">
      <c r="M26" s="452"/>
    </row>
    <row r="27" spans="13:13" x14ac:dyDescent="0.25">
      <c r="M27" s="452"/>
    </row>
    <row r="28" spans="13:13" x14ac:dyDescent="0.25">
      <c r="M28" s="452"/>
    </row>
    <row r="29" spans="13:13" x14ac:dyDescent="0.25">
      <c r="M29" s="452"/>
    </row>
    <row r="30" spans="13:13" x14ac:dyDescent="0.25">
      <c r="M30" s="452"/>
    </row>
    <row r="31" spans="13:13" x14ac:dyDescent="0.25">
      <c r="M31" s="452"/>
    </row>
    <row r="32" spans="13:13" x14ac:dyDescent="0.25">
      <c r="M32" s="452"/>
    </row>
    <row r="33" spans="13:13" x14ac:dyDescent="0.25">
      <c r="M33" s="452"/>
    </row>
    <row r="34" spans="13:13" x14ac:dyDescent="0.25">
      <c r="M34" s="452"/>
    </row>
    <row r="35" spans="13:13" x14ac:dyDescent="0.25">
      <c r="M35" s="452"/>
    </row>
    <row r="36" spans="13:13" x14ac:dyDescent="0.25">
      <c r="M36" s="452"/>
    </row>
    <row r="37" spans="13:13" x14ac:dyDescent="0.25">
      <c r="M37" s="452"/>
    </row>
    <row r="38" spans="13:13" x14ac:dyDescent="0.25">
      <c r="M38" s="452"/>
    </row>
    <row r="39" spans="13:13" x14ac:dyDescent="0.25">
      <c r="M39" s="452"/>
    </row>
    <row r="40" spans="13:13" x14ac:dyDescent="0.25">
      <c r="M40" s="452"/>
    </row>
    <row r="41" spans="13:13" x14ac:dyDescent="0.25">
      <c r="M41" s="452"/>
    </row>
    <row r="42" spans="13:13" x14ac:dyDescent="0.25">
      <c r="M42" s="452"/>
    </row>
    <row r="43" spans="13:13" x14ac:dyDescent="0.25">
      <c r="M43" s="452"/>
    </row>
    <row r="44" spans="13:13" x14ac:dyDescent="0.25">
      <c r="M44" s="452"/>
    </row>
    <row r="45" spans="13:13" x14ac:dyDescent="0.25">
      <c r="M45" s="452"/>
    </row>
    <row r="46" spans="13:13" x14ac:dyDescent="0.25">
      <c r="M46" s="452"/>
    </row>
    <row r="47" spans="13:13" x14ac:dyDescent="0.25">
      <c r="M47" s="452"/>
    </row>
    <row r="48" spans="13:13" s="930" customFormat="1" x14ac:dyDescent="0.25">
      <c r="M48" s="931"/>
    </row>
    <row r="49" spans="13:13" x14ac:dyDescent="0.25">
      <c r="M49" s="452"/>
    </row>
    <row r="50" spans="13:13" x14ac:dyDescent="0.25">
      <c r="M50" s="452"/>
    </row>
    <row r="51" spans="13:13" x14ac:dyDescent="0.25">
      <c r="M51" s="452"/>
    </row>
    <row r="52" spans="13:13" x14ac:dyDescent="0.25">
      <c r="M52" s="452"/>
    </row>
    <row r="53" spans="13:13" x14ac:dyDescent="0.25">
      <c r="M53" s="452"/>
    </row>
    <row r="54" spans="13:13" x14ac:dyDescent="0.25">
      <c r="M54" s="452"/>
    </row>
    <row r="55" spans="13:13" x14ac:dyDescent="0.25">
      <c r="M55" s="452"/>
    </row>
    <row r="56" spans="13:13" x14ac:dyDescent="0.25">
      <c r="M56" s="452"/>
    </row>
    <row r="57" spans="13:13" x14ac:dyDescent="0.25">
      <c r="M57" s="452"/>
    </row>
    <row r="58" spans="13:13" x14ac:dyDescent="0.25">
      <c r="M58" s="452"/>
    </row>
    <row r="59" spans="13:13" x14ac:dyDescent="0.25">
      <c r="M59" s="452"/>
    </row>
    <row r="60" spans="13:13" x14ac:dyDescent="0.25">
      <c r="M60" s="452"/>
    </row>
    <row r="61" spans="13:13" x14ac:dyDescent="0.25">
      <c r="M61" s="452"/>
    </row>
    <row r="62" spans="13:13" x14ac:dyDescent="0.25">
      <c r="M62" s="452"/>
    </row>
    <row r="63" spans="13:13" x14ac:dyDescent="0.25">
      <c r="M63" s="452"/>
    </row>
    <row r="64" spans="13:13" x14ac:dyDescent="0.25">
      <c r="M64" s="452"/>
    </row>
    <row r="65" spans="13:13" x14ac:dyDescent="0.25">
      <c r="M65" s="452"/>
    </row>
    <row r="66" spans="13:13" x14ac:dyDescent="0.25">
      <c r="M66" s="452"/>
    </row>
    <row r="67" spans="13:13" x14ac:dyDescent="0.25">
      <c r="M67" s="452"/>
    </row>
    <row r="68" spans="13:13" x14ac:dyDescent="0.25">
      <c r="M68" s="452"/>
    </row>
    <row r="69" spans="13:13" x14ac:dyDescent="0.25">
      <c r="M69" s="452"/>
    </row>
    <row r="70" spans="13:13" x14ac:dyDescent="0.25">
      <c r="M70" s="452"/>
    </row>
    <row r="71" spans="13:13" x14ac:dyDescent="0.25">
      <c r="M71" s="452"/>
    </row>
    <row r="72" spans="13:13" x14ac:dyDescent="0.25">
      <c r="M72" s="452"/>
    </row>
    <row r="73" spans="13:13" x14ac:dyDescent="0.25">
      <c r="M73" s="452"/>
    </row>
    <row r="74" spans="13:13" x14ac:dyDescent="0.25">
      <c r="M74" s="452"/>
    </row>
    <row r="75" spans="13:13" x14ac:dyDescent="0.25">
      <c r="M75" s="452"/>
    </row>
    <row r="76" spans="13:13" x14ac:dyDescent="0.25">
      <c r="M76" s="452"/>
    </row>
    <row r="77" spans="13:13" x14ac:dyDescent="0.25">
      <c r="M77" s="452"/>
    </row>
    <row r="78" spans="13:13" x14ac:dyDescent="0.25">
      <c r="M78" s="452"/>
    </row>
    <row r="79" spans="13:13" x14ac:dyDescent="0.25">
      <c r="M79" s="452"/>
    </row>
    <row r="80" spans="13:13" x14ac:dyDescent="0.25">
      <c r="M80" s="452"/>
    </row>
    <row r="81" spans="13:13" x14ac:dyDescent="0.25">
      <c r="M81" s="452"/>
    </row>
    <row r="82" spans="13:13" x14ac:dyDescent="0.25">
      <c r="M82" s="452"/>
    </row>
    <row r="83" spans="13:13" x14ac:dyDescent="0.25">
      <c r="M83" s="452"/>
    </row>
    <row r="84" spans="13:13" x14ac:dyDescent="0.25">
      <c r="M84" s="452"/>
    </row>
    <row r="85" spans="13:13" x14ac:dyDescent="0.25">
      <c r="M85" s="452"/>
    </row>
    <row r="86" spans="13:13" x14ac:dyDescent="0.25">
      <c r="M86" s="452"/>
    </row>
    <row r="87" spans="13:13" x14ac:dyDescent="0.25">
      <c r="M87" s="452"/>
    </row>
    <row r="88" spans="13:13" x14ac:dyDescent="0.25">
      <c r="M88" s="452"/>
    </row>
    <row r="89" spans="13:13" x14ac:dyDescent="0.25">
      <c r="M89" s="452"/>
    </row>
    <row r="90" spans="13:13" x14ac:dyDescent="0.25">
      <c r="M90" s="452"/>
    </row>
    <row r="91" spans="13:13" x14ac:dyDescent="0.25">
      <c r="M91" s="452"/>
    </row>
    <row r="92" spans="13:13" x14ac:dyDescent="0.25">
      <c r="M92" s="452"/>
    </row>
    <row r="93" spans="13:13" x14ac:dyDescent="0.25">
      <c r="M93" s="452"/>
    </row>
    <row r="94" spans="13:13" s="930" customFormat="1" x14ac:dyDescent="0.25">
      <c r="M94" s="931"/>
    </row>
    <row r="95" spans="13:13" x14ac:dyDescent="0.25">
      <c r="M95" s="452"/>
    </row>
    <row r="96" spans="13:13" x14ac:dyDescent="0.25">
      <c r="M96" s="452"/>
    </row>
    <row r="97" spans="13:13" x14ac:dyDescent="0.25">
      <c r="M97" s="452"/>
    </row>
    <row r="98" spans="13:13" x14ac:dyDescent="0.25">
      <c r="M98" s="452"/>
    </row>
    <row r="99" spans="13:13" x14ac:dyDescent="0.25">
      <c r="M99" s="452"/>
    </row>
    <row r="100" spans="13:13" x14ac:dyDescent="0.25">
      <c r="M100" s="452"/>
    </row>
    <row r="101" spans="13:13" x14ac:dyDescent="0.25">
      <c r="M101" s="452"/>
    </row>
    <row r="102" spans="13:13" x14ac:dyDescent="0.25">
      <c r="M102" s="452"/>
    </row>
    <row r="103" spans="13:13" x14ac:dyDescent="0.25">
      <c r="M103" s="452"/>
    </row>
    <row r="104" spans="13:13" x14ac:dyDescent="0.25">
      <c r="M104" s="452"/>
    </row>
    <row r="105" spans="13:13" x14ac:dyDescent="0.25">
      <c r="M105" s="452"/>
    </row>
    <row r="106" spans="13:13" x14ac:dyDescent="0.25">
      <c r="M106" s="452"/>
    </row>
    <row r="107" spans="13:13" x14ac:dyDescent="0.25">
      <c r="M107" s="452"/>
    </row>
    <row r="108" spans="13:13" x14ac:dyDescent="0.25">
      <c r="M108" s="452"/>
    </row>
    <row r="109" spans="13:13" x14ac:dyDescent="0.25">
      <c r="M109" s="452"/>
    </row>
    <row r="110" spans="13:13" x14ac:dyDescent="0.25">
      <c r="M110" s="452"/>
    </row>
    <row r="111" spans="13:13" x14ac:dyDescent="0.25">
      <c r="M111" s="452"/>
    </row>
    <row r="112" spans="13:13" x14ac:dyDescent="0.25">
      <c r="M112" s="452"/>
    </row>
    <row r="113" spans="13:13" x14ac:dyDescent="0.25">
      <c r="M113" s="452"/>
    </row>
    <row r="114" spans="13:13" x14ac:dyDescent="0.25">
      <c r="M114" s="452"/>
    </row>
    <row r="115" spans="13:13" x14ac:dyDescent="0.25">
      <c r="M115" s="452"/>
    </row>
    <row r="116" spans="13:13" x14ac:dyDescent="0.25">
      <c r="M116" s="452"/>
    </row>
    <row r="117" spans="13:13" x14ac:dyDescent="0.25">
      <c r="M117" s="452"/>
    </row>
    <row r="118" spans="13:13" x14ac:dyDescent="0.25">
      <c r="M118" s="452"/>
    </row>
    <row r="119" spans="13:13" x14ac:dyDescent="0.25">
      <c r="M119" s="452"/>
    </row>
    <row r="120" spans="13:13" x14ac:dyDescent="0.25">
      <c r="M120" s="452"/>
    </row>
    <row r="121" spans="13:13" x14ac:dyDescent="0.25">
      <c r="M121" s="452"/>
    </row>
    <row r="122" spans="13:13" x14ac:dyDescent="0.25">
      <c r="M122" s="452"/>
    </row>
    <row r="123" spans="13:13" x14ac:dyDescent="0.25">
      <c r="M123" s="452"/>
    </row>
    <row r="124" spans="13:13" x14ac:dyDescent="0.25">
      <c r="M124" s="452"/>
    </row>
    <row r="125" spans="13:13" x14ac:dyDescent="0.25">
      <c r="M125" s="452"/>
    </row>
    <row r="126" spans="13:13" x14ac:dyDescent="0.25">
      <c r="M126" s="452"/>
    </row>
    <row r="127" spans="13:13" x14ac:dyDescent="0.25">
      <c r="M127" s="452"/>
    </row>
    <row r="128" spans="13:13" x14ac:dyDescent="0.25">
      <c r="M128" s="452"/>
    </row>
    <row r="129" spans="13:13" x14ac:dyDescent="0.25">
      <c r="M129" s="452"/>
    </row>
    <row r="130" spans="13:13" x14ac:dyDescent="0.25">
      <c r="M130" s="452"/>
    </row>
    <row r="131" spans="13:13" x14ac:dyDescent="0.25">
      <c r="M131" s="452"/>
    </row>
    <row r="132" spans="13:13" x14ac:dyDescent="0.25">
      <c r="M132" s="452"/>
    </row>
    <row r="133" spans="13:13" x14ac:dyDescent="0.25">
      <c r="M133" s="452"/>
    </row>
    <row r="134" spans="13:13" x14ac:dyDescent="0.25">
      <c r="M134" s="452"/>
    </row>
    <row r="135" spans="13:13" x14ac:dyDescent="0.25">
      <c r="M135" s="45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sheetPr>
  <dimension ref="A1:R27"/>
  <sheetViews>
    <sheetView showGridLines="0" topLeftCell="A4" zoomScale="106" zoomScaleNormal="106" workbookViewId="0">
      <selection activeCell="F38" sqref="F38"/>
    </sheetView>
  </sheetViews>
  <sheetFormatPr baseColWidth="10" defaultRowHeight="15" x14ac:dyDescent="0.25"/>
  <cols>
    <col min="1" max="1" width="28" style="44" customWidth="1"/>
    <col min="2" max="2" width="51.5703125" style="44" bestFit="1" customWidth="1"/>
    <col min="3" max="4" width="11.28515625" style="44" bestFit="1" customWidth="1"/>
    <col min="5" max="5" width="14.140625" style="44" bestFit="1" customWidth="1"/>
    <col min="6" max="6" width="11.85546875" style="44" customWidth="1"/>
    <col min="7" max="10" width="11.28515625" style="44" bestFit="1" customWidth="1"/>
    <col min="11" max="12" width="10.140625" style="44" bestFit="1" customWidth="1"/>
    <col min="13" max="14" width="10.85546875" style="44" bestFit="1" customWidth="1"/>
    <col min="15" max="18" width="10.85546875" style="44" customWidth="1"/>
  </cols>
  <sheetData>
    <row r="1" spans="1:18" x14ac:dyDescent="0.25">
      <c r="A1" s="34"/>
      <c r="B1" s="45"/>
      <c r="C1" s="34"/>
      <c r="D1" s="34"/>
      <c r="E1" s="34"/>
      <c r="F1" s="46"/>
      <c r="G1" s="34"/>
      <c r="H1" s="34"/>
      <c r="I1" s="34"/>
      <c r="J1" s="34"/>
      <c r="K1" s="34"/>
      <c r="L1" s="34"/>
      <c r="M1" s="34"/>
      <c r="N1" s="34"/>
      <c r="O1" s="34"/>
      <c r="P1" s="34"/>
      <c r="Q1" s="34"/>
      <c r="R1" s="34"/>
    </row>
    <row r="2" spans="1:18" x14ac:dyDescent="0.25">
      <c r="A2" s="34"/>
      <c r="B2" s="47"/>
      <c r="C2" s="34"/>
      <c r="D2" s="34"/>
      <c r="E2" s="34"/>
      <c r="F2" s="46" t="s">
        <v>165</v>
      </c>
      <c r="G2" s="34"/>
      <c r="H2" s="34"/>
      <c r="I2" s="34"/>
      <c r="J2" s="34"/>
      <c r="K2" s="34"/>
      <c r="L2" s="147"/>
      <c r="M2" s="34"/>
      <c r="N2" s="34"/>
      <c r="O2" s="34"/>
      <c r="P2" s="34"/>
      <c r="Q2" s="34"/>
      <c r="R2" s="34"/>
    </row>
    <row r="3" spans="1:18" x14ac:dyDescent="0.25">
      <c r="A3" s="34"/>
      <c r="C3" s="34"/>
      <c r="D3" s="34"/>
      <c r="E3" s="34"/>
      <c r="F3" s="34"/>
      <c r="G3" s="34"/>
      <c r="H3" s="34"/>
      <c r="I3" s="34"/>
      <c r="J3" s="34"/>
      <c r="K3" s="34"/>
      <c r="L3" s="34"/>
      <c r="M3" s="148"/>
      <c r="N3" s="34"/>
      <c r="O3" s="34"/>
      <c r="P3" s="34"/>
      <c r="Q3" s="34"/>
      <c r="R3" s="34"/>
    </row>
    <row r="4" spans="1:18" ht="15.75" x14ac:dyDescent="0.25">
      <c r="A4" s="34"/>
      <c r="C4" s="50"/>
      <c r="D4" s="34"/>
      <c r="E4" s="50" t="s">
        <v>1</v>
      </c>
      <c r="F4" s="1219" t="s">
        <v>2</v>
      </c>
      <c r="G4" s="1220"/>
      <c r="H4" s="50"/>
      <c r="I4" s="50"/>
      <c r="J4" s="50"/>
      <c r="K4" s="50"/>
      <c r="L4" s="50"/>
      <c r="M4" s="50"/>
      <c r="N4" s="50"/>
      <c r="O4" s="50"/>
      <c r="P4" s="50"/>
      <c r="Q4" s="50"/>
      <c r="R4" s="50"/>
    </row>
    <row r="5" spans="1:18" x14ac:dyDescent="0.25">
      <c r="A5" s="34"/>
      <c r="C5" s="50"/>
      <c r="D5" s="34"/>
      <c r="E5" s="50"/>
      <c r="F5" s="46"/>
      <c r="G5" s="46"/>
      <c r="H5" s="50"/>
      <c r="I5" s="50"/>
      <c r="J5" s="50"/>
      <c r="K5" s="50"/>
      <c r="L5" s="50"/>
      <c r="M5" s="50"/>
      <c r="N5" s="50"/>
      <c r="O5" s="50"/>
      <c r="P5" s="50"/>
      <c r="Q5" s="50"/>
      <c r="R5" s="50"/>
    </row>
    <row r="6" spans="1:18" ht="15.75" x14ac:dyDescent="0.25">
      <c r="A6" s="1221" t="s">
        <v>166</v>
      </c>
      <c r="B6" s="1221"/>
      <c r="C6" s="50"/>
      <c r="D6" s="34"/>
      <c r="E6" s="50"/>
      <c r="F6" s="46"/>
      <c r="G6" s="46"/>
      <c r="H6" s="50"/>
      <c r="I6" s="50"/>
      <c r="J6" s="50"/>
      <c r="K6" s="50"/>
      <c r="L6" s="50"/>
      <c r="M6" s="50"/>
      <c r="N6" s="50"/>
      <c r="O6" s="50"/>
      <c r="P6" s="50"/>
      <c r="Q6" s="50"/>
      <c r="R6" s="50"/>
    </row>
    <row r="7" spans="1:18" ht="15.75" thickBot="1" x14ac:dyDescent="0.3">
      <c r="A7" s="34"/>
      <c r="B7" s="46"/>
      <c r="C7" s="46"/>
      <c r="D7" s="46"/>
      <c r="E7" s="46"/>
      <c r="F7" s="46"/>
      <c r="G7" s="46"/>
      <c r="H7" s="46"/>
      <c r="I7" s="46"/>
      <c r="J7" s="46"/>
      <c r="K7" s="46"/>
      <c r="L7" s="46"/>
      <c r="M7" s="46"/>
      <c r="N7" s="46"/>
      <c r="O7" s="46"/>
      <c r="P7" s="46"/>
      <c r="Q7" s="46"/>
      <c r="R7" s="46"/>
    </row>
    <row r="8" spans="1:18" ht="16.5" thickBot="1" x14ac:dyDescent="0.3">
      <c r="A8" s="1222" t="s">
        <v>4</v>
      </c>
      <c r="B8" s="1224" t="s">
        <v>22</v>
      </c>
      <c r="C8" s="1226" t="s">
        <v>325</v>
      </c>
      <c r="D8" s="1227"/>
      <c r="E8" s="1227"/>
      <c r="F8" s="1228"/>
      <c r="G8" s="1208" t="s">
        <v>296</v>
      </c>
      <c r="H8" s="1208"/>
      <c r="I8" s="1208"/>
      <c r="J8" s="1208"/>
      <c r="K8" s="1207" t="s">
        <v>167</v>
      </c>
      <c r="L8" s="1208"/>
      <c r="M8" s="1208"/>
      <c r="N8" s="1209"/>
      <c r="O8" s="1210" t="s">
        <v>168</v>
      </c>
      <c r="P8" s="1211"/>
      <c r="Q8" s="1211"/>
      <c r="R8" s="1212"/>
    </row>
    <row r="9" spans="1:18" ht="15.75" thickBot="1" x14ac:dyDescent="0.3">
      <c r="A9" s="1223" t="e">
        <f>NA()</f>
        <v>#N/A</v>
      </c>
      <c r="B9" s="1225" t="e">
        <f>NA()</f>
        <v>#N/A</v>
      </c>
      <c r="C9" s="327" t="s">
        <v>26</v>
      </c>
      <c r="D9" s="328" t="s">
        <v>169</v>
      </c>
      <c r="E9" s="328" t="s">
        <v>170</v>
      </c>
      <c r="F9" s="329" t="s">
        <v>171</v>
      </c>
      <c r="G9" s="330" t="s">
        <v>26</v>
      </c>
      <c r="H9" s="331" t="s">
        <v>169</v>
      </c>
      <c r="I9" s="331" t="s">
        <v>170</v>
      </c>
      <c r="J9" s="332" t="s">
        <v>171</v>
      </c>
      <c r="K9" s="333" t="s">
        <v>26</v>
      </c>
      <c r="L9" s="334" t="s">
        <v>169</v>
      </c>
      <c r="M9" s="334" t="s">
        <v>170</v>
      </c>
      <c r="N9" s="335" t="s">
        <v>171</v>
      </c>
      <c r="O9" s="311" t="s">
        <v>26</v>
      </c>
      <c r="P9" s="312" t="s">
        <v>169</v>
      </c>
      <c r="Q9" s="312" t="s">
        <v>170</v>
      </c>
      <c r="R9" s="313" t="s">
        <v>171</v>
      </c>
    </row>
    <row r="10" spans="1:18" x14ac:dyDescent="0.25">
      <c r="A10" s="1213" t="str">
        <f>+'B) Reajuste Tarifas y Ocupación'!A12</f>
        <v>Casa de Huespedes</v>
      </c>
      <c r="B10" s="299" t="str">
        <f>+'B) Reajuste Tarifas y Ocupación'!B12</f>
        <v>Matrimonial</v>
      </c>
      <c r="C10" s="230">
        <f>'B) Reajuste Tarifas y Ocupación'!J12</f>
        <v>32700</v>
      </c>
      <c r="D10" s="231">
        <f>+'B) Reajuste Tarifas y Ocupación'!K12</f>
        <v>50200</v>
      </c>
      <c r="E10" s="231">
        <f>+'B) Reajuste Tarifas y Ocupación'!L12</f>
        <v>68300</v>
      </c>
      <c r="F10" s="232">
        <f>+'B) Reajuste Tarifas y Ocupación'!M12</f>
        <v>73900</v>
      </c>
      <c r="G10" s="233">
        <f>+'B) Reajuste Tarifas y Ocupación'!C12</f>
        <v>31200</v>
      </c>
      <c r="H10" s="234">
        <f>+'B) Reajuste Tarifas y Ocupación'!D12</f>
        <v>48000</v>
      </c>
      <c r="I10" s="234">
        <f>+'B) Reajuste Tarifas y Ocupación'!E12</f>
        <v>65300</v>
      </c>
      <c r="J10" s="235">
        <f>+'B) Reajuste Tarifas y Ocupación'!F12</f>
        <v>70700</v>
      </c>
      <c r="K10" s="289">
        <f>C10-G10</f>
        <v>1500</v>
      </c>
      <c r="L10" s="260">
        <f>D10-H10</f>
        <v>2200</v>
      </c>
      <c r="M10" s="260">
        <f>E10-I10</f>
        <v>3000</v>
      </c>
      <c r="N10" s="306">
        <f>F10-J10</f>
        <v>3200</v>
      </c>
      <c r="O10" s="247">
        <f>+P10</f>
        <v>4.4999999999999998E-2</v>
      </c>
      <c r="P10" s="248">
        <f>+'B) Reajuste Tarifas y Ocupación'!G12</f>
        <v>4.4999999999999998E-2</v>
      </c>
      <c r="Q10" s="248">
        <f>+'B) Reajuste Tarifas y Ocupación'!H12</f>
        <v>4.4999999999999998E-2</v>
      </c>
      <c r="R10" s="266">
        <f>+'B) Reajuste Tarifas y Ocupación'!I12</f>
        <v>4.4999999999999998E-2</v>
      </c>
    </row>
    <row r="11" spans="1:18" x14ac:dyDescent="0.25">
      <c r="A11" s="1214"/>
      <c r="B11" s="300" t="str">
        <f>+'B) Reajuste Tarifas y Ocupación'!B13</f>
        <v>Doble</v>
      </c>
      <c r="C11" s="230">
        <f>'B) Reajuste Tarifas y Ocupación'!J13</f>
        <v>32700</v>
      </c>
      <c r="D11" s="236">
        <f>+'B) Reajuste Tarifas y Ocupación'!K13</f>
        <v>50200</v>
      </c>
      <c r="E11" s="236">
        <f>+'B) Reajuste Tarifas y Ocupación'!L13</f>
        <v>68300</v>
      </c>
      <c r="F11" s="277">
        <f>+'B) Reajuste Tarifas y Ocupación'!M13</f>
        <v>73900</v>
      </c>
      <c r="G11" s="271">
        <f>+'B) Reajuste Tarifas y Ocupación'!C13</f>
        <v>31200</v>
      </c>
      <c r="H11" s="237">
        <f>+'B) Reajuste Tarifas y Ocupación'!D13</f>
        <v>48000</v>
      </c>
      <c r="I11" s="237">
        <f>+'B) Reajuste Tarifas y Ocupación'!E13</f>
        <v>65300</v>
      </c>
      <c r="J11" s="285">
        <f>+'B) Reajuste Tarifas y Ocupación'!F13</f>
        <v>70700</v>
      </c>
      <c r="K11" s="290">
        <f t="shared" ref="K11:N17" si="0">C11-G11</f>
        <v>1500</v>
      </c>
      <c r="L11" s="238">
        <f t="shared" si="0"/>
        <v>2200</v>
      </c>
      <c r="M11" s="238">
        <f t="shared" si="0"/>
        <v>3000</v>
      </c>
      <c r="N11" s="307">
        <f t="shared" si="0"/>
        <v>3200</v>
      </c>
      <c r="O11" s="295">
        <f>+P11</f>
        <v>4.4999999999999998E-2</v>
      </c>
      <c r="P11" s="257">
        <f>+'B) Reajuste Tarifas y Ocupación'!G13</f>
        <v>4.4999999999999998E-2</v>
      </c>
      <c r="Q11" s="257">
        <f>+'B) Reajuste Tarifas y Ocupación'!H13</f>
        <v>4.4999999999999998E-2</v>
      </c>
      <c r="R11" s="263">
        <f>+'B) Reajuste Tarifas y Ocupación'!I13</f>
        <v>4.4999999999999998E-2</v>
      </c>
    </row>
    <row r="12" spans="1:18" x14ac:dyDescent="0.25">
      <c r="A12" s="1214"/>
      <c r="B12" s="300" t="str">
        <f>+'B) Reajuste Tarifas y Ocupación'!B14</f>
        <v>Triple</v>
      </c>
      <c r="C12" s="230">
        <f>'B) Reajuste Tarifas y Ocupación'!J14</f>
        <v>35400</v>
      </c>
      <c r="D12" s="236">
        <f>+'B) Reajuste Tarifas y Ocupación'!K14</f>
        <v>54400</v>
      </c>
      <c r="E12" s="236">
        <f>+'B) Reajuste Tarifas y Ocupación'!L14</f>
        <v>73900</v>
      </c>
      <c r="F12" s="277">
        <f>+'B) Reajuste Tarifas y Ocupación'!M14</f>
        <v>80100</v>
      </c>
      <c r="G12" s="271">
        <f>+'B) Reajuste Tarifas y Ocupación'!C14</f>
        <v>33800</v>
      </c>
      <c r="H12" s="237">
        <f>+'B) Reajuste Tarifas y Ocupación'!D14</f>
        <v>52000</v>
      </c>
      <c r="I12" s="237">
        <f>+'B) Reajuste Tarifas y Ocupación'!E14</f>
        <v>70700</v>
      </c>
      <c r="J12" s="285">
        <f>+'B) Reajuste Tarifas y Ocupación'!F14</f>
        <v>76600</v>
      </c>
      <c r="K12" s="290">
        <f t="shared" si="0"/>
        <v>1600</v>
      </c>
      <c r="L12" s="238">
        <f t="shared" si="0"/>
        <v>2400</v>
      </c>
      <c r="M12" s="238">
        <f t="shared" si="0"/>
        <v>3200</v>
      </c>
      <c r="N12" s="307">
        <f t="shared" si="0"/>
        <v>3500</v>
      </c>
      <c r="O12" s="295">
        <f>+P12</f>
        <v>4.4999999999999998E-2</v>
      </c>
      <c r="P12" s="257">
        <f>+'B) Reajuste Tarifas y Ocupación'!G14</f>
        <v>4.4999999999999998E-2</v>
      </c>
      <c r="Q12" s="257">
        <f>+'B) Reajuste Tarifas y Ocupación'!H14</f>
        <v>4.4999999999999998E-2</v>
      </c>
      <c r="R12" s="263">
        <f>+'B) Reajuste Tarifas y Ocupación'!I14</f>
        <v>4.4999999999999998E-2</v>
      </c>
    </row>
    <row r="13" spans="1:18" x14ac:dyDescent="0.25">
      <c r="A13" s="1214"/>
      <c r="B13" s="300" t="str">
        <f>+'B) Reajuste Tarifas y Ocupación'!B15</f>
        <v>Single</v>
      </c>
      <c r="C13" s="230">
        <f>'B) Reajuste Tarifas y Ocupación'!J15</f>
        <v>19400</v>
      </c>
      <c r="D13" s="236">
        <f>+'B) Reajuste Tarifas y Ocupación'!K15</f>
        <v>29700</v>
      </c>
      <c r="E13" s="236">
        <f>+'B) Reajuste Tarifas y Ocupación'!L15</f>
        <v>40400</v>
      </c>
      <c r="F13" s="277">
        <f>+'B) Reajuste Tarifas y Ocupación'!M15</f>
        <v>43700</v>
      </c>
      <c r="G13" s="271">
        <f>+'B) Reajuste Tarifas y Ocupación'!C15</f>
        <v>18500</v>
      </c>
      <c r="H13" s="237">
        <f>+'B) Reajuste Tarifas y Ocupación'!D15</f>
        <v>28400</v>
      </c>
      <c r="I13" s="237">
        <f>+'B) Reajuste Tarifas y Ocupación'!E15</f>
        <v>38600</v>
      </c>
      <c r="J13" s="285">
        <f>+'B) Reajuste Tarifas y Ocupación'!F15</f>
        <v>41800</v>
      </c>
      <c r="K13" s="290">
        <f t="shared" si="0"/>
        <v>900</v>
      </c>
      <c r="L13" s="238">
        <f t="shared" si="0"/>
        <v>1300</v>
      </c>
      <c r="M13" s="238">
        <f t="shared" si="0"/>
        <v>1800</v>
      </c>
      <c r="N13" s="307">
        <f t="shared" si="0"/>
        <v>1900</v>
      </c>
      <c r="O13" s="295">
        <f>+P13</f>
        <v>4.4999999999999998E-2</v>
      </c>
      <c r="P13" s="257">
        <f>+'B) Reajuste Tarifas y Ocupación'!G15</f>
        <v>4.4999999999999998E-2</v>
      </c>
      <c r="Q13" s="257">
        <f>+'B) Reajuste Tarifas y Ocupación'!H15</f>
        <v>4.4999999999999998E-2</v>
      </c>
      <c r="R13" s="263">
        <f>+'B) Reajuste Tarifas y Ocupación'!I15</f>
        <v>4.4999999999999998E-2</v>
      </c>
    </row>
    <row r="14" spans="1:18" x14ac:dyDescent="0.25">
      <c r="A14" s="1214"/>
      <c r="B14" s="301" t="str">
        <f>+'B) Reajuste Tarifas y Ocupación'!B16</f>
        <v>Early check-in/Late check-out</v>
      </c>
      <c r="C14" s="278"/>
      <c r="D14" s="239"/>
      <c r="E14" s="239"/>
      <c r="F14" s="279"/>
      <c r="G14" s="272"/>
      <c r="H14" s="240"/>
      <c r="I14" s="240"/>
      <c r="J14" s="286"/>
      <c r="K14" s="291"/>
      <c r="L14" s="241"/>
      <c r="M14" s="241"/>
      <c r="N14" s="308"/>
      <c r="O14" s="296"/>
      <c r="P14" s="249"/>
      <c r="Q14" s="249"/>
      <c r="R14" s="250"/>
    </row>
    <row r="15" spans="1:18" x14ac:dyDescent="0.25">
      <c r="A15" s="1214"/>
      <c r="B15" s="302" t="str">
        <f>+'B) Reajuste Tarifas y Ocupación'!B17</f>
        <v>Matrimonial</v>
      </c>
      <c r="C15" s="278"/>
      <c r="D15" s="236">
        <f>'B) Reajuste Tarifas y Ocupación'!K17</f>
        <v>15100</v>
      </c>
      <c r="E15" s="236">
        <f>'B) Reajuste Tarifas y Ocupación'!L17</f>
        <v>20500</v>
      </c>
      <c r="F15" s="277">
        <f>'B) Reajuste Tarifas y Ocupación'!M17</f>
        <v>22200</v>
      </c>
      <c r="G15" s="272"/>
      <c r="H15" s="237">
        <f>+'B) Reajuste Tarifas y Ocupación'!D17</f>
        <v>14400</v>
      </c>
      <c r="I15" s="237">
        <f>+'B) Reajuste Tarifas y Ocupación'!E17</f>
        <v>19600</v>
      </c>
      <c r="J15" s="285">
        <f>+'B) Reajuste Tarifas y Ocupación'!F17</f>
        <v>21300</v>
      </c>
      <c r="K15" s="291"/>
      <c r="L15" s="238">
        <f>D15-H15</f>
        <v>700</v>
      </c>
      <c r="M15" s="238">
        <f>E15-I15</f>
        <v>900</v>
      </c>
      <c r="N15" s="307">
        <f>F15-J15</f>
        <v>900</v>
      </c>
      <c r="O15" s="296"/>
      <c r="P15" s="249"/>
      <c r="Q15" s="249"/>
      <c r="R15" s="250"/>
    </row>
    <row r="16" spans="1:18" x14ac:dyDescent="0.25">
      <c r="A16" s="1214"/>
      <c r="B16" s="302" t="str">
        <f>+'B) Reajuste Tarifas y Ocupación'!B18</f>
        <v>Doble</v>
      </c>
      <c r="C16" s="278"/>
      <c r="D16" s="236">
        <f>'B) Reajuste Tarifas y Ocupación'!K18</f>
        <v>15100</v>
      </c>
      <c r="E16" s="236">
        <f>'B) Reajuste Tarifas y Ocupación'!L18</f>
        <v>20500</v>
      </c>
      <c r="F16" s="277">
        <f>'B) Reajuste Tarifas y Ocupación'!M18</f>
        <v>22200</v>
      </c>
      <c r="G16" s="272"/>
      <c r="H16" s="237">
        <f>+'B) Reajuste Tarifas y Ocupación'!D18</f>
        <v>14400</v>
      </c>
      <c r="I16" s="237">
        <f>+'B) Reajuste Tarifas y Ocupación'!E18</f>
        <v>19600</v>
      </c>
      <c r="J16" s="285">
        <f>+'B) Reajuste Tarifas y Ocupación'!F18</f>
        <v>21300</v>
      </c>
      <c r="K16" s="291"/>
      <c r="L16" s="238">
        <f t="shared" ref="L16:L24" si="1">D16-H16</f>
        <v>700</v>
      </c>
      <c r="M16" s="238">
        <f t="shared" ref="M16:M24" si="2">E16-I16</f>
        <v>900</v>
      </c>
      <c r="N16" s="307">
        <f t="shared" si="0"/>
        <v>900</v>
      </c>
      <c r="O16" s="296"/>
      <c r="P16" s="249"/>
      <c r="Q16" s="249"/>
      <c r="R16" s="250"/>
    </row>
    <row r="17" spans="1:18" x14ac:dyDescent="0.25">
      <c r="A17" s="1214"/>
      <c r="B17" s="302" t="str">
        <f>+'B) Reajuste Tarifas y Ocupación'!B19</f>
        <v>Triple</v>
      </c>
      <c r="C17" s="278"/>
      <c r="D17" s="236">
        <f>'B) Reajuste Tarifas y Ocupación'!K19</f>
        <v>16400</v>
      </c>
      <c r="E17" s="236">
        <f>'B) Reajuste Tarifas y Ocupación'!L19</f>
        <v>22200</v>
      </c>
      <c r="F17" s="277">
        <f>'B) Reajuste Tarifas y Ocupación'!M19</f>
        <v>24100</v>
      </c>
      <c r="G17" s="272"/>
      <c r="H17" s="237">
        <f>+'B) Reajuste Tarifas y Ocupación'!D19</f>
        <v>15600</v>
      </c>
      <c r="I17" s="237">
        <f>+'B) Reajuste Tarifas y Ocupación'!E19</f>
        <v>21300</v>
      </c>
      <c r="J17" s="285">
        <f>+'B) Reajuste Tarifas y Ocupación'!F19</f>
        <v>23000</v>
      </c>
      <c r="K17" s="291"/>
      <c r="L17" s="238">
        <f t="shared" si="1"/>
        <v>800</v>
      </c>
      <c r="M17" s="238">
        <f t="shared" si="2"/>
        <v>900</v>
      </c>
      <c r="N17" s="307">
        <f t="shared" si="0"/>
        <v>1100</v>
      </c>
      <c r="O17" s="296"/>
      <c r="P17" s="249"/>
      <c r="Q17" s="249"/>
      <c r="R17" s="250"/>
    </row>
    <row r="18" spans="1:18" ht="15.75" thickBot="1" x14ac:dyDescent="0.3">
      <c r="A18" s="1215"/>
      <c r="B18" s="303" t="str">
        <f>+'B) Reajuste Tarifas y Ocupación'!B20</f>
        <v>Single</v>
      </c>
      <c r="C18" s="280"/>
      <c r="D18" s="252">
        <f>'B) Reajuste Tarifas y Ocupación'!K20</f>
        <v>9000</v>
      </c>
      <c r="E18" s="252">
        <f>'B) Reajuste Tarifas y Ocupación'!L20</f>
        <v>12200</v>
      </c>
      <c r="F18" s="281">
        <f>'B) Reajuste Tarifas y Ocupación'!M20</f>
        <v>13200</v>
      </c>
      <c r="G18" s="273"/>
      <c r="H18" s="253">
        <f>+'B) Reajuste Tarifas y Ocupación'!D20</f>
        <v>8600</v>
      </c>
      <c r="I18" s="253">
        <f>+'B) Reajuste Tarifas y Ocupación'!E20</f>
        <v>11600</v>
      </c>
      <c r="J18" s="287">
        <f>+'B) Reajuste Tarifas y Ocupación'!F20</f>
        <v>12600</v>
      </c>
      <c r="K18" s="292"/>
      <c r="L18" s="254">
        <f t="shared" si="1"/>
        <v>400</v>
      </c>
      <c r="M18" s="254">
        <f t="shared" si="2"/>
        <v>600</v>
      </c>
      <c r="N18" s="309">
        <f>F18-J18</f>
        <v>600</v>
      </c>
      <c r="O18" s="297"/>
      <c r="P18" s="255"/>
      <c r="Q18" s="255"/>
      <c r="R18" s="256"/>
    </row>
    <row r="19" spans="1:18" ht="15" customHeight="1" x14ac:dyDescent="0.25">
      <c r="A19" s="984" t="str">
        <f>+'B) Reajuste Tarifas y Ocupación'!A21</f>
        <v>Sala de Juegos</v>
      </c>
      <c r="B19" s="304" t="str">
        <f>+'B) Reajuste Tarifas y Ocupación'!B21</f>
        <v>Sala de juegos</v>
      </c>
      <c r="C19" s="282"/>
      <c r="D19" s="258">
        <f>'B) Reajuste Tarifas y Ocupación'!K21</f>
        <v>68000</v>
      </c>
      <c r="E19" s="258">
        <f>'B) Reajuste Tarifas y Ocupación'!L21</f>
        <v>92400</v>
      </c>
      <c r="F19" s="283">
        <f>'B) Reajuste Tarifas y Ocupación'!M21</f>
        <v>100200</v>
      </c>
      <c r="G19" s="274"/>
      <c r="H19" s="259">
        <f>+'B) Reajuste Tarifas y Ocupación'!D21</f>
        <v>65000</v>
      </c>
      <c r="I19" s="259">
        <f>+'B) Reajuste Tarifas y Ocupación'!E21</f>
        <v>88400</v>
      </c>
      <c r="J19" s="288">
        <f>+'B) Reajuste Tarifas y Ocupación'!F21</f>
        <v>95800</v>
      </c>
      <c r="K19" s="293"/>
      <c r="L19" s="260">
        <f t="shared" si="1"/>
        <v>3000</v>
      </c>
      <c r="M19" s="260">
        <f t="shared" si="2"/>
        <v>4000</v>
      </c>
      <c r="N19" s="306">
        <f t="shared" ref="N19:N25" si="3">F19-J19</f>
        <v>4400</v>
      </c>
      <c r="O19" s="294">
        <f>+P19</f>
        <v>4.4999999999999998E-2</v>
      </c>
      <c r="P19" s="261">
        <f>+'B) Reajuste Tarifas y Ocupación'!G21</f>
        <v>4.4999999999999998E-2</v>
      </c>
      <c r="Q19" s="261">
        <f>+'B) Reajuste Tarifas y Ocupación'!H21</f>
        <v>4.4999999999999998E-2</v>
      </c>
      <c r="R19" s="262">
        <f>+'B) Reajuste Tarifas y Ocupación'!I21</f>
        <v>4.4999999999999998E-2</v>
      </c>
    </row>
    <row r="20" spans="1:18" ht="15" customHeight="1" thickBot="1" x14ac:dyDescent="0.3">
      <c r="A20" s="985"/>
      <c r="B20" s="305" t="str">
        <f>+'B) Reajuste Tarifas y Ocupación'!B22</f>
        <v>Sala de juegos Lunes a Jueves</v>
      </c>
      <c r="C20" s="501"/>
      <c r="D20" s="502">
        <f>'B) Reajuste Tarifas y Ocupación'!K22</f>
        <v>27400</v>
      </c>
      <c r="E20" s="502">
        <f>'B) Reajuste Tarifas y Ocupación'!L22</f>
        <v>37300</v>
      </c>
      <c r="F20" s="503">
        <f>'B) Reajuste Tarifas y Ocupación'!M22</f>
        <v>40400</v>
      </c>
      <c r="G20" s="504"/>
      <c r="H20" s="505">
        <f>+'B) Reajuste Tarifas y Ocupación'!D22</f>
        <v>26200</v>
      </c>
      <c r="I20" s="505">
        <f>+'B) Reajuste Tarifas y Ocupación'!E22</f>
        <v>35600</v>
      </c>
      <c r="J20" s="506">
        <f>+'B) Reajuste Tarifas y Ocupación'!F22</f>
        <v>38600</v>
      </c>
      <c r="K20" s="507"/>
      <c r="L20" s="508">
        <f t="shared" si="1"/>
        <v>1200</v>
      </c>
      <c r="M20" s="508">
        <f t="shared" si="2"/>
        <v>1700</v>
      </c>
      <c r="N20" s="509">
        <f>F20-J20</f>
        <v>1800</v>
      </c>
      <c r="O20" s="510">
        <f>+P20</f>
        <v>4.4999999999999998E-2</v>
      </c>
      <c r="P20" s="511">
        <f>+'B) Reajuste Tarifas y Ocupación'!G22</f>
        <v>4.4999999999999998E-2</v>
      </c>
      <c r="Q20" s="511">
        <f>+'B) Reajuste Tarifas y Ocupación'!H22</f>
        <v>4.4999999999999998E-2</v>
      </c>
      <c r="R20" s="512">
        <f>+'B) Reajuste Tarifas y Ocupación'!I22</f>
        <v>4.4999999999999998E-2</v>
      </c>
    </row>
    <row r="21" spans="1:18" ht="15" customHeight="1" x14ac:dyDescent="0.25">
      <c r="A21" s="984" t="s">
        <v>241</v>
      </c>
      <c r="B21" s="499" t="str">
        <f>+'B) Reajuste Tarifas y Ocupación'!B23</f>
        <v>Quincho Cabo de Hornos</v>
      </c>
      <c r="C21" s="513"/>
      <c r="D21" s="514">
        <f>'B) Reajuste Tarifas y Ocupación'!K23</f>
        <v>55400</v>
      </c>
      <c r="E21" s="514">
        <f>'B) Reajuste Tarifas y Ocupación'!L23</f>
        <v>75300</v>
      </c>
      <c r="F21" s="515">
        <f>'B) Reajuste Tarifas y Ocupación'!M23</f>
        <v>81600</v>
      </c>
      <c r="G21" s="516"/>
      <c r="H21" s="517">
        <f>+'B) Reajuste Tarifas y Ocupación'!D23</f>
        <v>53000</v>
      </c>
      <c r="I21" s="517">
        <f>+'B) Reajuste Tarifas y Ocupación'!E23</f>
        <v>72000</v>
      </c>
      <c r="J21" s="518">
        <f>+'B) Reajuste Tarifas y Ocupación'!F23</f>
        <v>78000</v>
      </c>
      <c r="K21" s="519"/>
      <c r="L21" s="520">
        <f t="shared" si="1"/>
        <v>2400</v>
      </c>
      <c r="M21" s="520">
        <f t="shared" si="2"/>
        <v>3300</v>
      </c>
      <c r="N21" s="521">
        <f>F21-J21</f>
        <v>3600</v>
      </c>
      <c r="O21" s="522">
        <f>+P21</f>
        <v>4.4999999999999998E-2</v>
      </c>
      <c r="P21" s="523">
        <f>+'B) Reajuste Tarifas y Ocupación'!G23</f>
        <v>4.4999999999999998E-2</v>
      </c>
      <c r="Q21" s="523">
        <f>+'B) Reajuste Tarifas y Ocupación'!H23</f>
        <v>4.4999999999999998E-2</v>
      </c>
      <c r="R21" s="524">
        <f>+'B) Reajuste Tarifas y Ocupación'!I23</f>
        <v>4.4999999999999998E-2</v>
      </c>
    </row>
    <row r="22" spans="1:18" ht="15.75" customHeight="1" thickBot="1" x14ac:dyDescent="0.3">
      <c r="A22" s="986"/>
      <c r="B22" s="500" t="str">
        <f>+'B) Reajuste Tarifas y Ocupación'!B24</f>
        <v>Quincho Cabo de Hornos Lunes a Jueves</v>
      </c>
      <c r="C22" s="525"/>
      <c r="D22" s="526">
        <f>'B) Reajuste Tarifas y Ocupación'!K24</f>
        <v>38900</v>
      </c>
      <c r="E22" s="526">
        <f>'B) Reajuste Tarifas y Ocupación'!L24</f>
        <v>52900</v>
      </c>
      <c r="F22" s="527">
        <f>'B) Reajuste Tarifas y Ocupación'!M24</f>
        <v>57300</v>
      </c>
      <c r="G22" s="528"/>
      <c r="H22" s="529">
        <f>+'B) Reajuste Tarifas y Ocupación'!D24</f>
        <v>37200</v>
      </c>
      <c r="I22" s="529">
        <f>+'B) Reajuste Tarifas y Ocupación'!E24</f>
        <v>50600</v>
      </c>
      <c r="J22" s="530">
        <f>+'B) Reajuste Tarifas y Ocupación'!F24</f>
        <v>54800</v>
      </c>
      <c r="K22" s="531"/>
      <c r="L22" s="532">
        <f t="shared" si="1"/>
        <v>1700</v>
      </c>
      <c r="M22" s="532">
        <f t="shared" si="2"/>
        <v>2300</v>
      </c>
      <c r="N22" s="533">
        <f>F22-J22</f>
        <v>2500</v>
      </c>
      <c r="O22" s="534">
        <f>+P22</f>
        <v>4.4999999999999998E-2</v>
      </c>
      <c r="P22" s="535">
        <f>+'B) Reajuste Tarifas y Ocupación'!G24</f>
        <v>4.4999999999999998E-2</v>
      </c>
      <c r="Q22" s="535">
        <f>+'B) Reajuste Tarifas y Ocupación'!H24</f>
        <v>4.4999999999999998E-2</v>
      </c>
      <c r="R22" s="536">
        <f>+'B) Reajuste Tarifas y Ocupación'!I24</f>
        <v>4.4999999999999998E-2</v>
      </c>
    </row>
    <row r="23" spans="1:18" x14ac:dyDescent="0.25">
      <c r="A23" s="1213" t="str">
        <f>+'B) Reajuste Tarifas y Ocupación'!A25</f>
        <v>Cabañas</v>
      </c>
      <c r="B23" s="304" t="str">
        <f>+'B) Reajuste Tarifas y Ocupación'!B25</f>
        <v>Cabaña 6 personas</v>
      </c>
      <c r="C23" s="284">
        <f>+'B) Reajuste Tarifas y Ocupación'!J25</f>
        <v>46100</v>
      </c>
      <c r="D23" s="258">
        <f>'B) Reajuste Tarifas y Ocupación'!K25</f>
        <v>70800</v>
      </c>
      <c r="E23" s="258">
        <f>'B) Reajuste Tarifas y Ocupación'!L25</f>
        <v>101100</v>
      </c>
      <c r="F23" s="283">
        <f>'B) Reajuste Tarifas y Ocupación'!M25</f>
        <v>109600</v>
      </c>
      <c r="G23" s="275">
        <f>+'B) Reajuste Tarifas y Ocupación'!C25</f>
        <v>44100</v>
      </c>
      <c r="H23" s="259">
        <f>+'B) Reajuste Tarifas y Ocupación'!D25</f>
        <v>67700</v>
      </c>
      <c r="I23" s="259">
        <f>+'B) Reajuste Tarifas y Ocupación'!E25</f>
        <v>96700</v>
      </c>
      <c r="J23" s="288">
        <f>+'B) Reajuste Tarifas y Ocupación'!F25</f>
        <v>104800</v>
      </c>
      <c r="K23" s="289">
        <f>C23-G23</f>
        <v>2000</v>
      </c>
      <c r="L23" s="260">
        <f t="shared" si="1"/>
        <v>3100</v>
      </c>
      <c r="M23" s="260">
        <f t="shared" si="2"/>
        <v>4400</v>
      </c>
      <c r="N23" s="306">
        <f t="shared" si="3"/>
        <v>4800</v>
      </c>
      <c r="O23" s="294">
        <f>+P23</f>
        <v>4.4999999999999998E-2</v>
      </c>
      <c r="P23" s="261">
        <f>+'B) Reajuste Tarifas y Ocupación'!G25</f>
        <v>4.4999999999999998E-2</v>
      </c>
      <c r="Q23" s="261">
        <f>+'B) Reajuste Tarifas y Ocupación'!H25</f>
        <v>4.4999999999999998E-2</v>
      </c>
      <c r="R23" s="262">
        <f>+'B) Reajuste Tarifas y Ocupación'!I25</f>
        <v>4.4999999999999998E-2</v>
      </c>
    </row>
    <row r="24" spans="1:18" ht="15.75" thickBot="1" x14ac:dyDescent="0.3">
      <c r="A24" s="1215"/>
      <c r="B24" s="305" t="str">
        <f>+'B) Reajuste Tarifas y Ocupación'!B26</f>
        <v>Early check-in/Late check-out Cabañas</v>
      </c>
      <c r="C24" s="280"/>
      <c r="D24" s="252">
        <f>+'B) Reajuste Tarifas y Ocupación'!K26</f>
        <v>21300</v>
      </c>
      <c r="E24" s="252">
        <f>+'B) Reajuste Tarifas y Ocupación'!L26</f>
        <v>30400</v>
      </c>
      <c r="F24" s="281">
        <f>+'B) Reajuste Tarifas y Ocupación'!M26</f>
        <v>32900</v>
      </c>
      <c r="G24" s="273"/>
      <c r="H24" s="253">
        <f>+'B) Reajuste Tarifas y Ocupación'!D26</f>
        <v>20400</v>
      </c>
      <c r="I24" s="253">
        <f>+'B) Reajuste Tarifas y Ocupación'!E26</f>
        <v>29100</v>
      </c>
      <c r="J24" s="287">
        <f>+'B) Reajuste Tarifas y Ocupación'!F26</f>
        <v>31500</v>
      </c>
      <c r="K24" s="292"/>
      <c r="L24" s="254">
        <f t="shared" si="1"/>
        <v>900</v>
      </c>
      <c r="M24" s="254">
        <f t="shared" si="2"/>
        <v>1300</v>
      </c>
      <c r="N24" s="309">
        <f>F24-J24</f>
        <v>1400</v>
      </c>
      <c r="O24" s="297"/>
      <c r="P24" s="255"/>
      <c r="Q24" s="255"/>
      <c r="R24" s="256"/>
    </row>
    <row r="25" spans="1:18" x14ac:dyDescent="0.25">
      <c r="A25" s="1216" t="str">
        <f>+'B) Reajuste Tarifas y Ocupación'!A27</f>
        <v>Sala de Maquinas</v>
      </c>
      <c r="B25" s="326" t="str">
        <f>+'B) Reajuste Tarifas y Ocupación'!B27</f>
        <v>Armada</v>
      </c>
      <c r="C25" s="324"/>
      <c r="D25" s="268"/>
      <c r="E25" s="268"/>
      <c r="F25" s="283">
        <f>+'B) Reajuste Tarifas y Ocupación'!M27</f>
        <v>2000</v>
      </c>
      <c r="G25" s="274"/>
      <c r="H25" s="269"/>
      <c r="I25" s="269"/>
      <c r="J25" s="288">
        <f>+'B) Reajuste Tarifas y Ocupación'!F27</f>
        <v>1900</v>
      </c>
      <c r="K25" s="293"/>
      <c r="L25" s="270"/>
      <c r="M25" s="270"/>
      <c r="N25" s="306">
        <f t="shared" si="3"/>
        <v>100</v>
      </c>
      <c r="O25" s="298"/>
      <c r="P25" s="270"/>
      <c r="Q25" s="270"/>
      <c r="R25" s="262">
        <f>+'B) Reajuste Tarifas y Ocupación'!I27</f>
        <v>4.4999999999999998E-2</v>
      </c>
    </row>
    <row r="26" spans="1:18" x14ac:dyDescent="0.25">
      <c r="A26" s="1217"/>
      <c r="B26" s="244" t="str">
        <f>+'B) Reajuste Tarifas y Ocupación'!B28</f>
        <v>Otras Instituciones de las FFAA, Orden y Seguridad</v>
      </c>
      <c r="C26" s="325"/>
      <c r="D26" s="314"/>
      <c r="E26" s="314"/>
      <c r="F26" s="315">
        <f>+'B) Reajuste Tarifas y Ocupación'!M28</f>
        <v>14600</v>
      </c>
      <c r="G26" s="316"/>
      <c r="H26" s="317"/>
      <c r="I26" s="317"/>
      <c r="J26" s="318">
        <f>+'B) Reajuste Tarifas y Ocupación'!F28</f>
        <v>13900</v>
      </c>
      <c r="K26" s="319"/>
      <c r="L26" s="320"/>
      <c r="M26" s="320"/>
      <c r="N26" s="321">
        <f>F26-J26</f>
        <v>700</v>
      </c>
      <c r="O26" s="322"/>
      <c r="P26" s="320"/>
      <c r="Q26" s="320"/>
      <c r="R26" s="323">
        <f>+'B) Reajuste Tarifas y Ocupación'!I28</f>
        <v>4.4999999999999998E-2</v>
      </c>
    </row>
    <row r="27" spans="1:18" ht="15.75" thickBot="1" x14ac:dyDescent="0.3">
      <c r="A27" s="1218"/>
      <c r="B27" s="246" t="str">
        <f>+'B) Reajuste Tarifas y Ocupación'!B29</f>
        <v>Otras instituciones</v>
      </c>
      <c r="C27" s="242"/>
      <c r="D27" s="156"/>
      <c r="E27" s="156"/>
      <c r="F27" s="150">
        <f>+'B) Reajuste Tarifas y Ocupación'!M29</f>
        <v>43800</v>
      </c>
      <c r="G27" s="151"/>
      <c r="H27" s="157"/>
      <c r="I27" s="157"/>
      <c r="J27" s="152">
        <f>+'B) Reajuste Tarifas y Ocupación'!F29</f>
        <v>41900</v>
      </c>
      <c r="K27" s="153"/>
      <c r="L27" s="155"/>
      <c r="M27" s="155"/>
      <c r="N27" s="310">
        <f>F27-J27</f>
        <v>1900</v>
      </c>
      <c r="O27" s="154"/>
      <c r="P27" s="155"/>
      <c r="Q27" s="155"/>
      <c r="R27" s="264">
        <f>+'B) Reajuste Tarifas y Ocupación'!I29</f>
        <v>4.4999999999999998E-2</v>
      </c>
    </row>
  </sheetData>
  <sheetProtection algorithmName="SHA-512" hashValue="X0mt9lDNC78RzLe53dCE79+URNoKvYBgQx8cADkOiusEySYABBOrewgfPXoa2iKtDQgiufY8kFCsA0qWgOfYfA==" saltValue="YmkZyf52S4a19XqCpzjsOg==" spinCount="100000" sheet="1" objects="1" scenarios="1"/>
  <mergeCells count="13">
    <mergeCell ref="A25:A27"/>
    <mergeCell ref="F4:G4"/>
    <mergeCell ref="A6:B6"/>
    <mergeCell ref="A8:A9"/>
    <mergeCell ref="B8:B9"/>
    <mergeCell ref="C8:F8"/>
    <mergeCell ref="G8:J8"/>
    <mergeCell ref="K8:N8"/>
    <mergeCell ref="O8:R8"/>
    <mergeCell ref="A10:A18"/>
    <mergeCell ref="A23:A24"/>
    <mergeCell ref="A21:A22"/>
    <mergeCell ref="A19:A2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P83"/>
  <sheetViews>
    <sheetView showGridLines="0" topLeftCell="B1" zoomScale="90" zoomScaleNormal="90" workbookViewId="0">
      <selection activeCell="K13" sqref="K13"/>
    </sheetView>
  </sheetViews>
  <sheetFormatPr baseColWidth="10" defaultRowHeight="15" x14ac:dyDescent="0.25"/>
  <cols>
    <col min="1" max="1" width="7.140625" style="141" customWidth="1"/>
    <col min="2" max="3" width="31.7109375" style="141" customWidth="1"/>
    <col min="4" max="4" width="28" style="141" customWidth="1"/>
    <col min="5" max="5" width="24.140625" style="141" customWidth="1"/>
    <col min="6" max="6" width="37" style="141" customWidth="1"/>
    <col min="7" max="7" width="31.5703125" style="141" bestFit="1" customWidth="1"/>
    <col min="8" max="8" width="15.140625" style="141" customWidth="1"/>
    <col min="9" max="9" width="14.85546875" style="141" customWidth="1"/>
    <col min="10" max="10" width="15" style="141" customWidth="1"/>
    <col min="11" max="11" width="15.140625" style="141" customWidth="1"/>
    <col min="12" max="12" width="21.5703125" style="141" customWidth="1"/>
    <col min="13" max="13" width="26" style="141" customWidth="1"/>
  </cols>
  <sheetData>
    <row r="1" spans="1:16" x14ac:dyDescent="0.25">
      <c r="A1" s="34"/>
      <c r="B1" s="34"/>
      <c r="C1" s="34"/>
      <c r="D1" s="34"/>
      <c r="E1" s="34"/>
      <c r="F1" s="46"/>
      <c r="G1" s="46"/>
      <c r="H1" s="46"/>
      <c r="I1" s="46"/>
      <c r="J1" s="46"/>
      <c r="K1" s="46"/>
      <c r="L1" s="34"/>
      <c r="M1" s="34"/>
    </row>
    <row r="2" spans="1:16" x14ac:dyDescent="0.25">
      <c r="A2" s="34"/>
      <c r="B2" s="34"/>
      <c r="C2" s="34"/>
      <c r="D2" s="34"/>
      <c r="E2" s="34"/>
      <c r="F2" s="46" t="s">
        <v>172</v>
      </c>
      <c r="G2" s="46"/>
      <c r="H2" s="46"/>
      <c r="I2" s="46"/>
      <c r="J2" s="46"/>
      <c r="K2" s="46"/>
      <c r="L2" s="34"/>
      <c r="M2" s="34"/>
    </row>
    <row r="3" spans="1:16" x14ac:dyDescent="0.25">
      <c r="A3" s="34"/>
      <c r="B3" s="48"/>
      <c r="C3" s="48"/>
      <c r="D3" s="34"/>
      <c r="E3" s="34"/>
      <c r="F3" s="34"/>
      <c r="G3" s="34"/>
      <c r="H3" s="34"/>
      <c r="I3" s="34"/>
      <c r="J3" s="34"/>
      <c r="K3" s="34"/>
      <c r="L3" s="34"/>
      <c r="M3" s="34"/>
    </row>
    <row r="4" spans="1:16" ht="15.75" x14ac:dyDescent="0.25">
      <c r="A4" s="34"/>
      <c r="B4" s="48"/>
      <c r="C4" s="48"/>
      <c r="D4" s="34"/>
      <c r="E4" s="138" t="s">
        <v>1</v>
      </c>
      <c r="F4" s="158" t="s">
        <v>2</v>
      </c>
      <c r="G4" s="139"/>
      <c r="H4" s="140"/>
      <c r="I4" s="140"/>
      <c r="J4" s="140"/>
      <c r="K4" s="140"/>
      <c r="L4" s="34"/>
      <c r="M4" s="34"/>
    </row>
    <row r="5" spans="1:16" x14ac:dyDescent="0.25">
      <c r="A5" s="34"/>
      <c r="B5" s="48"/>
      <c r="C5" s="48"/>
      <c r="D5" s="34"/>
      <c r="E5" s="50"/>
      <c r="F5" s="46"/>
      <c r="G5" s="46"/>
      <c r="H5" s="46"/>
      <c r="I5" s="46"/>
      <c r="J5" s="46"/>
      <c r="K5" s="46"/>
      <c r="L5" s="34"/>
      <c r="M5" s="34"/>
    </row>
    <row r="6" spans="1:16" x14ac:dyDescent="0.25">
      <c r="A6" s="34"/>
      <c r="B6" s="48"/>
      <c r="C6" s="48"/>
      <c r="D6" s="34"/>
      <c r="E6" s="50"/>
      <c r="F6" s="46"/>
      <c r="G6" s="46"/>
      <c r="H6" s="46"/>
      <c r="I6" s="46"/>
      <c r="J6" s="46"/>
      <c r="K6" s="46"/>
      <c r="L6" s="34"/>
      <c r="M6" s="34"/>
    </row>
    <row r="7" spans="1:16" ht="15.75" x14ac:dyDescent="0.25">
      <c r="A7" s="34"/>
      <c r="B7" s="1244" t="s">
        <v>173</v>
      </c>
      <c r="C7" s="1244"/>
      <c r="D7" s="1244"/>
      <c r="E7" s="1244"/>
      <c r="F7" s="1244"/>
      <c r="G7" s="159"/>
      <c r="H7" s="159"/>
      <c r="I7" s="159"/>
      <c r="J7" s="159"/>
      <c r="K7" s="159"/>
      <c r="L7" s="160" t="s">
        <v>37</v>
      </c>
      <c r="M7" s="161">
        <v>4.4999999999999998E-2</v>
      </c>
    </row>
    <row r="8" spans="1:16" ht="15.75" thickBot="1" x14ac:dyDescent="0.3">
      <c r="L8" s="160" t="s">
        <v>288</v>
      </c>
      <c r="M8" s="161">
        <v>0</v>
      </c>
    </row>
    <row r="9" spans="1:16" x14ac:dyDescent="0.25">
      <c r="B9" s="1108" t="s">
        <v>4</v>
      </c>
      <c r="C9" s="1246" t="s">
        <v>174</v>
      </c>
      <c r="D9" s="1248" t="s">
        <v>142</v>
      </c>
      <c r="E9" s="1250" t="s">
        <v>143</v>
      </c>
      <c r="F9" s="1238" t="s">
        <v>144</v>
      </c>
      <c r="G9" s="1238" t="s">
        <v>21</v>
      </c>
      <c r="H9" s="1238" t="s">
        <v>312</v>
      </c>
      <c r="I9" s="1238" t="s">
        <v>311</v>
      </c>
      <c r="J9" s="1238" t="s">
        <v>290</v>
      </c>
      <c r="K9" s="1238" t="s">
        <v>289</v>
      </c>
      <c r="L9" s="1240" t="s">
        <v>297</v>
      </c>
      <c r="M9" s="1242" t="s">
        <v>175</v>
      </c>
    </row>
    <row r="10" spans="1:16" ht="24" customHeight="1" thickBot="1" x14ac:dyDescent="0.3">
      <c r="B10" s="1245"/>
      <c r="C10" s="1247"/>
      <c r="D10" s="1249"/>
      <c r="E10" s="1251"/>
      <c r="F10" s="1239"/>
      <c r="G10" s="1239"/>
      <c r="H10" s="1239"/>
      <c r="I10" s="1239"/>
      <c r="J10" s="1239"/>
      <c r="K10" s="1239"/>
      <c r="L10" s="1241"/>
      <c r="M10" s="1243"/>
    </row>
    <row r="11" spans="1:16" x14ac:dyDescent="0.25">
      <c r="A11"/>
      <c r="B11" s="1230" t="str">
        <f>+'B) Reajuste Tarifas y Ocupación'!A12</f>
        <v>Casa de Huespedes</v>
      </c>
      <c r="C11" s="1232" t="s">
        <v>176</v>
      </c>
      <c r="D11" s="654"/>
      <c r="E11" s="646"/>
      <c r="F11" s="646"/>
      <c r="G11" s="646"/>
      <c r="H11" s="679"/>
      <c r="I11" s="655">
        <f>+H11*(1+$M$7)</f>
        <v>0</v>
      </c>
      <c r="J11" s="679"/>
      <c r="K11" s="680"/>
      <c r="L11" s="672">
        <f>I11*(1+$M$8)+J11+K11</f>
        <v>0</v>
      </c>
      <c r="M11" s="1236">
        <f>SUM(L11:L24)</f>
        <v>3403761.88</v>
      </c>
    </row>
    <row r="12" spans="1:16" x14ac:dyDescent="0.25">
      <c r="A12"/>
      <c r="B12" s="1230"/>
      <c r="C12" s="1233"/>
      <c r="D12" s="681" t="s">
        <v>302</v>
      </c>
      <c r="E12" s="676" t="s">
        <v>303</v>
      </c>
      <c r="F12" s="676" t="s">
        <v>301</v>
      </c>
      <c r="G12" s="676" t="s">
        <v>304</v>
      </c>
      <c r="H12" s="678">
        <f>2618064+440000</f>
        <v>3058064</v>
      </c>
      <c r="I12" s="677">
        <f>+(H12*(1+$M$7))*(1+$M$8)</f>
        <v>3195676.88</v>
      </c>
      <c r="J12" s="678">
        <v>155743</v>
      </c>
      <c r="K12" s="682">
        <v>52342</v>
      </c>
      <c r="L12" s="673">
        <f>I12+J12+K12</f>
        <v>3403761.88</v>
      </c>
      <c r="M12" s="1236"/>
      <c r="P12" s="669"/>
    </row>
    <row r="13" spans="1:16" x14ac:dyDescent="0.25">
      <c r="A13"/>
      <c r="B13" s="1230"/>
      <c r="C13" s="1233"/>
      <c r="D13" s="681"/>
      <c r="E13" s="676"/>
      <c r="F13" s="676" t="s">
        <v>301</v>
      </c>
      <c r="G13" s="676" t="s">
        <v>304</v>
      </c>
      <c r="H13" s="678"/>
      <c r="I13" s="677">
        <f t="shared" ref="I13:I66" si="0">+H13*(1+$M$7)</f>
        <v>0</v>
      </c>
      <c r="J13" s="678"/>
      <c r="K13" s="682"/>
      <c r="L13" s="673">
        <f t="shared" ref="L13:L75" si="1">I13*(1+$M$8)+J13+K13</f>
        <v>0</v>
      </c>
      <c r="M13" s="1236"/>
    </row>
    <row r="14" spans="1:16" x14ac:dyDescent="0.25">
      <c r="A14"/>
      <c r="B14" s="1230"/>
      <c r="C14" s="1233"/>
      <c r="D14" s="681"/>
      <c r="E14" s="676"/>
      <c r="F14" s="676"/>
      <c r="G14" s="676"/>
      <c r="H14" s="678"/>
      <c r="I14" s="677">
        <f t="shared" si="0"/>
        <v>0</v>
      </c>
      <c r="J14" s="678"/>
      <c r="K14" s="682"/>
      <c r="L14" s="673">
        <f t="shared" si="1"/>
        <v>0</v>
      </c>
      <c r="M14" s="1236"/>
    </row>
    <row r="15" spans="1:16" x14ac:dyDescent="0.25">
      <c r="A15"/>
      <c r="B15" s="1230"/>
      <c r="C15" s="1233"/>
      <c r="D15" s="681"/>
      <c r="E15" s="676"/>
      <c r="F15" s="676"/>
      <c r="G15" s="676"/>
      <c r="H15" s="678"/>
      <c r="I15" s="677">
        <f t="shared" si="0"/>
        <v>0</v>
      </c>
      <c r="J15" s="678"/>
      <c r="K15" s="682"/>
      <c r="L15" s="673">
        <f t="shared" si="1"/>
        <v>0</v>
      </c>
      <c r="M15" s="1236"/>
      <c r="O15" s="669"/>
    </row>
    <row r="16" spans="1:16" x14ac:dyDescent="0.25">
      <c r="A16"/>
      <c r="B16" s="1230"/>
      <c r="C16" s="1233"/>
      <c r="D16" s="681"/>
      <c r="E16" s="676"/>
      <c r="F16" s="676"/>
      <c r="G16" s="676"/>
      <c r="H16" s="678"/>
      <c r="I16" s="677">
        <f t="shared" si="0"/>
        <v>0</v>
      </c>
      <c r="J16" s="678"/>
      <c r="K16" s="682"/>
      <c r="L16" s="673">
        <f t="shared" si="1"/>
        <v>0</v>
      </c>
      <c r="M16" s="1236"/>
    </row>
    <row r="17" spans="1:13" ht="15.75" thickBot="1" x14ac:dyDescent="0.3">
      <c r="A17"/>
      <c r="B17" s="1230"/>
      <c r="C17" s="1234"/>
      <c r="D17" s="683"/>
      <c r="E17" s="663"/>
      <c r="F17" s="663"/>
      <c r="G17" s="663"/>
      <c r="H17" s="664"/>
      <c r="I17" s="684">
        <f t="shared" si="0"/>
        <v>0</v>
      </c>
      <c r="J17" s="664"/>
      <c r="K17" s="685"/>
      <c r="L17" s="674">
        <f>I17*(1+$M$8)+J17+K17</f>
        <v>0</v>
      </c>
      <c r="M17" s="1236"/>
    </row>
    <row r="18" spans="1:13" x14ac:dyDescent="0.25">
      <c r="A18"/>
      <c r="B18" s="1230"/>
      <c r="C18" s="1233" t="s">
        <v>177</v>
      </c>
      <c r="D18" s="645"/>
      <c r="E18" s="146"/>
      <c r="F18" s="453"/>
      <c r="G18" s="146"/>
      <c r="H18" s="163"/>
      <c r="I18" s="675">
        <f>+H18*(1+$M$7)</f>
        <v>0</v>
      </c>
      <c r="J18" s="163"/>
      <c r="K18" s="662"/>
      <c r="L18" s="606">
        <f>I18*(1+$M$8)+J18+K18</f>
        <v>0</v>
      </c>
      <c r="M18" s="1236"/>
    </row>
    <row r="19" spans="1:13" x14ac:dyDescent="0.25">
      <c r="A19"/>
      <c r="B19" s="1230"/>
      <c r="C19" s="1233"/>
      <c r="D19" s="647"/>
      <c r="E19" s="648"/>
      <c r="F19" s="648"/>
      <c r="G19" s="648"/>
      <c r="H19" s="649"/>
      <c r="I19" s="162">
        <f t="shared" si="0"/>
        <v>0</v>
      </c>
      <c r="J19" s="142"/>
      <c r="K19" s="605"/>
      <c r="L19" s="589">
        <f t="shared" si="1"/>
        <v>0</v>
      </c>
      <c r="M19" s="1236"/>
    </row>
    <row r="20" spans="1:13" x14ac:dyDescent="0.25">
      <c r="A20"/>
      <c r="B20" s="1230"/>
      <c r="C20" s="1233"/>
      <c r="D20" s="647"/>
      <c r="E20" s="648"/>
      <c r="F20" s="648"/>
      <c r="G20" s="648"/>
      <c r="H20" s="649"/>
      <c r="I20" s="162">
        <f t="shared" si="0"/>
        <v>0</v>
      </c>
      <c r="J20" s="142"/>
      <c r="K20" s="605"/>
      <c r="L20" s="589">
        <f t="shared" si="1"/>
        <v>0</v>
      </c>
      <c r="M20" s="1236"/>
    </row>
    <row r="21" spans="1:13" x14ac:dyDescent="0.25">
      <c r="A21"/>
      <c r="B21" s="1230"/>
      <c r="C21" s="1233"/>
      <c r="D21" s="144"/>
      <c r="E21" s="143"/>
      <c r="F21" s="143"/>
      <c r="G21" s="143"/>
      <c r="H21" s="142"/>
      <c r="I21" s="162">
        <f t="shared" si="0"/>
        <v>0</v>
      </c>
      <c r="J21" s="142"/>
      <c r="K21" s="605"/>
      <c r="L21" s="589">
        <f t="shared" si="1"/>
        <v>0</v>
      </c>
      <c r="M21" s="1236"/>
    </row>
    <row r="22" spans="1:13" x14ac:dyDescent="0.25">
      <c r="A22"/>
      <c r="B22" s="1230"/>
      <c r="C22" s="1233"/>
      <c r="D22" s="144"/>
      <c r="E22" s="143"/>
      <c r="F22" s="143"/>
      <c r="G22" s="143"/>
      <c r="H22" s="142"/>
      <c r="I22" s="162">
        <f t="shared" si="0"/>
        <v>0</v>
      </c>
      <c r="J22" s="142"/>
      <c r="K22" s="605"/>
      <c r="L22" s="589">
        <f t="shared" si="1"/>
        <v>0</v>
      </c>
      <c r="M22" s="1236"/>
    </row>
    <row r="23" spans="1:13" x14ac:dyDescent="0.25">
      <c r="A23"/>
      <c r="B23" s="1230"/>
      <c r="C23" s="1233"/>
      <c r="D23" s="144"/>
      <c r="E23" s="143"/>
      <c r="F23" s="143"/>
      <c r="G23" s="143"/>
      <c r="H23" s="142"/>
      <c r="I23" s="162">
        <f t="shared" si="0"/>
        <v>0</v>
      </c>
      <c r="J23" s="142"/>
      <c r="K23" s="605"/>
      <c r="L23" s="589">
        <f t="shared" si="1"/>
        <v>0</v>
      </c>
      <c r="M23" s="1236"/>
    </row>
    <row r="24" spans="1:13" ht="15.75" thickBot="1" x14ac:dyDescent="0.3">
      <c r="A24"/>
      <c r="B24" s="1230"/>
      <c r="C24" s="1234"/>
      <c r="D24" s="688"/>
      <c r="E24" s="689"/>
      <c r="F24" s="689"/>
      <c r="G24" s="689"/>
      <c r="H24" s="690"/>
      <c r="I24" s="691">
        <f t="shared" si="0"/>
        <v>0</v>
      </c>
      <c r="J24" s="690"/>
      <c r="K24" s="692"/>
      <c r="L24" s="591">
        <f t="shared" si="1"/>
        <v>0</v>
      </c>
      <c r="M24" s="1236"/>
    </row>
    <row r="25" spans="1:13" x14ac:dyDescent="0.25">
      <c r="B25" s="1229" t="str">
        <f>+'B) Reajuste Tarifas y Ocupación'!A21</f>
        <v>Sala de Juegos</v>
      </c>
      <c r="C25" s="1232" t="s">
        <v>176</v>
      </c>
      <c r="D25" s="654"/>
      <c r="E25" s="646"/>
      <c r="F25" s="646"/>
      <c r="G25" s="646"/>
      <c r="H25" s="679"/>
      <c r="I25" s="655">
        <f t="shared" si="0"/>
        <v>0</v>
      </c>
      <c r="J25" s="679"/>
      <c r="K25" s="680"/>
      <c r="L25" s="686">
        <f t="shared" si="1"/>
        <v>0</v>
      </c>
      <c r="M25" s="1235">
        <f>SUM(L25:L38)</f>
        <v>1083290.96</v>
      </c>
    </row>
    <row r="26" spans="1:13" x14ac:dyDescent="0.25">
      <c r="B26" s="1230"/>
      <c r="C26" s="1233"/>
      <c r="D26" s="681" t="s">
        <v>302</v>
      </c>
      <c r="E26" s="676" t="s">
        <v>303</v>
      </c>
      <c r="F26" s="676" t="s">
        <v>301</v>
      </c>
      <c r="G26" s="676" t="s">
        <v>304</v>
      </c>
      <c r="H26" s="678">
        <f>872688+110000</f>
        <v>982688</v>
      </c>
      <c r="I26" s="677">
        <f>+(H26*(1+$M$7))*(1+M8)</f>
        <v>1026908.96</v>
      </c>
      <c r="J26" s="678">
        <v>38935</v>
      </c>
      <c r="K26" s="682">
        <v>17447</v>
      </c>
      <c r="L26" s="673">
        <f>I26+J26+K26</f>
        <v>1083290.96</v>
      </c>
      <c r="M26" s="1236"/>
    </row>
    <row r="27" spans="1:13" x14ac:dyDescent="0.25">
      <c r="B27" s="1230"/>
      <c r="C27" s="1233"/>
      <c r="D27" s="681"/>
      <c r="E27" s="676"/>
      <c r="F27" s="676"/>
      <c r="G27" s="676"/>
      <c r="H27" s="678"/>
      <c r="I27" s="677">
        <f t="shared" si="0"/>
        <v>0</v>
      </c>
      <c r="J27" s="678"/>
      <c r="K27" s="682"/>
      <c r="L27" s="673">
        <f t="shared" si="1"/>
        <v>0</v>
      </c>
      <c r="M27" s="1236"/>
    </row>
    <row r="28" spans="1:13" x14ac:dyDescent="0.25">
      <c r="B28" s="1230"/>
      <c r="C28" s="1233"/>
      <c r="D28" s="681"/>
      <c r="E28" s="676"/>
      <c r="F28" s="676"/>
      <c r="G28" s="676"/>
      <c r="H28" s="678"/>
      <c r="I28" s="677">
        <f t="shared" si="0"/>
        <v>0</v>
      </c>
      <c r="J28" s="678"/>
      <c r="K28" s="682"/>
      <c r="L28" s="673">
        <f t="shared" si="1"/>
        <v>0</v>
      </c>
      <c r="M28" s="1236"/>
    </row>
    <row r="29" spans="1:13" x14ac:dyDescent="0.25">
      <c r="B29" s="1230"/>
      <c r="C29" s="1233"/>
      <c r="D29" s="681"/>
      <c r="E29" s="676"/>
      <c r="F29" s="676"/>
      <c r="G29" s="676"/>
      <c r="H29" s="678"/>
      <c r="I29" s="677">
        <f t="shared" si="0"/>
        <v>0</v>
      </c>
      <c r="J29" s="678"/>
      <c r="K29" s="682"/>
      <c r="L29" s="673">
        <f t="shared" si="1"/>
        <v>0</v>
      </c>
      <c r="M29" s="1236"/>
    </row>
    <row r="30" spans="1:13" x14ac:dyDescent="0.25">
      <c r="B30" s="1230"/>
      <c r="C30" s="1233"/>
      <c r="D30" s="681"/>
      <c r="E30" s="676"/>
      <c r="F30" s="676"/>
      <c r="G30" s="676"/>
      <c r="H30" s="678"/>
      <c r="I30" s="677">
        <f t="shared" si="0"/>
        <v>0</v>
      </c>
      <c r="J30" s="678"/>
      <c r="K30" s="682"/>
      <c r="L30" s="673">
        <f t="shared" si="1"/>
        <v>0</v>
      </c>
      <c r="M30" s="1236"/>
    </row>
    <row r="31" spans="1:13" ht="15.75" thickBot="1" x14ac:dyDescent="0.3">
      <c r="B31" s="1230"/>
      <c r="C31" s="1234"/>
      <c r="D31" s="683"/>
      <c r="E31" s="663"/>
      <c r="F31" s="663"/>
      <c r="G31" s="663"/>
      <c r="H31" s="664"/>
      <c r="I31" s="684">
        <f t="shared" si="0"/>
        <v>0</v>
      </c>
      <c r="J31" s="664"/>
      <c r="K31" s="685"/>
      <c r="L31" s="687">
        <f t="shared" si="1"/>
        <v>0</v>
      </c>
      <c r="M31" s="1236"/>
    </row>
    <row r="32" spans="1:13" x14ac:dyDescent="0.25">
      <c r="B32" s="1230"/>
      <c r="C32" s="1232" t="s">
        <v>177</v>
      </c>
      <c r="D32" s="645"/>
      <c r="E32" s="146"/>
      <c r="F32" s="453"/>
      <c r="G32" s="146"/>
      <c r="H32" s="163"/>
      <c r="I32" s="675">
        <f t="shared" si="0"/>
        <v>0</v>
      </c>
      <c r="J32" s="163"/>
      <c r="K32" s="662"/>
      <c r="L32" s="606">
        <f t="shared" si="1"/>
        <v>0</v>
      </c>
      <c r="M32" s="1236"/>
    </row>
    <row r="33" spans="2:13" x14ac:dyDescent="0.25">
      <c r="B33" s="1230"/>
      <c r="C33" s="1233"/>
      <c r="D33" s="647"/>
      <c r="E33" s="648"/>
      <c r="F33" s="648"/>
      <c r="G33" s="648"/>
      <c r="H33" s="649"/>
      <c r="I33" s="656">
        <f t="shared" si="0"/>
        <v>0</v>
      </c>
      <c r="J33" s="649"/>
      <c r="K33" s="605"/>
      <c r="L33" s="589">
        <f t="shared" si="1"/>
        <v>0</v>
      </c>
      <c r="M33" s="1236"/>
    </row>
    <row r="34" spans="2:13" x14ac:dyDescent="0.25">
      <c r="B34" s="1230"/>
      <c r="C34" s="1233"/>
      <c r="D34" s="647"/>
      <c r="E34" s="648"/>
      <c r="F34" s="648"/>
      <c r="G34" s="648"/>
      <c r="H34" s="649"/>
      <c r="I34" s="656">
        <f t="shared" si="0"/>
        <v>0</v>
      </c>
      <c r="J34" s="649"/>
      <c r="K34" s="605"/>
      <c r="L34" s="589">
        <f t="shared" si="1"/>
        <v>0</v>
      </c>
      <c r="M34" s="1236"/>
    </row>
    <row r="35" spans="2:13" x14ac:dyDescent="0.25">
      <c r="B35" s="1230"/>
      <c r="C35" s="1233"/>
      <c r="D35" s="647"/>
      <c r="E35" s="648"/>
      <c r="F35" s="648"/>
      <c r="G35" s="648"/>
      <c r="H35" s="649"/>
      <c r="I35" s="656">
        <f t="shared" si="0"/>
        <v>0</v>
      </c>
      <c r="J35" s="649"/>
      <c r="K35" s="605"/>
      <c r="L35" s="589">
        <f t="shared" si="1"/>
        <v>0</v>
      </c>
      <c r="M35" s="1236"/>
    </row>
    <row r="36" spans="2:13" x14ac:dyDescent="0.25">
      <c r="B36" s="1230"/>
      <c r="C36" s="1233"/>
      <c r="D36" s="647"/>
      <c r="E36" s="648"/>
      <c r="F36" s="648"/>
      <c r="G36" s="648"/>
      <c r="H36" s="649"/>
      <c r="I36" s="656">
        <f t="shared" si="0"/>
        <v>0</v>
      </c>
      <c r="J36" s="649"/>
      <c r="K36" s="605"/>
      <c r="L36" s="589">
        <f t="shared" si="1"/>
        <v>0</v>
      </c>
      <c r="M36" s="1236"/>
    </row>
    <row r="37" spans="2:13" x14ac:dyDescent="0.25">
      <c r="B37" s="1230"/>
      <c r="C37" s="1233"/>
      <c r="D37" s="647"/>
      <c r="E37" s="648"/>
      <c r="F37" s="648"/>
      <c r="G37" s="648"/>
      <c r="H37" s="649"/>
      <c r="I37" s="656">
        <f t="shared" si="0"/>
        <v>0</v>
      </c>
      <c r="J37" s="649"/>
      <c r="K37" s="605"/>
      <c r="L37" s="589">
        <f t="shared" si="1"/>
        <v>0</v>
      </c>
      <c r="M37" s="1236"/>
    </row>
    <row r="38" spans="2:13" ht="15.75" thickBot="1" x14ac:dyDescent="0.3">
      <c r="B38" s="1230"/>
      <c r="C38" s="1234"/>
      <c r="D38" s="688"/>
      <c r="E38" s="689"/>
      <c r="F38" s="689"/>
      <c r="G38" s="689"/>
      <c r="H38" s="690"/>
      <c r="I38" s="691">
        <f t="shared" si="0"/>
        <v>0</v>
      </c>
      <c r="J38" s="690"/>
      <c r="K38" s="692"/>
      <c r="L38" s="591">
        <f t="shared" si="1"/>
        <v>0</v>
      </c>
      <c r="M38" s="1236"/>
    </row>
    <row r="39" spans="2:13" x14ac:dyDescent="0.25">
      <c r="B39" s="1229" t="str">
        <f>+'B) Reajuste Tarifas y Ocupación'!A25</f>
        <v>Cabañas</v>
      </c>
      <c r="C39" s="1232" t="s">
        <v>176</v>
      </c>
      <c r="D39" s="654"/>
      <c r="E39" s="646"/>
      <c r="F39" s="646"/>
      <c r="G39" s="646"/>
      <c r="H39" s="679"/>
      <c r="I39" s="655">
        <f>+H39*(1+$M$7)</f>
        <v>0</v>
      </c>
      <c r="J39" s="679"/>
      <c r="K39" s="680"/>
      <c r="L39" s="672">
        <f t="shared" si="1"/>
        <v>0</v>
      </c>
      <c r="M39" s="1235">
        <f>SUM(L39:L52)</f>
        <v>4487053.84</v>
      </c>
    </row>
    <row r="40" spans="2:13" x14ac:dyDescent="0.25">
      <c r="B40" s="1230"/>
      <c r="C40" s="1233"/>
      <c r="D40" s="681" t="s">
        <v>302</v>
      </c>
      <c r="E40" s="676" t="s">
        <v>303</v>
      </c>
      <c r="F40" s="676" t="s">
        <v>301</v>
      </c>
      <c r="G40" s="676" t="s">
        <v>304</v>
      </c>
      <c r="H40" s="678">
        <f>3490752+550000</f>
        <v>4040752</v>
      </c>
      <c r="I40" s="677">
        <f>+(H40*(1+$M$7))*(1+M8)</f>
        <v>4222585.84</v>
      </c>
      <c r="J40" s="678">
        <v>194679</v>
      </c>
      <c r="K40" s="682">
        <v>69789</v>
      </c>
      <c r="L40" s="673">
        <f>I40+J40+K40</f>
        <v>4487053.84</v>
      </c>
      <c r="M40" s="1236"/>
    </row>
    <row r="41" spans="2:13" x14ac:dyDescent="0.25">
      <c r="B41" s="1230"/>
      <c r="C41" s="1233"/>
      <c r="D41" s="681"/>
      <c r="E41" s="676"/>
      <c r="F41" s="676" t="s">
        <v>301</v>
      </c>
      <c r="G41" s="676" t="s">
        <v>304</v>
      </c>
      <c r="H41" s="678"/>
      <c r="I41" s="677">
        <f t="shared" si="0"/>
        <v>0</v>
      </c>
      <c r="J41" s="678"/>
      <c r="K41" s="682"/>
      <c r="L41" s="673">
        <f t="shared" si="1"/>
        <v>0</v>
      </c>
      <c r="M41" s="1236"/>
    </row>
    <row r="42" spans="2:13" x14ac:dyDescent="0.25">
      <c r="B42" s="1230"/>
      <c r="C42" s="1233"/>
      <c r="D42" s="681"/>
      <c r="E42" s="676"/>
      <c r="F42" s="676"/>
      <c r="G42" s="676"/>
      <c r="H42" s="678"/>
      <c r="I42" s="677">
        <f t="shared" si="0"/>
        <v>0</v>
      </c>
      <c r="J42" s="678"/>
      <c r="K42" s="682"/>
      <c r="L42" s="673">
        <f t="shared" si="1"/>
        <v>0</v>
      </c>
      <c r="M42" s="1236"/>
    </row>
    <row r="43" spans="2:13" x14ac:dyDescent="0.25">
      <c r="B43" s="1230"/>
      <c r="C43" s="1233"/>
      <c r="D43" s="681"/>
      <c r="E43" s="676"/>
      <c r="F43" s="676"/>
      <c r="G43" s="676"/>
      <c r="H43" s="678"/>
      <c r="I43" s="677">
        <f t="shared" si="0"/>
        <v>0</v>
      </c>
      <c r="J43" s="678"/>
      <c r="K43" s="682"/>
      <c r="L43" s="673">
        <f t="shared" si="1"/>
        <v>0</v>
      </c>
      <c r="M43" s="1236"/>
    </row>
    <row r="44" spans="2:13" x14ac:dyDescent="0.25">
      <c r="B44" s="1230"/>
      <c r="C44" s="1233"/>
      <c r="D44" s="681"/>
      <c r="E44" s="676"/>
      <c r="F44" s="676"/>
      <c r="G44" s="676"/>
      <c r="H44" s="678"/>
      <c r="I44" s="677">
        <f t="shared" si="0"/>
        <v>0</v>
      </c>
      <c r="J44" s="678"/>
      <c r="K44" s="682"/>
      <c r="L44" s="673">
        <f t="shared" si="1"/>
        <v>0</v>
      </c>
      <c r="M44" s="1236"/>
    </row>
    <row r="45" spans="2:13" ht="15.75" thickBot="1" x14ac:dyDescent="0.3">
      <c r="B45" s="1230"/>
      <c r="C45" s="1234"/>
      <c r="D45" s="683"/>
      <c r="E45" s="663"/>
      <c r="F45" s="663"/>
      <c r="G45" s="663"/>
      <c r="H45" s="664"/>
      <c r="I45" s="684">
        <f t="shared" si="0"/>
        <v>0</v>
      </c>
      <c r="J45" s="664"/>
      <c r="K45" s="685"/>
      <c r="L45" s="674">
        <f t="shared" si="1"/>
        <v>0</v>
      </c>
      <c r="M45" s="1236"/>
    </row>
    <row r="46" spans="2:13" x14ac:dyDescent="0.25">
      <c r="B46" s="1230"/>
      <c r="C46" s="1232" t="s">
        <v>177</v>
      </c>
      <c r="D46" s="645"/>
      <c r="E46" s="146"/>
      <c r="F46" s="453"/>
      <c r="G46" s="146"/>
      <c r="H46" s="163"/>
      <c r="I46" s="675">
        <f t="shared" si="0"/>
        <v>0</v>
      </c>
      <c r="J46" s="163"/>
      <c r="K46" s="662"/>
      <c r="L46" s="606">
        <f t="shared" si="1"/>
        <v>0</v>
      </c>
      <c r="M46" s="1236"/>
    </row>
    <row r="47" spans="2:13" x14ac:dyDescent="0.25">
      <c r="B47" s="1230"/>
      <c r="C47" s="1233"/>
      <c r="D47" s="647"/>
      <c r="E47" s="648"/>
      <c r="F47" s="648"/>
      <c r="G47" s="648"/>
      <c r="H47" s="649"/>
      <c r="I47" s="170">
        <f t="shared" si="0"/>
        <v>0</v>
      </c>
      <c r="J47" s="167"/>
      <c r="K47" s="605"/>
      <c r="L47" s="589">
        <f t="shared" si="1"/>
        <v>0</v>
      </c>
      <c r="M47" s="1236"/>
    </row>
    <row r="48" spans="2:13" x14ac:dyDescent="0.25">
      <c r="B48" s="1230"/>
      <c r="C48" s="1233"/>
      <c r="D48" s="647"/>
      <c r="E48" s="648"/>
      <c r="F48" s="648"/>
      <c r="G48" s="648"/>
      <c r="H48" s="649"/>
      <c r="I48" s="170">
        <f t="shared" si="0"/>
        <v>0</v>
      </c>
      <c r="J48" s="167"/>
      <c r="K48" s="605"/>
      <c r="L48" s="589">
        <f t="shared" si="1"/>
        <v>0</v>
      </c>
      <c r="M48" s="1236"/>
    </row>
    <row r="49" spans="2:13" x14ac:dyDescent="0.25">
      <c r="B49" s="1230"/>
      <c r="C49" s="1233"/>
      <c r="D49" s="144"/>
      <c r="E49" s="143"/>
      <c r="F49" s="143"/>
      <c r="G49" s="143"/>
      <c r="H49" s="142"/>
      <c r="I49" s="170">
        <f t="shared" si="0"/>
        <v>0</v>
      </c>
      <c r="J49" s="167"/>
      <c r="K49" s="605"/>
      <c r="L49" s="589">
        <f t="shared" si="1"/>
        <v>0</v>
      </c>
      <c r="M49" s="1236"/>
    </row>
    <row r="50" spans="2:13" x14ac:dyDescent="0.25">
      <c r="B50" s="1230"/>
      <c r="C50" s="1233"/>
      <c r="D50" s="168"/>
      <c r="E50" s="169"/>
      <c r="F50" s="169"/>
      <c r="G50" s="169"/>
      <c r="H50" s="167"/>
      <c r="I50" s="170">
        <f t="shared" si="0"/>
        <v>0</v>
      </c>
      <c r="J50" s="167"/>
      <c r="K50" s="605"/>
      <c r="L50" s="589">
        <f t="shared" si="1"/>
        <v>0</v>
      </c>
      <c r="M50" s="1236"/>
    </row>
    <row r="51" spans="2:13" x14ac:dyDescent="0.25">
      <c r="B51" s="1230"/>
      <c r="C51" s="1233"/>
      <c r="D51" s="168"/>
      <c r="E51" s="169"/>
      <c r="F51" s="169"/>
      <c r="G51" s="169"/>
      <c r="H51" s="167"/>
      <c r="I51" s="170">
        <f t="shared" si="0"/>
        <v>0</v>
      </c>
      <c r="J51" s="167"/>
      <c r="K51" s="605"/>
      <c r="L51" s="589">
        <f t="shared" si="1"/>
        <v>0</v>
      </c>
      <c r="M51" s="1236"/>
    </row>
    <row r="52" spans="2:13" ht="15.75" thickBot="1" x14ac:dyDescent="0.3">
      <c r="B52" s="1230"/>
      <c r="C52" s="1234"/>
      <c r="D52" s="688"/>
      <c r="E52" s="689"/>
      <c r="F52" s="689"/>
      <c r="G52" s="689"/>
      <c r="H52" s="690"/>
      <c r="I52" s="691">
        <f t="shared" si="0"/>
        <v>0</v>
      </c>
      <c r="J52" s="690"/>
      <c r="K52" s="692"/>
      <c r="L52" s="591">
        <f t="shared" si="1"/>
        <v>0</v>
      </c>
      <c r="M52" s="1236"/>
    </row>
    <row r="53" spans="2:13" x14ac:dyDescent="0.25">
      <c r="B53" s="1229" t="str">
        <f>+'B) Reajuste Tarifas y Ocupación'!A27</f>
        <v>Sala de Maquinas</v>
      </c>
      <c r="C53" s="1232" t="s">
        <v>176</v>
      </c>
      <c r="D53" s="654"/>
      <c r="E53" s="646"/>
      <c r="F53" s="646"/>
      <c r="G53" s="646"/>
      <c r="H53" s="652"/>
      <c r="I53" s="655">
        <f>+H53*(1+$M$7)</f>
        <v>0</v>
      </c>
      <c r="J53" s="652"/>
      <c r="K53" s="680"/>
      <c r="L53" s="672">
        <f t="shared" si="1"/>
        <v>0</v>
      </c>
      <c r="M53" s="1235">
        <f>SUM(L53:L66)</f>
        <v>0</v>
      </c>
    </row>
    <row r="54" spans="2:13" x14ac:dyDescent="0.25">
      <c r="B54" s="1230"/>
      <c r="C54" s="1233"/>
      <c r="D54" s="681" t="s">
        <v>302</v>
      </c>
      <c r="E54" s="676" t="s">
        <v>303</v>
      </c>
      <c r="F54" s="676" t="s">
        <v>301</v>
      </c>
      <c r="G54" s="676" t="s">
        <v>304</v>
      </c>
      <c r="H54" s="678"/>
      <c r="I54" s="677">
        <f>+(H54*(1+$M$7))*(1+M8)</f>
        <v>0</v>
      </c>
      <c r="J54" s="678"/>
      <c r="K54" s="682"/>
      <c r="L54" s="673">
        <f>I54+J54+K54</f>
        <v>0</v>
      </c>
      <c r="M54" s="1236"/>
    </row>
    <row r="55" spans="2:13" x14ac:dyDescent="0.25">
      <c r="B55" s="1230"/>
      <c r="C55" s="1233"/>
      <c r="D55" s="681"/>
      <c r="E55" s="676"/>
      <c r="F55" s="676" t="s">
        <v>301</v>
      </c>
      <c r="G55" s="676" t="s">
        <v>304</v>
      </c>
      <c r="H55" s="678"/>
      <c r="I55" s="677">
        <f t="shared" si="0"/>
        <v>0</v>
      </c>
      <c r="J55" s="678"/>
      <c r="K55" s="682"/>
      <c r="L55" s="673">
        <f t="shared" si="1"/>
        <v>0</v>
      </c>
      <c r="M55" s="1236"/>
    </row>
    <row r="56" spans="2:13" x14ac:dyDescent="0.25">
      <c r="B56" s="1230"/>
      <c r="C56" s="1233"/>
      <c r="D56" s="681"/>
      <c r="E56" s="676"/>
      <c r="F56" s="676"/>
      <c r="G56" s="676"/>
      <c r="H56" s="678"/>
      <c r="I56" s="677">
        <f t="shared" si="0"/>
        <v>0</v>
      </c>
      <c r="J56" s="678"/>
      <c r="K56" s="682"/>
      <c r="L56" s="673">
        <f t="shared" si="1"/>
        <v>0</v>
      </c>
      <c r="M56" s="1236"/>
    </row>
    <row r="57" spans="2:13" x14ac:dyDescent="0.25">
      <c r="B57" s="1230"/>
      <c r="C57" s="1233"/>
      <c r="D57" s="681"/>
      <c r="E57" s="676"/>
      <c r="F57" s="676"/>
      <c r="G57" s="676"/>
      <c r="H57" s="678"/>
      <c r="I57" s="677">
        <f t="shared" si="0"/>
        <v>0</v>
      </c>
      <c r="J57" s="678"/>
      <c r="K57" s="682"/>
      <c r="L57" s="673">
        <f t="shared" si="1"/>
        <v>0</v>
      </c>
      <c r="M57" s="1236"/>
    </row>
    <row r="58" spans="2:13" x14ac:dyDescent="0.25">
      <c r="B58" s="1230"/>
      <c r="C58" s="1233"/>
      <c r="D58" s="681"/>
      <c r="E58" s="676"/>
      <c r="F58" s="676"/>
      <c r="G58" s="676"/>
      <c r="H58" s="678"/>
      <c r="I58" s="677">
        <f t="shared" si="0"/>
        <v>0</v>
      </c>
      <c r="J58" s="678"/>
      <c r="K58" s="682"/>
      <c r="L58" s="673">
        <f t="shared" si="1"/>
        <v>0</v>
      </c>
      <c r="M58" s="1236"/>
    </row>
    <row r="59" spans="2:13" ht="15.75" thickBot="1" x14ac:dyDescent="0.3">
      <c r="B59" s="1230"/>
      <c r="C59" s="1234"/>
      <c r="D59" s="683"/>
      <c r="E59" s="663"/>
      <c r="F59" s="663"/>
      <c r="G59" s="663"/>
      <c r="H59" s="664"/>
      <c r="I59" s="684">
        <f t="shared" si="0"/>
        <v>0</v>
      </c>
      <c r="J59" s="664"/>
      <c r="K59" s="685"/>
      <c r="L59" s="687">
        <f t="shared" si="1"/>
        <v>0</v>
      </c>
      <c r="M59" s="1236"/>
    </row>
    <row r="60" spans="2:13" x14ac:dyDescent="0.25">
      <c r="B60" s="1230"/>
      <c r="C60" s="1232" t="s">
        <v>177</v>
      </c>
      <c r="D60" s="645"/>
      <c r="E60" s="146"/>
      <c r="F60" s="146"/>
      <c r="G60" s="146"/>
      <c r="H60" s="163"/>
      <c r="I60" s="675">
        <f t="shared" si="0"/>
        <v>0</v>
      </c>
      <c r="J60" s="163"/>
      <c r="K60" s="662"/>
      <c r="L60" s="606">
        <f t="shared" si="1"/>
        <v>0</v>
      </c>
      <c r="M60" s="1236"/>
    </row>
    <row r="61" spans="2:13" x14ac:dyDescent="0.25">
      <c r="B61" s="1230"/>
      <c r="C61" s="1233"/>
      <c r="D61" s="168"/>
      <c r="E61" s="169"/>
      <c r="F61" s="169"/>
      <c r="G61" s="169"/>
      <c r="H61" s="167"/>
      <c r="I61" s="170">
        <f t="shared" si="0"/>
        <v>0</v>
      </c>
      <c r="J61" s="167"/>
      <c r="K61" s="605"/>
      <c r="L61" s="589">
        <f t="shared" si="1"/>
        <v>0</v>
      </c>
      <c r="M61" s="1236"/>
    </row>
    <row r="62" spans="2:13" x14ac:dyDescent="0.25">
      <c r="B62" s="1230"/>
      <c r="C62" s="1233"/>
      <c r="D62" s="168"/>
      <c r="E62" s="169"/>
      <c r="F62" s="169"/>
      <c r="G62" s="169"/>
      <c r="H62" s="167"/>
      <c r="I62" s="170">
        <f t="shared" si="0"/>
        <v>0</v>
      </c>
      <c r="J62" s="167"/>
      <c r="K62" s="605"/>
      <c r="L62" s="589">
        <f t="shared" si="1"/>
        <v>0</v>
      </c>
      <c r="M62" s="1236"/>
    </row>
    <row r="63" spans="2:13" x14ac:dyDescent="0.25">
      <c r="B63" s="1230"/>
      <c r="C63" s="1233"/>
      <c r="D63" s="168"/>
      <c r="E63" s="169"/>
      <c r="F63" s="169"/>
      <c r="G63" s="169"/>
      <c r="H63" s="167"/>
      <c r="I63" s="170">
        <f t="shared" si="0"/>
        <v>0</v>
      </c>
      <c r="J63" s="167"/>
      <c r="K63" s="605"/>
      <c r="L63" s="589">
        <f t="shared" si="1"/>
        <v>0</v>
      </c>
      <c r="M63" s="1236"/>
    </row>
    <row r="64" spans="2:13" x14ac:dyDescent="0.25">
      <c r="B64" s="1230"/>
      <c r="C64" s="1233"/>
      <c r="D64" s="168"/>
      <c r="E64" s="169"/>
      <c r="F64" s="169"/>
      <c r="G64" s="169"/>
      <c r="H64" s="167"/>
      <c r="I64" s="170">
        <f t="shared" si="0"/>
        <v>0</v>
      </c>
      <c r="J64" s="167"/>
      <c r="K64" s="605"/>
      <c r="L64" s="589">
        <f t="shared" si="1"/>
        <v>0</v>
      </c>
      <c r="M64" s="1236"/>
    </row>
    <row r="65" spans="2:13" x14ac:dyDescent="0.25">
      <c r="B65" s="1230"/>
      <c r="C65" s="1233"/>
      <c r="D65" s="168"/>
      <c r="E65" s="169"/>
      <c r="F65" s="169"/>
      <c r="G65" s="169"/>
      <c r="H65" s="167"/>
      <c r="I65" s="170">
        <f t="shared" si="0"/>
        <v>0</v>
      </c>
      <c r="J65" s="167"/>
      <c r="K65" s="605"/>
      <c r="L65" s="589">
        <f t="shared" si="1"/>
        <v>0</v>
      </c>
      <c r="M65" s="1236"/>
    </row>
    <row r="66" spans="2:13" ht="15.75" thickBot="1" x14ac:dyDescent="0.3">
      <c r="B66" s="1231"/>
      <c r="C66" s="1234"/>
      <c r="D66" s="688"/>
      <c r="E66" s="689"/>
      <c r="F66" s="689"/>
      <c r="G66" s="689"/>
      <c r="H66" s="690"/>
      <c r="I66" s="691">
        <f t="shared" si="0"/>
        <v>0</v>
      </c>
      <c r="J66" s="690"/>
      <c r="K66" s="692"/>
      <c r="L66" s="591">
        <f t="shared" si="1"/>
        <v>0</v>
      </c>
      <c r="M66" s="1237"/>
    </row>
    <row r="67" spans="2:13" x14ac:dyDescent="0.25">
      <c r="B67" s="1229" t="str">
        <f>'B) Reajuste Tarifas y Ocupación'!A23</f>
        <v>Quincho Cabo de Hornos</v>
      </c>
      <c r="C67" s="1232" t="s">
        <v>176</v>
      </c>
      <c r="D67" s="654"/>
      <c r="E67" s="646"/>
      <c r="F67" s="646"/>
      <c r="G67" s="646"/>
      <c r="H67" s="652"/>
      <c r="I67" s="655">
        <f>+H67*(1+$M$7)</f>
        <v>0</v>
      </c>
      <c r="J67" s="652"/>
      <c r="K67" s="680"/>
      <c r="L67" s="672">
        <f t="shared" si="1"/>
        <v>0</v>
      </c>
      <c r="M67" s="1235">
        <f>SUM(L67:L80)</f>
        <v>0</v>
      </c>
    </row>
    <row r="68" spans="2:13" x14ac:dyDescent="0.25">
      <c r="B68" s="1230"/>
      <c r="C68" s="1233"/>
      <c r="D68" s="681" t="s">
        <v>302</v>
      </c>
      <c r="E68" s="676" t="s">
        <v>303</v>
      </c>
      <c r="F68" s="676" t="s">
        <v>301</v>
      </c>
      <c r="G68" s="676" t="s">
        <v>304</v>
      </c>
      <c r="H68" s="678"/>
      <c r="I68" s="677">
        <f>+(H68*(1+$M$7))*(1+M8)</f>
        <v>0</v>
      </c>
      <c r="J68" s="678"/>
      <c r="K68" s="682"/>
      <c r="L68" s="673">
        <f>I68+J68+K68</f>
        <v>0</v>
      </c>
      <c r="M68" s="1236"/>
    </row>
    <row r="69" spans="2:13" x14ac:dyDescent="0.25">
      <c r="B69" s="1230"/>
      <c r="C69" s="1233"/>
      <c r="D69" s="681"/>
      <c r="E69" s="676"/>
      <c r="F69" s="676"/>
      <c r="G69" s="676"/>
      <c r="H69" s="678"/>
      <c r="I69" s="677">
        <f t="shared" ref="I69:I80" si="2">+H69*(1+$M$7)</f>
        <v>0</v>
      </c>
      <c r="J69" s="678"/>
      <c r="K69" s="682"/>
      <c r="L69" s="673">
        <f t="shared" si="1"/>
        <v>0</v>
      </c>
      <c r="M69" s="1236"/>
    </row>
    <row r="70" spans="2:13" x14ac:dyDescent="0.25">
      <c r="B70" s="1230"/>
      <c r="C70" s="1233"/>
      <c r="D70" s="681"/>
      <c r="E70" s="676"/>
      <c r="F70" s="676"/>
      <c r="G70" s="676"/>
      <c r="H70" s="678"/>
      <c r="I70" s="677">
        <f t="shared" si="2"/>
        <v>0</v>
      </c>
      <c r="J70" s="678"/>
      <c r="K70" s="682"/>
      <c r="L70" s="673">
        <f t="shared" si="1"/>
        <v>0</v>
      </c>
      <c r="M70" s="1236"/>
    </row>
    <row r="71" spans="2:13" x14ac:dyDescent="0.25">
      <c r="B71" s="1230"/>
      <c r="C71" s="1233"/>
      <c r="D71" s="681"/>
      <c r="E71" s="676"/>
      <c r="F71" s="676"/>
      <c r="G71" s="676"/>
      <c r="H71" s="678"/>
      <c r="I71" s="677">
        <f t="shared" si="2"/>
        <v>0</v>
      </c>
      <c r="J71" s="678"/>
      <c r="K71" s="682"/>
      <c r="L71" s="673">
        <f t="shared" si="1"/>
        <v>0</v>
      </c>
      <c r="M71" s="1236"/>
    </row>
    <row r="72" spans="2:13" x14ac:dyDescent="0.25">
      <c r="B72" s="1230"/>
      <c r="C72" s="1233"/>
      <c r="D72" s="681"/>
      <c r="E72" s="676"/>
      <c r="F72" s="676"/>
      <c r="G72" s="676"/>
      <c r="H72" s="678"/>
      <c r="I72" s="677">
        <f t="shared" si="2"/>
        <v>0</v>
      </c>
      <c r="J72" s="678"/>
      <c r="K72" s="682"/>
      <c r="L72" s="673">
        <f t="shared" si="1"/>
        <v>0</v>
      </c>
      <c r="M72" s="1236"/>
    </row>
    <row r="73" spans="2:13" ht="15.75" thickBot="1" x14ac:dyDescent="0.3">
      <c r="B73" s="1230"/>
      <c r="C73" s="1234"/>
      <c r="D73" s="683"/>
      <c r="E73" s="663"/>
      <c r="F73" s="663"/>
      <c r="G73" s="663"/>
      <c r="H73" s="664"/>
      <c r="I73" s="684">
        <f t="shared" si="2"/>
        <v>0</v>
      </c>
      <c r="J73" s="664"/>
      <c r="K73" s="685"/>
      <c r="L73" s="674">
        <f t="shared" si="1"/>
        <v>0</v>
      </c>
      <c r="M73" s="1236"/>
    </row>
    <row r="74" spans="2:13" x14ac:dyDescent="0.25">
      <c r="B74" s="1230"/>
      <c r="C74" s="1232" t="s">
        <v>177</v>
      </c>
      <c r="D74" s="645"/>
      <c r="E74" s="146"/>
      <c r="F74" s="146"/>
      <c r="G74" s="146"/>
      <c r="H74" s="163"/>
      <c r="I74" s="675">
        <f t="shared" si="2"/>
        <v>0</v>
      </c>
      <c r="J74" s="163"/>
      <c r="K74" s="662"/>
      <c r="L74" s="607">
        <f t="shared" si="1"/>
        <v>0</v>
      </c>
      <c r="M74" s="1236"/>
    </row>
    <row r="75" spans="2:13" x14ac:dyDescent="0.25">
      <c r="B75" s="1230"/>
      <c r="C75" s="1233"/>
      <c r="D75" s="168"/>
      <c r="E75" s="169"/>
      <c r="F75" s="169"/>
      <c r="G75" s="169"/>
      <c r="H75" s="167"/>
      <c r="I75" s="170">
        <f t="shared" si="2"/>
        <v>0</v>
      </c>
      <c r="J75" s="167"/>
      <c r="K75" s="605"/>
      <c r="L75" s="589">
        <f t="shared" si="1"/>
        <v>0</v>
      </c>
      <c r="M75" s="1236"/>
    </row>
    <row r="76" spans="2:13" x14ac:dyDescent="0.25">
      <c r="B76" s="1230"/>
      <c r="C76" s="1233"/>
      <c r="D76" s="168"/>
      <c r="E76" s="169"/>
      <c r="F76" s="169"/>
      <c r="G76" s="169"/>
      <c r="H76" s="167"/>
      <c r="I76" s="170">
        <f t="shared" si="2"/>
        <v>0</v>
      </c>
      <c r="J76" s="167"/>
      <c r="K76" s="605"/>
      <c r="L76" s="589">
        <f>I76*(1+$M$8)+J76+K76</f>
        <v>0</v>
      </c>
      <c r="M76" s="1236"/>
    </row>
    <row r="77" spans="2:13" x14ac:dyDescent="0.25">
      <c r="B77" s="1230"/>
      <c r="C77" s="1233"/>
      <c r="D77" s="168"/>
      <c r="E77" s="169"/>
      <c r="F77" s="169"/>
      <c r="G77" s="169"/>
      <c r="H77" s="167"/>
      <c r="I77" s="170">
        <f t="shared" si="2"/>
        <v>0</v>
      </c>
      <c r="J77" s="167"/>
      <c r="K77" s="605"/>
      <c r="L77" s="589">
        <f>I77*(1+$M$8)+J77+K77</f>
        <v>0</v>
      </c>
      <c r="M77" s="1236"/>
    </row>
    <row r="78" spans="2:13" x14ac:dyDescent="0.25">
      <c r="B78" s="1230"/>
      <c r="C78" s="1233"/>
      <c r="D78" s="168"/>
      <c r="E78" s="169"/>
      <c r="F78" s="169"/>
      <c r="G78" s="169"/>
      <c r="H78" s="167"/>
      <c r="I78" s="170">
        <f t="shared" si="2"/>
        <v>0</v>
      </c>
      <c r="J78" s="167"/>
      <c r="K78" s="605"/>
      <c r="L78" s="589">
        <f>I78*(1+$M$8)+J78+K78</f>
        <v>0</v>
      </c>
      <c r="M78" s="1236"/>
    </row>
    <row r="79" spans="2:13" x14ac:dyDescent="0.25">
      <c r="B79" s="1230"/>
      <c r="C79" s="1233"/>
      <c r="D79" s="168"/>
      <c r="E79" s="169"/>
      <c r="F79" s="169"/>
      <c r="G79" s="169"/>
      <c r="H79" s="167"/>
      <c r="I79" s="170">
        <f t="shared" si="2"/>
        <v>0</v>
      </c>
      <c r="J79" s="167"/>
      <c r="K79" s="605"/>
      <c r="L79" s="589">
        <f>I79*(1+$M$8)+J79+K79</f>
        <v>0</v>
      </c>
      <c r="M79" s="1236"/>
    </row>
    <row r="80" spans="2:13" ht="15.75" thickBot="1" x14ac:dyDescent="0.3">
      <c r="B80" s="1231"/>
      <c r="C80" s="1234"/>
      <c r="D80" s="145"/>
      <c r="E80" s="164"/>
      <c r="F80" s="164"/>
      <c r="G80" s="164"/>
      <c r="H80" s="165"/>
      <c r="I80" s="166">
        <f t="shared" si="2"/>
        <v>0</v>
      </c>
      <c r="J80" s="165"/>
      <c r="K80" s="590"/>
      <c r="L80" s="591">
        <f>I80*(1+$M$8)+J80+K80</f>
        <v>0</v>
      </c>
      <c r="M80" s="1237"/>
    </row>
    <row r="81" spans="8:13" x14ac:dyDescent="0.25">
      <c r="H81" s="670"/>
    </row>
    <row r="82" spans="8:13" x14ac:dyDescent="0.25">
      <c r="I82" s="666"/>
      <c r="M82" s="666"/>
    </row>
    <row r="83" spans="8:13" x14ac:dyDescent="0.25">
      <c r="H83" s="667"/>
      <c r="I83" s="668"/>
    </row>
  </sheetData>
  <mergeCells count="33">
    <mergeCell ref="B7:F7"/>
    <mergeCell ref="B9:B10"/>
    <mergeCell ref="C9:C10"/>
    <mergeCell ref="D9:D10"/>
    <mergeCell ref="E9:E10"/>
    <mergeCell ref="F9:F10"/>
    <mergeCell ref="B25:B38"/>
    <mergeCell ref="C25:C31"/>
    <mergeCell ref="M25:M38"/>
    <mergeCell ref="C32:C38"/>
    <mergeCell ref="G9:G10"/>
    <mergeCell ref="H9:H10"/>
    <mergeCell ref="I9:I10"/>
    <mergeCell ref="J9:J10"/>
    <mergeCell ref="K9:K10"/>
    <mergeCell ref="L9:L10"/>
    <mergeCell ref="M9:M10"/>
    <mergeCell ref="B11:B24"/>
    <mergeCell ref="C11:C17"/>
    <mergeCell ref="M11:M24"/>
    <mergeCell ref="C18:C24"/>
    <mergeCell ref="B67:B80"/>
    <mergeCell ref="C67:C73"/>
    <mergeCell ref="M67:M80"/>
    <mergeCell ref="C74:C80"/>
    <mergeCell ref="B39:B52"/>
    <mergeCell ref="C39:C45"/>
    <mergeCell ref="M39:M52"/>
    <mergeCell ref="C46:C52"/>
    <mergeCell ref="B53:B66"/>
    <mergeCell ref="C53:C59"/>
    <mergeCell ref="M53:M66"/>
    <mergeCell ref="C60:C6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M34"/>
  <sheetViews>
    <sheetView showGridLines="0" zoomScale="93" zoomScaleNormal="93" workbookViewId="0">
      <selection activeCell="O37" sqref="O37"/>
    </sheetView>
  </sheetViews>
  <sheetFormatPr baseColWidth="10" defaultRowHeight="15" x14ac:dyDescent="0.25"/>
  <cols>
    <col min="1" max="1" width="24.85546875" style="44" customWidth="1"/>
    <col min="2" max="2" width="53" style="44" bestFit="1" customWidth="1"/>
    <col min="3" max="8" width="14.7109375" style="44" customWidth="1"/>
    <col min="9" max="9" width="39.42578125" style="44" bestFit="1" customWidth="1"/>
    <col min="10" max="10" width="14.7109375" style="44" customWidth="1"/>
    <col min="11" max="11" width="33.5703125" style="44" bestFit="1" customWidth="1"/>
    <col min="12" max="12" width="14.7109375" style="44" customWidth="1"/>
    <col min="13" max="13" width="14.28515625" style="44" customWidth="1"/>
  </cols>
  <sheetData>
    <row r="1" spans="1:13" x14ac:dyDescent="0.25">
      <c r="B1" s="46"/>
      <c r="C1" s="46"/>
      <c r="D1" s="46"/>
      <c r="E1" s="46"/>
      <c r="F1" s="46"/>
      <c r="G1" s="46"/>
      <c r="H1" s="46"/>
      <c r="I1" s="46"/>
      <c r="J1" s="46"/>
      <c r="L1" s="46"/>
    </row>
    <row r="2" spans="1:13" x14ac:dyDescent="0.25">
      <c r="B2" s="46"/>
      <c r="C2" s="46"/>
      <c r="D2" s="46" t="s">
        <v>178</v>
      </c>
      <c r="E2" s="46"/>
      <c r="F2" s="46"/>
      <c r="G2" s="46"/>
      <c r="H2" s="46"/>
      <c r="I2" s="46"/>
      <c r="J2" s="46"/>
      <c r="L2" s="46"/>
    </row>
    <row r="3" spans="1:13" x14ac:dyDescent="0.25">
      <c r="C3" s="34"/>
      <c r="D3" s="34"/>
      <c r="E3" s="34"/>
      <c r="F3" s="34"/>
      <c r="G3" s="34"/>
      <c r="H3" s="34"/>
      <c r="J3" s="34"/>
      <c r="L3" s="34"/>
    </row>
    <row r="4" spans="1:13" ht="15.75" x14ac:dyDescent="0.25">
      <c r="C4" s="171" t="s">
        <v>1</v>
      </c>
      <c r="D4" s="1260" t="s">
        <v>2</v>
      </c>
      <c r="E4" s="1261"/>
      <c r="F4" s="46"/>
      <c r="G4" s="46"/>
      <c r="H4" s="46"/>
      <c r="J4" s="46"/>
      <c r="L4" s="46"/>
    </row>
    <row r="5" spans="1:13" x14ac:dyDescent="0.25">
      <c r="A5" s="50"/>
      <c r="B5" s="50"/>
      <c r="C5" s="46"/>
      <c r="D5" s="46"/>
      <c r="E5" s="46"/>
      <c r="F5" s="46"/>
      <c r="G5" s="46"/>
      <c r="H5" s="46"/>
      <c r="I5" s="46"/>
      <c r="J5" s="46"/>
      <c r="L5" s="46"/>
    </row>
    <row r="6" spans="1:13" x14ac:dyDescent="0.25">
      <c r="A6" s="50"/>
      <c r="B6" s="50"/>
      <c r="C6" s="46"/>
      <c r="D6" s="46"/>
      <c r="E6" s="46"/>
      <c r="F6" s="46"/>
      <c r="G6" s="46"/>
      <c r="H6" s="46"/>
      <c r="I6" s="46"/>
      <c r="J6" s="46"/>
      <c r="L6" s="46"/>
    </row>
    <row r="7" spans="1:13" x14ac:dyDescent="0.25">
      <c r="A7" s="1262" t="s">
        <v>179</v>
      </c>
      <c r="B7" s="1263"/>
      <c r="C7" s="1263"/>
      <c r="D7" s="1263"/>
      <c r="E7" s="1263"/>
      <c r="F7" s="1263"/>
      <c r="G7" s="1263"/>
      <c r="H7" s="1263"/>
      <c r="I7" s="1263"/>
      <c r="J7" s="1263"/>
      <c r="K7" s="1263"/>
      <c r="L7" s="1264"/>
    </row>
    <row r="8" spans="1:13" x14ac:dyDescent="0.25">
      <c r="A8" s="1265"/>
      <c r="B8" s="1266"/>
      <c r="C8" s="1266"/>
      <c r="D8" s="1266"/>
      <c r="E8" s="1266"/>
      <c r="F8" s="1266"/>
      <c r="G8" s="1266"/>
      <c r="H8" s="1266"/>
      <c r="I8" s="1266"/>
      <c r="J8" s="1266"/>
      <c r="K8" s="1266"/>
      <c r="L8" s="1267"/>
    </row>
    <row r="9" spans="1:13" x14ac:dyDescent="0.25">
      <c r="A9" s="1265"/>
      <c r="B9" s="1266"/>
      <c r="C9" s="1266"/>
      <c r="D9" s="1266"/>
      <c r="E9" s="1266"/>
      <c r="F9" s="1266"/>
      <c r="G9" s="1266"/>
      <c r="H9" s="1266"/>
      <c r="I9" s="1266"/>
      <c r="J9" s="1266"/>
      <c r="K9" s="1266"/>
      <c r="L9" s="1267"/>
    </row>
    <row r="10" spans="1:13" x14ac:dyDescent="0.25">
      <c r="A10" s="1268"/>
      <c r="B10" s="1269"/>
      <c r="C10" s="1269"/>
      <c r="D10" s="1269"/>
      <c r="E10" s="1269"/>
      <c r="F10" s="1269"/>
      <c r="G10" s="1269"/>
      <c r="H10" s="1269"/>
      <c r="I10" s="1269"/>
      <c r="J10" s="1269"/>
      <c r="K10" s="1269"/>
      <c r="L10" s="1270"/>
    </row>
    <row r="11" spans="1:13" x14ac:dyDescent="0.25">
      <c r="A11" s="172"/>
      <c r="B11" s="172"/>
      <c r="C11" s="172"/>
      <c r="D11" s="172"/>
      <c r="E11" s="172"/>
      <c r="F11" s="172"/>
      <c r="G11" s="172"/>
      <c r="H11" s="172"/>
      <c r="I11" s="172"/>
      <c r="J11" s="172"/>
      <c r="K11" s="172"/>
      <c r="L11" s="172"/>
    </row>
    <row r="12" spans="1:13" x14ac:dyDescent="0.25">
      <c r="A12" s="172"/>
      <c r="B12" s="172"/>
      <c r="C12" s="172"/>
      <c r="D12" s="172"/>
      <c r="E12" s="172"/>
      <c r="H12" s="172"/>
      <c r="I12" s="172"/>
      <c r="J12" s="172"/>
      <c r="K12" s="172"/>
      <c r="L12" s="172"/>
    </row>
    <row r="13" spans="1:13" ht="15.75" x14ac:dyDescent="0.25">
      <c r="A13" s="1221" t="s">
        <v>180</v>
      </c>
      <c r="B13" s="1221"/>
      <c r="C13" s="1221"/>
      <c r="D13" s="1221"/>
      <c r="E13" s="172"/>
      <c r="F13" s="172"/>
      <c r="G13" s="137"/>
      <c r="H13" s="172"/>
      <c r="I13" s="172"/>
      <c r="J13" s="172"/>
      <c r="K13" s="172"/>
      <c r="L13" s="172"/>
    </row>
    <row r="14" spans="1:13" ht="15.75" thickBot="1" x14ac:dyDescent="0.3">
      <c r="A14" s="50"/>
      <c r="B14" s="50"/>
      <c r="C14" s="46"/>
      <c r="D14" s="46"/>
      <c r="E14" s="46"/>
      <c r="F14" s="46"/>
      <c r="G14" s="46"/>
      <c r="H14" s="46"/>
      <c r="I14" s="46"/>
      <c r="J14" s="46"/>
      <c r="L14" s="46"/>
    </row>
    <row r="15" spans="1:13" ht="19.5" customHeight="1" thickBot="1" x14ac:dyDescent="0.3">
      <c r="A15" s="1271" t="s">
        <v>4</v>
      </c>
      <c r="B15" s="1273" t="s">
        <v>22</v>
      </c>
      <c r="C15" s="1275" t="s">
        <v>295</v>
      </c>
      <c r="D15" s="1276"/>
      <c r="E15" s="1277"/>
      <c r="F15" s="1278" t="s">
        <v>181</v>
      </c>
      <c r="G15" s="1278"/>
      <c r="H15" s="1279"/>
      <c r="I15" s="1280" t="s">
        <v>182</v>
      </c>
      <c r="J15" s="1280"/>
      <c r="K15" s="1281" t="s">
        <v>183</v>
      </c>
      <c r="L15" s="1282"/>
      <c r="M15" s="1252" t="s">
        <v>184</v>
      </c>
    </row>
    <row r="16" spans="1:13" ht="27.75" customHeight="1" thickBot="1" x14ac:dyDescent="0.3">
      <c r="A16" s="1272"/>
      <c r="B16" s="1274"/>
      <c r="C16" s="402" t="s">
        <v>169</v>
      </c>
      <c r="D16" s="403" t="s">
        <v>170</v>
      </c>
      <c r="E16" s="404" t="s">
        <v>171</v>
      </c>
      <c r="F16" s="405" t="s">
        <v>169</v>
      </c>
      <c r="G16" s="406" t="s">
        <v>170</v>
      </c>
      <c r="H16" s="407" t="s">
        <v>171</v>
      </c>
      <c r="I16" s="376" t="s">
        <v>185</v>
      </c>
      <c r="J16" s="384" t="s">
        <v>186</v>
      </c>
      <c r="K16" s="383" t="s">
        <v>185</v>
      </c>
      <c r="L16" s="382" t="s">
        <v>186</v>
      </c>
      <c r="M16" s="1253"/>
    </row>
    <row r="17" spans="1:13" ht="15.75" thickBot="1" x14ac:dyDescent="0.3">
      <c r="A17" s="1254" t="str">
        <f>+'B) Reajuste Tarifas y Ocupación'!A12</f>
        <v>Casa de Huespedes</v>
      </c>
      <c r="B17" s="243" t="str">
        <f>+'B) Reajuste Tarifas y Ocupación'!B12</f>
        <v>Matrimonial</v>
      </c>
      <c r="C17" s="230">
        <f>+'B) Reajuste Tarifas y Ocupación'!K12</f>
        <v>50200</v>
      </c>
      <c r="D17" s="231">
        <f>+'B) Reajuste Tarifas y Ocupación'!L12</f>
        <v>68300</v>
      </c>
      <c r="E17" s="367">
        <f>+'B) Reajuste Tarifas y Ocupación'!M12</f>
        <v>73900</v>
      </c>
      <c r="F17" s="356">
        <f>IFERROR(C17/$M17,0)</f>
        <v>0</v>
      </c>
      <c r="G17" s="357">
        <f t="shared" ref="G17:H30" si="0">IFERROR(D17/$M17,0)</f>
        <v>0</v>
      </c>
      <c r="H17" s="358">
        <f>IFERROR(E17/$M17,0)</f>
        <v>0</v>
      </c>
      <c r="I17" s="377" t="s">
        <v>305</v>
      </c>
      <c r="J17" s="633">
        <v>0</v>
      </c>
      <c r="K17" s="392" t="s">
        <v>306</v>
      </c>
      <c r="L17" s="393">
        <v>0</v>
      </c>
      <c r="M17" s="389">
        <f>AVERAGE(J17,L17)</f>
        <v>0</v>
      </c>
    </row>
    <row r="18" spans="1:13" ht="15.75" thickBot="1" x14ac:dyDescent="0.3">
      <c r="A18" s="1255"/>
      <c r="B18" s="244" t="str">
        <f>+'B) Reajuste Tarifas y Ocupación'!B13</f>
        <v>Doble</v>
      </c>
      <c r="C18" s="276">
        <f>+'B) Reajuste Tarifas y Ocupación'!K13</f>
        <v>50200</v>
      </c>
      <c r="D18" s="236">
        <f>+'B) Reajuste Tarifas y Ocupación'!L13</f>
        <v>68300</v>
      </c>
      <c r="E18" s="366">
        <f>+'B) Reajuste Tarifas y Ocupación'!M13</f>
        <v>73900</v>
      </c>
      <c r="F18" s="359">
        <f t="shared" ref="F18:F30" si="1">IFERROR(C18/$M18,0)</f>
        <v>0</v>
      </c>
      <c r="G18" s="360">
        <f t="shared" si="0"/>
        <v>0</v>
      </c>
      <c r="H18" s="361">
        <f t="shared" si="0"/>
        <v>0</v>
      </c>
      <c r="I18" s="377" t="s">
        <v>305</v>
      </c>
      <c r="J18" s="634">
        <v>0</v>
      </c>
      <c r="K18" s="392" t="s">
        <v>306</v>
      </c>
      <c r="L18" s="353">
        <v>0</v>
      </c>
      <c r="M18" s="390">
        <f t="shared" ref="M18:M34" si="2">AVERAGE(J18,L18)</f>
        <v>0</v>
      </c>
    </row>
    <row r="19" spans="1:13" ht="15.75" thickBot="1" x14ac:dyDescent="0.3">
      <c r="A19" s="1255"/>
      <c r="B19" s="244" t="str">
        <f>+'B) Reajuste Tarifas y Ocupación'!B14</f>
        <v>Triple</v>
      </c>
      <c r="C19" s="276">
        <f>+'B) Reajuste Tarifas y Ocupación'!K14</f>
        <v>54400</v>
      </c>
      <c r="D19" s="236">
        <f>+'B) Reajuste Tarifas y Ocupación'!L14</f>
        <v>73900</v>
      </c>
      <c r="E19" s="366">
        <f>+'B) Reajuste Tarifas y Ocupación'!M14</f>
        <v>80100</v>
      </c>
      <c r="F19" s="359">
        <f t="shared" si="1"/>
        <v>0</v>
      </c>
      <c r="G19" s="360">
        <f t="shared" si="0"/>
        <v>0</v>
      </c>
      <c r="H19" s="361">
        <f t="shared" si="0"/>
        <v>0</v>
      </c>
      <c r="I19" s="377" t="s">
        <v>305</v>
      </c>
      <c r="J19" s="634">
        <v>0</v>
      </c>
      <c r="K19" s="392" t="s">
        <v>306</v>
      </c>
      <c r="L19" s="353">
        <v>0</v>
      </c>
      <c r="M19" s="390">
        <f t="shared" si="2"/>
        <v>0</v>
      </c>
    </row>
    <row r="20" spans="1:13" x14ac:dyDescent="0.25">
      <c r="A20" s="1255"/>
      <c r="B20" s="244" t="str">
        <f>+'B) Reajuste Tarifas y Ocupación'!B15</f>
        <v>Single</v>
      </c>
      <c r="C20" s="276">
        <f>+'B) Reajuste Tarifas y Ocupación'!K15</f>
        <v>29700</v>
      </c>
      <c r="D20" s="236">
        <f>+'B) Reajuste Tarifas y Ocupación'!L15</f>
        <v>40400</v>
      </c>
      <c r="E20" s="366">
        <f>+'B) Reajuste Tarifas y Ocupación'!M15</f>
        <v>43700</v>
      </c>
      <c r="F20" s="359">
        <f t="shared" si="1"/>
        <v>0</v>
      </c>
      <c r="G20" s="360">
        <f t="shared" si="0"/>
        <v>0</v>
      </c>
      <c r="H20" s="361">
        <f t="shared" si="0"/>
        <v>0</v>
      </c>
      <c r="I20" s="377" t="s">
        <v>305</v>
      </c>
      <c r="J20" s="634">
        <v>0</v>
      </c>
      <c r="K20" s="392" t="s">
        <v>306</v>
      </c>
      <c r="L20" s="353">
        <v>0</v>
      </c>
      <c r="M20" s="390">
        <f t="shared" si="2"/>
        <v>0</v>
      </c>
    </row>
    <row r="21" spans="1:13" x14ac:dyDescent="0.25">
      <c r="A21" s="1255"/>
      <c r="B21" s="244" t="str">
        <f>+'B) Reajuste Tarifas y Ocupación'!B16</f>
        <v>Early check-in/Late check-out</v>
      </c>
      <c r="C21" s="341"/>
      <c r="D21" s="267"/>
      <c r="E21" s="368"/>
      <c r="F21" s="363"/>
      <c r="G21" s="364"/>
      <c r="H21" s="365"/>
      <c r="I21" s="378"/>
      <c r="J21" s="385"/>
      <c r="K21" s="394"/>
      <c r="L21" s="352"/>
      <c r="M21" s="391"/>
    </row>
    <row r="22" spans="1:13" x14ac:dyDescent="0.25">
      <c r="A22" s="1255"/>
      <c r="B22" s="245" t="str">
        <f>+'B) Reajuste Tarifas y Ocupación'!B17</f>
        <v>Matrimonial</v>
      </c>
      <c r="C22" s="276">
        <f>+'B) Reajuste Tarifas y Ocupación'!K17</f>
        <v>15100</v>
      </c>
      <c r="D22" s="236">
        <f>+'B) Reajuste Tarifas y Ocupación'!L17</f>
        <v>20500</v>
      </c>
      <c r="E22" s="366">
        <f>+'B) Reajuste Tarifas y Ocupación'!M17</f>
        <v>22200</v>
      </c>
      <c r="F22" s="359">
        <f t="shared" si="1"/>
        <v>0</v>
      </c>
      <c r="G22" s="360">
        <f t="shared" si="0"/>
        <v>0</v>
      </c>
      <c r="H22" s="361">
        <f t="shared" si="0"/>
        <v>0</v>
      </c>
      <c r="I22" s="379"/>
      <c r="J22" s="386">
        <v>0</v>
      </c>
      <c r="K22" s="395"/>
      <c r="L22" s="351"/>
      <c r="M22" s="390">
        <f>AVERAGE(J22,L22)</f>
        <v>0</v>
      </c>
    </row>
    <row r="23" spans="1:13" x14ac:dyDescent="0.25">
      <c r="A23" s="1255"/>
      <c r="B23" s="245" t="str">
        <f>+'B) Reajuste Tarifas y Ocupación'!B18</f>
        <v>Doble</v>
      </c>
      <c r="C23" s="276">
        <f>+'B) Reajuste Tarifas y Ocupación'!K18</f>
        <v>15100</v>
      </c>
      <c r="D23" s="236">
        <f>+'B) Reajuste Tarifas y Ocupación'!L18</f>
        <v>20500</v>
      </c>
      <c r="E23" s="366">
        <f>+'B) Reajuste Tarifas y Ocupación'!M18</f>
        <v>22200</v>
      </c>
      <c r="F23" s="359">
        <f t="shared" si="1"/>
        <v>0</v>
      </c>
      <c r="G23" s="360">
        <f t="shared" si="0"/>
        <v>0</v>
      </c>
      <c r="H23" s="361">
        <f t="shared" si="0"/>
        <v>0</v>
      </c>
      <c r="I23" s="379"/>
      <c r="J23" s="386">
        <v>0</v>
      </c>
      <c r="K23" s="395"/>
      <c r="L23" s="351"/>
      <c r="M23" s="390">
        <f>AVERAGE(J23,L23)</f>
        <v>0</v>
      </c>
    </row>
    <row r="24" spans="1:13" x14ac:dyDescent="0.25">
      <c r="A24" s="1255"/>
      <c r="B24" s="245" t="str">
        <f>+'B) Reajuste Tarifas y Ocupación'!B19</f>
        <v>Triple</v>
      </c>
      <c r="C24" s="276">
        <f>+'B) Reajuste Tarifas y Ocupación'!K19</f>
        <v>16400</v>
      </c>
      <c r="D24" s="236">
        <f>+'B) Reajuste Tarifas y Ocupación'!L19</f>
        <v>22200</v>
      </c>
      <c r="E24" s="366">
        <f>+'B) Reajuste Tarifas y Ocupación'!M19</f>
        <v>24100</v>
      </c>
      <c r="F24" s="359">
        <f t="shared" si="1"/>
        <v>0</v>
      </c>
      <c r="G24" s="360">
        <f t="shared" si="0"/>
        <v>0</v>
      </c>
      <c r="H24" s="361">
        <f t="shared" si="0"/>
        <v>0</v>
      </c>
      <c r="I24" s="379"/>
      <c r="J24" s="386">
        <v>0</v>
      </c>
      <c r="K24" s="395"/>
      <c r="L24" s="351"/>
      <c r="M24" s="390">
        <f>AVERAGE(J24,L24)</f>
        <v>0</v>
      </c>
    </row>
    <row r="25" spans="1:13" ht="15.75" thickBot="1" x14ac:dyDescent="0.3">
      <c r="A25" s="1255"/>
      <c r="B25" s="350" t="str">
        <f>+'B) Reajuste Tarifas y Ocupación'!B20</f>
        <v>Single</v>
      </c>
      <c r="C25" s="347">
        <f>+'B) Reajuste Tarifas y Ocupación'!K20</f>
        <v>9000</v>
      </c>
      <c r="D25" s="343">
        <f>+'B) Reajuste Tarifas y Ocupación'!L20</f>
        <v>12200</v>
      </c>
      <c r="E25" s="369">
        <f>+'B) Reajuste Tarifas y Ocupación'!M20</f>
        <v>13200</v>
      </c>
      <c r="F25" s="370">
        <f t="shared" si="1"/>
        <v>0</v>
      </c>
      <c r="G25" s="371">
        <f t="shared" si="0"/>
        <v>0</v>
      </c>
      <c r="H25" s="372">
        <f t="shared" si="0"/>
        <v>0</v>
      </c>
      <c r="I25" s="379"/>
      <c r="J25" s="386">
        <v>0</v>
      </c>
      <c r="K25" s="395"/>
      <c r="L25" s="351"/>
      <c r="M25" s="390">
        <f t="shared" si="2"/>
        <v>0</v>
      </c>
    </row>
    <row r="26" spans="1:13" x14ac:dyDescent="0.25">
      <c r="A26" s="1257" t="str">
        <f>+'B) Reajuste Tarifas y Ocupación'!A21</f>
        <v>Sala de Juegos</v>
      </c>
      <c r="B26" s="326" t="str">
        <f>+'B) Reajuste Tarifas y Ocupación'!B21</f>
        <v>Sala de juegos</v>
      </c>
      <c r="C26" s="284">
        <f>+'B) Reajuste Tarifas y Ocupación'!K21</f>
        <v>68000</v>
      </c>
      <c r="D26" s="340">
        <f>+'B) Reajuste Tarifas y Ocupación'!L21</f>
        <v>92400</v>
      </c>
      <c r="E26" s="338">
        <f>+'B) Reajuste Tarifas y Ocupación'!M21</f>
        <v>100200</v>
      </c>
      <c r="F26" s="356">
        <f t="shared" si="1"/>
        <v>0</v>
      </c>
      <c r="G26" s="357">
        <f t="shared" si="0"/>
        <v>0</v>
      </c>
      <c r="H26" s="358">
        <f t="shared" si="0"/>
        <v>0</v>
      </c>
      <c r="I26" s="380" t="s">
        <v>309</v>
      </c>
      <c r="J26" s="387">
        <v>0</v>
      </c>
      <c r="K26" s="396" t="s">
        <v>309</v>
      </c>
      <c r="L26" s="397"/>
      <c r="M26" s="389">
        <f t="shared" si="2"/>
        <v>0</v>
      </c>
    </row>
    <row r="27" spans="1:13" ht="15.75" thickBot="1" x14ac:dyDescent="0.3">
      <c r="A27" s="1259"/>
      <c r="B27" s="537" t="str">
        <f>+'B) Reajuste Tarifas y Ocupación'!B22</f>
        <v>Sala de juegos Lunes a Jueves</v>
      </c>
      <c r="C27" s="538">
        <f>+'B) Reajuste Tarifas y Ocupación'!K22</f>
        <v>27400</v>
      </c>
      <c r="D27" s="502">
        <f>+'B) Reajuste Tarifas y Ocupación'!L22</f>
        <v>37300</v>
      </c>
      <c r="E27" s="503">
        <f>+'B) Reajuste Tarifas y Ocupación'!M22</f>
        <v>40400</v>
      </c>
      <c r="F27" s="539">
        <f t="shared" si="1"/>
        <v>0</v>
      </c>
      <c r="G27" s="540">
        <f t="shared" si="0"/>
        <v>0</v>
      </c>
      <c r="H27" s="541">
        <f t="shared" si="0"/>
        <v>0</v>
      </c>
      <c r="I27" s="542"/>
      <c r="J27" s="543">
        <v>0</v>
      </c>
      <c r="K27" s="544"/>
      <c r="L27" s="545"/>
      <c r="M27" s="546">
        <f t="shared" si="2"/>
        <v>0</v>
      </c>
    </row>
    <row r="28" spans="1:13" ht="30" customHeight="1" x14ac:dyDescent="0.25">
      <c r="A28" s="1257" t="str">
        <f>'B) Reajuste Tarifas y Ocupación'!A23</f>
        <v>Quincho Cabo de Hornos</v>
      </c>
      <c r="B28" s="547" t="str">
        <f>+'B) Reajuste Tarifas y Ocupación'!B23</f>
        <v>Quincho Cabo de Hornos</v>
      </c>
      <c r="C28" s="548">
        <f>+'B) Reajuste Tarifas y Ocupación'!K23</f>
        <v>55400</v>
      </c>
      <c r="D28" s="549">
        <f>+'B) Reajuste Tarifas y Ocupación'!L23</f>
        <v>75300</v>
      </c>
      <c r="E28" s="550">
        <f>+'B) Reajuste Tarifas y Ocupación'!M23</f>
        <v>81600</v>
      </c>
      <c r="F28" s="551">
        <f>IFERROR(C28/$M28,0)</f>
        <v>0</v>
      </c>
      <c r="G28" s="552">
        <f>IFERROR(D28/$M28,0)</f>
        <v>0</v>
      </c>
      <c r="H28" s="553">
        <f>IFERROR(E28/$M28,0)</f>
        <v>0</v>
      </c>
      <c r="I28" s="554"/>
      <c r="J28" s="555">
        <v>0</v>
      </c>
      <c r="K28" s="556"/>
      <c r="L28" s="557"/>
      <c r="M28" s="558">
        <f>AVERAGE(J28,L28)</f>
        <v>0</v>
      </c>
    </row>
    <row r="29" spans="1:13" ht="15.75" thickBot="1" x14ac:dyDescent="0.3">
      <c r="A29" s="1258"/>
      <c r="B29" s="500" t="str">
        <f>+'B) Reajuste Tarifas y Ocupación'!B24</f>
        <v>Quincho Cabo de Hornos Lunes a Jueves</v>
      </c>
      <c r="C29" s="559">
        <f>+'B) Reajuste Tarifas y Ocupación'!K24</f>
        <v>38900</v>
      </c>
      <c r="D29" s="526">
        <f>+'B) Reajuste Tarifas y Ocupación'!L24</f>
        <v>52900</v>
      </c>
      <c r="E29" s="527">
        <f>+'B) Reajuste Tarifas y Ocupación'!M24</f>
        <v>57300</v>
      </c>
      <c r="F29" s="560">
        <f t="shared" si="1"/>
        <v>0</v>
      </c>
      <c r="G29" s="561">
        <f t="shared" si="0"/>
        <v>0</v>
      </c>
      <c r="H29" s="562">
        <f t="shared" si="0"/>
        <v>0</v>
      </c>
      <c r="I29" s="563"/>
      <c r="J29" s="564">
        <v>0</v>
      </c>
      <c r="K29" s="565"/>
      <c r="L29" s="566"/>
      <c r="M29" s="567">
        <f t="shared" si="2"/>
        <v>0</v>
      </c>
    </row>
    <row r="30" spans="1:13" x14ac:dyDescent="0.25">
      <c r="A30" s="1254" t="str">
        <f>+'B) Reajuste Tarifas y Ocupación'!A25</f>
        <v>Cabañas</v>
      </c>
      <c r="B30" s="326" t="str">
        <f>+'B) Reajuste Tarifas y Ocupación'!B25</f>
        <v>Cabaña 6 personas</v>
      </c>
      <c r="C30" s="284">
        <f>+'B) Reajuste Tarifas y Ocupación'!K25</f>
        <v>70800</v>
      </c>
      <c r="D30" s="340">
        <f>+'B) Reajuste Tarifas y Ocupación'!L25</f>
        <v>101100</v>
      </c>
      <c r="E30" s="338">
        <f>+'B) Reajuste Tarifas y Ocupación'!M25</f>
        <v>109600</v>
      </c>
      <c r="F30" s="362">
        <f t="shared" si="1"/>
        <v>0</v>
      </c>
      <c r="G30" s="354">
        <f t="shared" si="0"/>
        <v>0</v>
      </c>
      <c r="H30" s="355">
        <f t="shared" si="0"/>
        <v>0</v>
      </c>
      <c r="I30" s="379" t="s">
        <v>307</v>
      </c>
      <c r="J30" s="386">
        <v>0</v>
      </c>
      <c r="K30" s="395" t="s">
        <v>308</v>
      </c>
      <c r="L30" s="351">
        <v>0</v>
      </c>
      <c r="M30" s="390">
        <f>AVERAGE(J30,L30)</f>
        <v>0</v>
      </c>
    </row>
    <row r="31" spans="1:13" ht="15.75" thickBot="1" x14ac:dyDescent="0.3">
      <c r="A31" s="1256"/>
      <c r="B31" s="251" t="str">
        <f>+'B) Reajuste Tarifas y Ocupación'!B26</f>
        <v>Early check-in/Late check-out Cabañas</v>
      </c>
      <c r="C31" s="342">
        <f>+'B) Reajuste Tarifas y Ocupación'!K26</f>
        <v>21300</v>
      </c>
      <c r="D31" s="149">
        <f>+'B) Reajuste Tarifas y Ocupación'!L26</f>
        <v>30400</v>
      </c>
      <c r="E31" s="150">
        <f>+'B) Reajuste Tarifas y Ocupación'!M26</f>
        <v>32900</v>
      </c>
      <c r="F31" s="539">
        <f>IFERROR(C31/$M31,0)</f>
        <v>0</v>
      </c>
      <c r="G31" s="540">
        <f>IFERROR(D31/$M31,0)</f>
        <v>0</v>
      </c>
      <c r="H31" s="541">
        <f>IFERROR(E31/$M31,0)</f>
        <v>0</v>
      </c>
      <c r="I31" s="379"/>
      <c r="J31" s="386">
        <v>0</v>
      </c>
      <c r="K31" s="395"/>
      <c r="L31" s="351"/>
      <c r="M31" s="546">
        <f t="shared" si="2"/>
        <v>0</v>
      </c>
    </row>
    <row r="32" spans="1:13" x14ac:dyDescent="0.25">
      <c r="A32" s="1255" t="str">
        <f>+'B) Reajuste Tarifas y Ocupación'!A27</f>
        <v>Sala de Maquinas</v>
      </c>
      <c r="B32" s="243" t="str">
        <f>+'B) Reajuste Tarifas y Ocupación'!B27</f>
        <v>Armada</v>
      </c>
      <c r="C32" s="348"/>
      <c r="D32" s="265"/>
      <c r="E32" s="232">
        <f>+'B) Reajuste Tarifas y Ocupación'!M27</f>
        <v>2000</v>
      </c>
      <c r="F32" s="346"/>
      <c r="G32" s="174"/>
      <c r="H32" s="373">
        <f>IFERROR(E32/$M32,0)</f>
        <v>0</v>
      </c>
      <c r="I32" s="380" t="s">
        <v>309</v>
      </c>
      <c r="J32" s="387">
        <v>0</v>
      </c>
      <c r="K32" s="380" t="s">
        <v>309</v>
      </c>
      <c r="L32" s="398"/>
      <c r="M32" s="389">
        <f t="shared" si="2"/>
        <v>0</v>
      </c>
    </row>
    <row r="33" spans="1:13" x14ac:dyDescent="0.25">
      <c r="A33" s="1255"/>
      <c r="B33" s="243" t="str">
        <f>+'B) Reajuste Tarifas y Ocupación'!B28</f>
        <v>Otras Instituciones de las FFAA, Orden y Seguridad</v>
      </c>
      <c r="C33" s="349"/>
      <c r="D33" s="314"/>
      <c r="E33" s="315">
        <f>+'B) Reajuste Tarifas y Ocupación'!M28</f>
        <v>14600</v>
      </c>
      <c r="F33" s="344"/>
      <c r="G33" s="345"/>
      <c r="H33" s="374">
        <f>IFERROR(E33/$M33,0)</f>
        <v>0</v>
      </c>
      <c r="I33" s="379"/>
      <c r="J33" s="386">
        <v>0</v>
      </c>
      <c r="K33" s="399"/>
      <c r="L33" s="400"/>
      <c r="M33" s="390">
        <f>AVERAGE(J33,L33)</f>
        <v>0</v>
      </c>
    </row>
    <row r="34" spans="1:13" ht="15.75" thickBot="1" x14ac:dyDescent="0.3">
      <c r="A34" s="1256"/>
      <c r="B34" s="246" t="str">
        <f>+'B) Reajuste Tarifas y Ocupación'!B29</f>
        <v>Otras instituciones</v>
      </c>
      <c r="C34" s="339"/>
      <c r="D34" s="156"/>
      <c r="E34" s="150">
        <f>+'B) Reajuste Tarifas y Ocupación'!M29</f>
        <v>43800</v>
      </c>
      <c r="F34" s="337"/>
      <c r="G34" s="175"/>
      <c r="H34" s="375">
        <f>IFERROR(E34/$M34,0)</f>
        <v>0</v>
      </c>
      <c r="I34" s="381"/>
      <c r="J34" s="388">
        <v>0</v>
      </c>
      <c r="K34" s="145"/>
      <c r="L34" s="401"/>
      <c r="M34" s="173">
        <f t="shared" si="2"/>
        <v>0</v>
      </c>
    </row>
  </sheetData>
  <sheetProtection algorithmName="SHA-512" hashValue="qIBNSrwrsyBCJNelrdaYSsGLRxg9NauKkB/bHd1095FBmXrJKZOmf56eZPZ1pvVrcazTKZefoH38Qdn32ZFTBQ==" saltValue="f6MmlzdN2nJkesQhvxEubA==" spinCount="100000" sheet="1" objects="1" scenarios="1"/>
  <mergeCells count="15">
    <mergeCell ref="D4:E4"/>
    <mergeCell ref="A7:L10"/>
    <mergeCell ref="A13:D13"/>
    <mergeCell ref="A15:A16"/>
    <mergeCell ref="B15:B16"/>
    <mergeCell ref="C15:E15"/>
    <mergeCell ref="F15:H15"/>
    <mergeCell ref="I15:J15"/>
    <mergeCell ref="K15:L15"/>
    <mergeCell ref="M15:M16"/>
    <mergeCell ref="A17:A25"/>
    <mergeCell ref="A30:A31"/>
    <mergeCell ref="A32:A34"/>
    <mergeCell ref="A28:A29"/>
    <mergeCell ref="A26:A2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A1:R38"/>
  <sheetViews>
    <sheetView showGridLines="0" zoomScale="80" zoomScaleNormal="80" workbookViewId="0">
      <selection activeCell="B16" sqref="B16"/>
    </sheetView>
  </sheetViews>
  <sheetFormatPr baseColWidth="10" defaultRowHeight="15" x14ac:dyDescent="0.25"/>
  <cols>
    <col min="1" max="1" width="16.85546875" style="176" customWidth="1"/>
    <col min="2" max="2" width="73" style="176" customWidth="1"/>
    <col min="3" max="3" width="9.5703125" style="176" bestFit="1" customWidth="1"/>
    <col min="4" max="5" width="12" style="176" bestFit="1" customWidth="1"/>
    <col min="6" max="6" width="12.42578125" style="176" customWidth="1"/>
    <col min="7" max="7" width="9.7109375" style="176" customWidth="1"/>
    <col min="8" max="10" width="11.42578125" style="176"/>
    <col min="11" max="11" width="18.140625" style="176" bestFit="1" customWidth="1"/>
    <col min="12" max="12" width="18.42578125" style="176" customWidth="1"/>
    <col min="13" max="15" width="11.42578125" style="176"/>
  </cols>
  <sheetData>
    <row r="1" spans="1:18" x14ac:dyDescent="0.25">
      <c r="I1" s="46"/>
      <c r="J1" s="177"/>
    </row>
    <row r="2" spans="1:18" x14ac:dyDescent="0.25">
      <c r="I2" s="46" t="s">
        <v>187</v>
      </c>
      <c r="J2" s="177"/>
    </row>
    <row r="4" spans="1:18" ht="15.75" x14ac:dyDescent="0.25">
      <c r="H4" s="50" t="s">
        <v>1</v>
      </c>
      <c r="I4" s="1285" t="s">
        <v>2</v>
      </c>
      <c r="J4" s="1286"/>
    </row>
    <row r="6" spans="1:18" ht="37.5" customHeight="1" x14ac:dyDescent="0.25">
      <c r="A6"/>
      <c r="B6" s="1287" t="s">
        <v>240</v>
      </c>
      <c r="C6" s="1287"/>
      <c r="D6" s="1287"/>
      <c r="E6" s="1287"/>
      <c r="F6" s="1287"/>
      <c r="G6" s="1287"/>
      <c r="H6" s="1287"/>
      <c r="I6" s="1287"/>
      <c r="J6" s="1287"/>
      <c r="K6" s="1287"/>
      <c r="L6" s="1287"/>
      <c r="M6" s="1287"/>
      <c r="N6" s="1287"/>
      <c r="O6" s="1287"/>
      <c r="P6" s="1287"/>
      <c r="Q6" s="1287"/>
      <c r="R6" s="1287"/>
    </row>
    <row r="7" spans="1:18" ht="60" customHeight="1" x14ac:dyDescent="0.25">
      <c r="A7" s="951"/>
      <c r="B7" s="1289" t="s">
        <v>333</v>
      </c>
      <c r="C7" s="1289"/>
      <c r="D7" s="1289"/>
      <c r="E7" s="1289"/>
      <c r="F7" s="1289"/>
      <c r="G7" s="1289"/>
      <c r="H7" s="1289"/>
      <c r="I7" s="1289"/>
      <c r="J7" s="1289"/>
      <c r="K7" s="1289"/>
      <c r="L7" s="1289"/>
      <c r="M7" s="1289"/>
      <c r="N7" s="1289"/>
      <c r="O7" s="1289"/>
      <c r="P7" s="1289"/>
    </row>
    <row r="8" spans="1:18" ht="15.75" customHeight="1" x14ac:dyDescent="0.25">
      <c r="A8" s="1288"/>
      <c r="B8" s="1289" t="s">
        <v>334</v>
      </c>
      <c r="C8" s="1289"/>
      <c r="D8" s="1289"/>
      <c r="E8" s="1289"/>
      <c r="F8" s="1289"/>
      <c r="G8" s="1289"/>
      <c r="H8" s="1289"/>
      <c r="I8" s="1289"/>
      <c r="J8" s="1289"/>
      <c r="K8" s="1289"/>
      <c r="L8" s="1289"/>
      <c r="M8" s="1289"/>
      <c r="N8" s="1289"/>
      <c r="O8" s="1289"/>
    </row>
    <row r="9" spans="1:18" x14ac:dyDescent="0.25">
      <c r="A9" s="1288"/>
      <c r="B9" s="1289" t="s">
        <v>335</v>
      </c>
      <c r="C9" s="1289"/>
      <c r="D9" s="1289"/>
      <c r="E9" s="1289"/>
      <c r="F9" s="1289"/>
      <c r="G9" s="1289"/>
      <c r="H9" s="1289"/>
      <c r="I9" s="1289"/>
      <c r="J9" s="1289"/>
      <c r="K9" s="1289"/>
      <c r="L9" s="1289"/>
      <c r="M9" s="1289"/>
      <c r="N9" s="1289"/>
      <c r="O9" s="1289"/>
    </row>
    <row r="10" spans="1:18" x14ac:dyDescent="0.25">
      <c r="A10" s="1283"/>
      <c r="B10" s="137"/>
      <c r="C10" s="56"/>
      <c r="D10" s="56"/>
      <c r="E10" s="56"/>
      <c r="F10" s="56"/>
      <c r="G10"/>
      <c r="H10" s="952"/>
      <c r="I10" s="952"/>
      <c r="J10"/>
      <c r="K10" s="595"/>
      <c r="L10" s="595"/>
      <c r="M10"/>
      <c r="N10"/>
      <c r="O10"/>
    </row>
    <row r="11" spans="1:18" x14ac:dyDescent="0.25">
      <c r="A11" s="1283"/>
      <c r="B11" s="137" t="s">
        <v>336</v>
      </c>
      <c r="C11" s="56"/>
      <c r="D11" s="56"/>
      <c r="E11" s="56"/>
      <c r="F11" s="56"/>
      <c r="G11"/>
      <c r="H11" s="952"/>
      <c r="I11" s="952"/>
      <c r="J11"/>
      <c r="K11" s="595"/>
      <c r="L11" s="595"/>
      <c r="M11"/>
      <c r="N11"/>
      <c r="O11"/>
    </row>
    <row r="12" spans="1:18" x14ac:dyDescent="0.25">
      <c r="A12" s="1283"/>
      <c r="B12" s="137"/>
      <c r="C12" s="56"/>
      <c r="D12" s="56"/>
      <c r="E12" s="56"/>
      <c r="F12" s="56"/>
      <c r="G12"/>
      <c r="H12" s="952"/>
      <c r="I12" s="952"/>
      <c r="J12"/>
      <c r="K12" s="595"/>
      <c r="L12" s="595"/>
      <c r="M12"/>
      <c r="N12"/>
      <c r="O12"/>
    </row>
    <row r="13" spans="1:18" x14ac:dyDescent="0.25">
      <c r="A13" s="1283"/>
      <c r="B13" s="137"/>
      <c r="C13" s="56"/>
      <c r="D13" s="56"/>
      <c r="E13" s="56"/>
      <c r="F13" s="56"/>
      <c r="G13"/>
      <c r="H13" s="952"/>
      <c r="I13" s="952"/>
      <c r="J13"/>
      <c r="K13" s="595"/>
      <c r="L13" s="595"/>
      <c r="M13"/>
      <c r="N13"/>
      <c r="O13"/>
    </row>
    <row r="14" spans="1:18" x14ac:dyDescent="0.25">
      <c r="A14" s="1283"/>
      <c r="B14" s="953"/>
      <c r="C14" s="1284"/>
      <c r="D14" s="1284"/>
      <c r="E14" s="1284"/>
      <c r="F14" s="1284"/>
      <c r="G14"/>
      <c r="H14" s="952"/>
      <c r="I14" s="952"/>
      <c r="J14"/>
      <c r="K14" s="595"/>
      <c r="L14" s="595"/>
      <c r="M14"/>
      <c r="N14"/>
      <c r="O14"/>
    </row>
    <row r="15" spans="1:18" x14ac:dyDescent="0.25">
      <c r="A15" s="1283"/>
      <c r="B15" s="954"/>
      <c r="C15" s="1284"/>
      <c r="D15" s="56"/>
      <c r="E15" s="56"/>
      <c r="F15" s="56"/>
      <c r="G15"/>
      <c r="H15" s="952"/>
      <c r="I15" s="952"/>
      <c r="J15"/>
      <c r="K15" s="595"/>
      <c r="L15" s="595"/>
      <c r="M15"/>
      <c r="N15"/>
      <c r="O15"/>
    </row>
    <row r="16" spans="1:18" x14ac:dyDescent="0.25">
      <c r="A16" s="1283"/>
      <c r="B16" s="958" t="s">
        <v>347</v>
      </c>
      <c r="C16" s="1284"/>
      <c r="D16" s="56"/>
      <c r="E16" s="56"/>
      <c r="F16" s="56"/>
      <c r="G16"/>
      <c r="H16" s="952"/>
      <c r="I16" s="952"/>
      <c r="J16"/>
      <c r="K16" s="595"/>
      <c r="L16" s="595"/>
      <c r="M16"/>
      <c r="N16"/>
      <c r="O16"/>
    </row>
    <row r="17" spans="1:15" x14ac:dyDescent="0.25">
      <c r="A17" s="1283"/>
      <c r="B17" s="958"/>
      <c r="C17" s="1284"/>
      <c r="D17" s="56"/>
      <c r="E17" s="56"/>
      <c r="F17" s="56"/>
      <c r="G17"/>
      <c r="H17" s="952"/>
      <c r="I17" s="952"/>
      <c r="J17"/>
      <c r="K17" s="595"/>
      <c r="L17" s="595"/>
      <c r="M17"/>
      <c r="N17"/>
      <c r="O17"/>
    </row>
    <row r="18" spans="1:15" x14ac:dyDescent="0.25">
      <c r="A18" s="1283"/>
      <c r="B18" s="958"/>
      <c r="C18" s="1284"/>
      <c r="D18" s="56"/>
      <c r="E18" s="56"/>
      <c r="F18" s="56"/>
      <c r="G18"/>
      <c r="H18" s="952"/>
      <c r="I18" s="952"/>
      <c r="J18"/>
      <c r="K18" s="595"/>
      <c r="L18" s="595"/>
      <c r="M18"/>
      <c r="N18"/>
      <c r="O18"/>
    </row>
    <row r="19" spans="1:15" x14ac:dyDescent="0.25">
      <c r="A19" s="1283"/>
      <c r="B19" s="958" t="s">
        <v>337</v>
      </c>
      <c r="C19" s="955"/>
      <c r="D19" s="56"/>
      <c r="E19" s="56"/>
      <c r="F19" s="56"/>
      <c r="G19"/>
      <c r="H19" s="952"/>
      <c r="I19" s="952"/>
      <c r="J19"/>
      <c r="K19" s="595"/>
      <c r="L19" s="595"/>
      <c r="M19"/>
      <c r="N19"/>
      <c r="O19"/>
    </row>
    <row r="20" spans="1:15" x14ac:dyDescent="0.25">
      <c r="A20" s="1283"/>
      <c r="B20" s="959" t="s">
        <v>338</v>
      </c>
      <c r="C20" s="955"/>
      <c r="D20" s="56"/>
      <c r="E20" s="56"/>
      <c r="F20" s="56"/>
      <c r="G20"/>
      <c r="H20" s="952"/>
      <c r="I20" s="952"/>
      <c r="J20"/>
      <c r="K20" s="595"/>
      <c r="L20" s="595"/>
      <c r="M20"/>
      <c r="N20"/>
      <c r="O20"/>
    </row>
    <row r="21" spans="1:15" x14ac:dyDescent="0.25">
      <c r="A21" s="1283"/>
      <c r="B21" s="959" t="s">
        <v>339</v>
      </c>
      <c r="C21" s="1284"/>
      <c r="D21" s="56"/>
      <c r="E21" s="56"/>
      <c r="F21" s="56"/>
      <c r="G21"/>
      <c r="H21" s="952"/>
      <c r="I21" s="952"/>
      <c r="J21"/>
      <c r="K21" s="595"/>
      <c r="L21" s="595"/>
      <c r="M21"/>
      <c r="N21"/>
      <c r="O21"/>
    </row>
    <row r="22" spans="1:15" x14ac:dyDescent="0.25">
      <c r="A22" s="1283"/>
      <c r="B22" s="958" t="s">
        <v>340</v>
      </c>
      <c r="C22" s="1284"/>
      <c r="D22" s="56"/>
      <c r="E22" s="56"/>
      <c r="F22" s="56"/>
      <c r="G22"/>
      <c r="H22" s="952"/>
      <c r="I22" s="952"/>
      <c r="J22"/>
      <c r="K22" s="595"/>
      <c r="L22" s="595"/>
      <c r="M22"/>
      <c r="N22"/>
      <c r="O22"/>
    </row>
    <row r="23" spans="1:15" x14ac:dyDescent="0.25">
      <c r="A23" s="1283"/>
      <c r="B23" s="958" t="s">
        <v>341</v>
      </c>
      <c r="C23" s="956"/>
      <c r="D23" s="956"/>
      <c r="E23" s="956"/>
      <c r="F23" s="956"/>
      <c r="G23"/>
      <c r="H23" s="952"/>
      <c r="I23" s="952"/>
      <c r="J23"/>
      <c r="K23" s="595"/>
      <c r="L23" s="595"/>
      <c r="M23"/>
      <c r="N23"/>
      <c r="O23"/>
    </row>
    <row r="24" spans="1:15" x14ac:dyDescent="0.25">
      <c r="A24" s="1283"/>
      <c r="B24" s="958"/>
      <c r="C24" s="957"/>
      <c r="D24" s="56"/>
      <c r="E24" s="56"/>
      <c r="F24" s="56"/>
      <c r="G24"/>
      <c r="H24" s="952"/>
      <c r="I24" s="952"/>
      <c r="J24"/>
      <c r="K24" s="595"/>
      <c r="L24" s="595"/>
      <c r="M24"/>
      <c r="N24"/>
      <c r="O24"/>
    </row>
    <row r="25" spans="1:15" x14ac:dyDescent="0.25">
      <c r="A25" s="1283"/>
      <c r="B25" s="958" t="s">
        <v>342</v>
      </c>
      <c r="C25" s="1284"/>
      <c r="D25" s="1284"/>
      <c r="E25" s="1284"/>
      <c r="F25" s="56"/>
      <c r="G25"/>
      <c r="H25" s="952"/>
      <c r="I25" s="952"/>
      <c r="J25"/>
      <c r="K25" s="595"/>
      <c r="L25" s="595"/>
      <c r="M25"/>
      <c r="N25"/>
      <c r="O25"/>
    </row>
    <row r="26" spans="1:15" x14ac:dyDescent="0.25">
      <c r="A26" s="1283"/>
      <c r="B26" s="959" t="s">
        <v>343</v>
      </c>
      <c r="C26" s="1284"/>
      <c r="D26" s="1284"/>
      <c r="E26" s="1284"/>
      <c r="F26" s="56"/>
      <c r="G26"/>
      <c r="H26" s="952"/>
      <c r="I26" s="952"/>
      <c r="J26"/>
      <c r="K26" s="595"/>
      <c r="L26" s="595"/>
      <c r="M26"/>
      <c r="N26"/>
      <c r="O26"/>
    </row>
    <row r="27" spans="1:15" x14ac:dyDescent="0.25">
      <c r="A27" s="1283"/>
      <c r="B27" s="960"/>
      <c r="C27" s="1284"/>
      <c r="D27" s="1284"/>
      <c r="E27" s="1284"/>
      <c r="F27" s="56"/>
      <c r="G27"/>
      <c r="H27" s="952"/>
      <c r="I27" s="952"/>
      <c r="J27"/>
      <c r="K27" s="595"/>
      <c r="L27" s="595"/>
      <c r="M27"/>
      <c r="N27"/>
      <c r="O27"/>
    </row>
    <row r="28" spans="1:15" x14ac:dyDescent="0.25">
      <c r="A28" s="179"/>
      <c r="B28" s="959" t="s">
        <v>344</v>
      </c>
      <c r="C28" s="179"/>
      <c r="D28" s="179"/>
      <c r="E28"/>
      <c r="F28"/>
      <c r="G28"/>
      <c r="H28"/>
      <c r="I28"/>
      <c r="J28"/>
      <c r="K28"/>
      <c r="L28"/>
      <c r="M28"/>
      <c r="N28"/>
      <c r="O28"/>
    </row>
    <row r="29" spans="1:15" x14ac:dyDescent="0.25">
      <c r="A29"/>
      <c r="B29" s="959" t="s">
        <v>345</v>
      </c>
      <c r="C29"/>
      <c r="D29"/>
      <c r="E29"/>
      <c r="F29"/>
      <c r="G29"/>
      <c r="H29"/>
      <c r="I29"/>
      <c r="J29"/>
      <c r="K29"/>
      <c r="L29"/>
      <c r="M29"/>
      <c r="N29"/>
      <c r="O29"/>
    </row>
    <row r="30" spans="1:15" x14ac:dyDescent="0.25">
      <c r="A30"/>
      <c r="B30" s="959" t="s">
        <v>346</v>
      </c>
      <c r="C30"/>
      <c r="D30"/>
      <c r="E30"/>
      <c r="F30"/>
      <c r="G30"/>
      <c r="H30"/>
      <c r="I30"/>
      <c r="J30"/>
      <c r="K30"/>
      <c r="L30"/>
      <c r="M30"/>
      <c r="N30"/>
      <c r="O30"/>
    </row>
    <row r="31" spans="1:15" x14ac:dyDescent="0.25">
      <c r="A31"/>
      <c r="B31"/>
      <c r="C31"/>
      <c r="D31"/>
      <c r="E31"/>
      <c r="F31"/>
      <c r="G31"/>
      <c r="H31"/>
      <c r="I31"/>
      <c r="J31"/>
      <c r="K31"/>
      <c r="L31"/>
      <c r="M31"/>
      <c r="N31"/>
      <c r="O31"/>
    </row>
    <row r="32" spans="1:15" x14ac:dyDescent="0.25">
      <c r="A32"/>
      <c r="B32"/>
      <c r="C32"/>
      <c r="D32"/>
      <c r="E32"/>
      <c r="F32"/>
      <c r="G32"/>
      <c r="H32"/>
      <c r="I32"/>
      <c r="J32"/>
      <c r="K32"/>
      <c r="L32"/>
      <c r="M32"/>
      <c r="N32"/>
      <c r="O32"/>
    </row>
    <row r="33" spans="1:15" x14ac:dyDescent="0.25">
      <c r="A33"/>
      <c r="B33"/>
      <c r="C33"/>
      <c r="D33"/>
      <c r="E33"/>
      <c r="F33"/>
      <c r="G33"/>
      <c r="H33"/>
      <c r="I33"/>
      <c r="J33"/>
      <c r="K33"/>
      <c r="L33"/>
      <c r="M33"/>
      <c r="N33"/>
      <c r="O33"/>
    </row>
    <row r="34" spans="1:15" x14ac:dyDescent="0.25">
      <c r="C34" s="182"/>
      <c r="D34" s="183"/>
      <c r="E34" s="184"/>
      <c r="F34" s="185"/>
    </row>
    <row r="35" spans="1:15" x14ac:dyDescent="0.25">
      <c r="C35" s="182"/>
      <c r="D35" s="183"/>
      <c r="E35" s="184"/>
      <c r="F35" s="185"/>
    </row>
    <row r="36" spans="1:15" x14ac:dyDescent="0.25">
      <c r="C36" s="182"/>
      <c r="D36" s="183"/>
      <c r="E36" s="184"/>
      <c r="F36" s="185"/>
    </row>
    <row r="37" spans="1:15" x14ac:dyDescent="0.25">
      <c r="C37"/>
      <c r="D37"/>
      <c r="E37"/>
      <c r="F37"/>
    </row>
    <row r="38" spans="1:15" x14ac:dyDescent="0.25">
      <c r="C38"/>
      <c r="D38"/>
      <c r="E38" s="186"/>
      <c r="F38" s="187"/>
    </row>
  </sheetData>
  <mergeCells count="15">
    <mergeCell ref="A23:A24"/>
    <mergeCell ref="A25:A27"/>
    <mergeCell ref="C25:E27"/>
    <mergeCell ref="I4:J4"/>
    <mergeCell ref="B6:R6"/>
    <mergeCell ref="A21:A22"/>
    <mergeCell ref="A8:A9"/>
    <mergeCell ref="A10:A18"/>
    <mergeCell ref="C14:F14"/>
    <mergeCell ref="C15:C18"/>
    <mergeCell ref="A19:A20"/>
    <mergeCell ref="C21:C22"/>
    <mergeCell ref="B7:P7"/>
    <mergeCell ref="B8:O8"/>
    <mergeCell ref="B9:O9"/>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sheetPr>
  <dimension ref="A2:V50"/>
  <sheetViews>
    <sheetView showGridLines="0" zoomScaleNormal="100" workbookViewId="0">
      <selection activeCell="G15" sqref="G15:H21"/>
    </sheetView>
  </sheetViews>
  <sheetFormatPr baseColWidth="10" defaultRowHeight="15" x14ac:dyDescent="0.25"/>
  <cols>
    <col min="1" max="1" width="11.42578125" style="179"/>
    <col min="2" max="2" width="32.140625" style="179" bestFit="1" customWidth="1"/>
    <col min="3" max="3" width="11.42578125" style="179" bestFit="1"/>
    <col min="4" max="4" width="14.140625" style="179" bestFit="1" customWidth="1"/>
    <col min="5" max="5" width="8" style="179" bestFit="1" customWidth="1"/>
    <col min="6" max="6" width="20.7109375" style="179" customWidth="1"/>
    <col min="7" max="7" width="33" style="179" bestFit="1" customWidth="1"/>
    <col min="8" max="8" width="24.5703125" style="179" bestFit="1" customWidth="1"/>
    <col min="9" max="14" width="11.42578125" style="179"/>
  </cols>
  <sheetData>
    <row r="2" spans="1:14" x14ac:dyDescent="0.25">
      <c r="C2" s="3"/>
      <c r="D2" s="1290" t="s">
        <v>194</v>
      </c>
      <c r="E2" s="1290"/>
      <c r="F2" s="1290"/>
      <c r="G2" s="3"/>
      <c r="H2" s="3"/>
    </row>
    <row r="3" spans="1:14" x14ac:dyDescent="0.25">
      <c r="C3" s="5"/>
      <c r="D3" s="2"/>
      <c r="E3" s="2"/>
      <c r="F3" s="2"/>
      <c r="G3" s="2"/>
      <c r="H3" s="2"/>
    </row>
    <row r="4" spans="1:14" ht="15.75" x14ac:dyDescent="0.25">
      <c r="C4" s="5"/>
      <c r="D4" s="188" t="s">
        <v>1</v>
      </c>
      <c r="E4" s="1291" t="s">
        <v>2</v>
      </c>
      <c r="F4" s="1292"/>
      <c r="G4" s="3"/>
      <c r="H4" s="3"/>
    </row>
    <row r="5" spans="1:14" x14ac:dyDescent="0.25">
      <c r="C5" s="8"/>
      <c r="D5" s="3"/>
      <c r="E5" s="3"/>
      <c r="F5" s="3"/>
      <c r="G5" s="3"/>
      <c r="H5" s="3"/>
    </row>
    <row r="7" spans="1:14" x14ac:dyDescent="0.25">
      <c r="B7" s="1262" t="s">
        <v>195</v>
      </c>
      <c r="C7" s="1263"/>
      <c r="D7" s="1263"/>
      <c r="E7" s="1263"/>
      <c r="F7" s="1263"/>
      <c r="G7" s="1263"/>
      <c r="H7" s="1263"/>
      <c r="I7" s="1263"/>
      <c r="J7" s="1263"/>
      <c r="K7" s="1263"/>
      <c r="L7" s="1263"/>
      <c r="M7" s="1264"/>
    </row>
    <row r="8" spans="1:14" x14ac:dyDescent="0.25">
      <c r="B8" s="1265"/>
      <c r="C8" s="1266"/>
      <c r="D8" s="1266"/>
      <c r="E8" s="1266"/>
      <c r="F8" s="1266"/>
      <c r="G8" s="1266"/>
      <c r="H8" s="1266"/>
      <c r="I8" s="1266"/>
      <c r="J8" s="1266"/>
      <c r="K8" s="1266"/>
      <c r="L8" s="1266"/>
      <c r="M8" s="1267"/>
    </row>
    <row r="9" spans="1:14" x14ac:dyDescent="0.25">
      <c r="B9" s="1265"/>
      <c r="C9" s="1266"/>
      <c r="D9" s="1266"/>
      <c r="E9" s="1266"/>
      <c r="F9" s="1266"/>
      <c r="G9" s="1266"/>
      <c r="H9" s="1266"/>
      <c r="I9" s="1266"/>
      <c r="J9" s="1266"/>
      <c r="K9" s="1266"/>
      <c r="L9" s="1266"/>
      <c r="M9" s="1267"/>
    </row>
    <row r="10" spans="1:14" x14ac:dyDescent="0.25">
      <c r="B10" s="1268"/>
      <c r="C10" s="1269"/>
      <c r="D10" s="1269"/>
      <c r="E10" s="1269"/>
      <c r="F10" s="1269"/>
      <c r="G10" s="1269"/>
      <c r="H10" s="1269"/>
      <c r="I10" s="1269"/>
      <c r="J10" s="1269"/>
      <c r="K10" s="1269"/>
      <c r="L10" s="1269"/>
      <c r="M10" s="1270"/>
    </row>
    <row r="12" spans="1:14" ht="15.75" x14ac:dyDescent="0.25">
      <c r="B12" s="1293" t="s">
        <v>196</v>
      </c>
      <c r="C12" s="1293"/>
      <c r="D12" s="1293"/>
      <c r="E12" s="178"/>
    </row>
    <row r="14" spans="1:14" x14ac:dyDescent="0.25">
      <c r="A14" s="37"/>
      <c r="B14" s="568" t="s">
        <v>188</v>
      </c>
      <c r="C14" s="568" t="s">
        <v>189</v>
      </c>
      <c r="D14" s="568" t="s">
        <v>63</v>
      </c>
      <c r="E14" s="568" t="s">
        <v>64</v>
      </c>
      <c r="F14" s="37"/>
      <c r="L14" s="37"/>
      <c r="M14" s="37"/>
      <c r="N14" s="37"/>
    </row>
    <row r="15" spans="1:14" x14ac:dyDescent="0.25">
      <c r="B15" s="442" t="s">
        <v>291</v>
      </c>
      <c r="C15" s="569">
        <v>0</v>
      </c>
      <c r="D15" s="444">
        <v>0</v>
      </c>
      <c r="E15" s="653">
        <f>+C15*D15</f>
        <v>0</v>
      </c>
      <c r="G15" s="1294"/>
      <c r="H15" s="1294"/>
    </row>
    <row r="16" spans="1:14" x14ac:dyDescent="0.25">
      <c r="B16" s="442" t="s">
        <v>190</v>
      </c>
      <c r="C16" s="569">
        <v>0</v>
      </c>
      <c r="D16" s="444">
        <v>0</v>
      </c>
      <c r="E16" s="653">
        <f t="shared" ref="E16:E26" si="0">+C16*D16</f>
        <v>0</v>
      </c>
      <c r="G16" s="1294"/>
      <c r="H16" s="1294"/>
    </row>
    <row r="17" spans="2:22" x14ac:dyDescent="0.25">
      <c r="B17" s="442" t="s">
        <v>191</v>
      </c>
      <c r="C17" s="569">
        <v>0</v>
      </c>
      <c r="D17" s="444">
        <v>0</v>
      </c>
      <c r="E17" s="653">
        <f t="shared" si="0"/>
        <v>0</v>
      </c>
      <c r="G17" s="1294"/>
      <c r="H17" s="1294"/>
      <c r="S17" s="597"/>
      <c r="T17" s="597"/>
      <c r="U17" s="597"/>
      <c r="V17" s="597"/>
    </row>
    <row r="18" spans="2:22" x14ac:dyDescent="0.25">
      <c r="B18" s="442" t="s">
        <v>281</v>
      </c>
      <c r="C18" s="569">
        <v>0</v>
      </c>
      <c r="D18" s="444">
        <v>0</v>
      </c>
      <c r="E18" s="653">
        <f t="shared" si="0"/>
        <v>0</v>
      </c>
      <c r="G18" s="1294"/>
      <c r="H18" s="1294"/>
      <c r="S18" s="182"/>
      <c r="T18" s="183"/>
      <c r="U18" s="184"/>
      <c r="V18" s="185"/>
    </row>
    <row r="19" spans="2:22" x14ac:dyDescent="0.25">
      <c r="B19" s="442" t="s">
        <v>192</v>
      </c>
      <c r="C19" s="569">
        <v>0</v>
      </c>
      <c r="D19" s="444">
        <v>0</v>
      </c>
      <c r="E19" s="653">
        <f t="shared" si="0"/>
        <v>0</v>
      </c>
      <c r="G19" s="1294"/>
      <c r="H19" s="1294"/>
      <c r="S19" s="182"/>
      <c r="T19" s="183"/>
      <c r="U19" s="184"/>
      <c r="V19" s="185"/>
    </row>
    <row r="20" spans="2:22" x14ac:dyDescent="0.25">
      <c r="B20" s="442" t="s">
        <v>282</v>
      </c>
      <c r="C20" s="569">
        <v>0</v>
      </c>
      <c r="D20" s="444">
        <v>0</v>
      </c>
      <c r="E20" s="653">
        <f t="shared" si="0"/>
        <v>0</v>
      </c>
      <c r="G20" s="1294"/>
      <c r="H20" s="1294"/>
      <c r="S20" s="182"/>
      <c r="T20" s="183"/>
      <c r="U20" s="184"/>
      <c r="V20" s="185"/>
    </row>
    <row r="21" spans="2:22" x14ac:dyDescent="0.25">
      <c r="B21" s="442" t="s">
        <v>283</v>
      </c>
      <c r="C21" s="569">
        <v>0</v>
      </c>
      <c r="D21" s="444">
        <v>0</v>
      </c>
      <c r="E21" s="653">
        <f t="shared" si="0"/>
        <v>0</v>
      </c>
      <c r="G21" s="1294"/>
      <c r="H21" s="1294"/>
      <c r="S21" s="182"/>
      <c r="T21" s="183"/>
      <c r="U21" s="184"/>
      <c r="V21" s="185"/>
    </row>
    <row r="22" spans="2:22" x14ac:dyDescent="0.25">
      <c r="B22" s="442" t="s">
        <v>284</v>
      </c>
      <c r="C22" s="569">
        <v>0</v>
      </c>
      <c r="D22" s="444">
        <v>0</v>
      </c>
      <c r="E22" s="653">
        <f t="shared" si="0"/>
        <v>0</v>
      </c>
      <c r="S22" s="182"/>
      <c r="T22" s="183"/>
      <c r="U22" s="184"/>
      <c r="V22" s="185"/>
    </row>
    <row r="23" spans="2:22" x14ac:dyDescent="0.25">
      <c r="B23" s="442" t="s">
        <v>310</v>
      </c>
      <c r="C23" s="569">
        <v>0</v>
      </c>
      <c r="D23" s="444">
        <v>0</v>
      </c>
      <c r="E23" s="653">
        <f t="shared" si="0"/>
        <v>0</v>
      </c>
      <c r="S23" s="182"/>
      <c r="T23" s="183"/>
      <c r="U23" s="184"/>
      <c r="V23" s="185"/>
    </row>
    <row r="24" spans="2:22" x14ac:dyDescent="0.25">
      <c r="B24" s="442" t="s">
        <v>193</v>
      </c>
      <c r="C24" s="569">
        <v>0</v>
      </c>
      <c r="D24" s="444">
        <v>0</v>
      </c>
      <c r="E24" s="653">
        <f t="shared" si="0"/>
        <v>0</v>
      </c>
      <c r="S24" s="182"/>
      <c r="T24" s="183"/>
      <c r="U24" s="184"/>
      <c r="V24" s="185"/>
    </row>
    <row r="25" spans="2:22" x14ac:dyDescent="0.25">
      <c r="B25" s="442" t="s">
        <v>285</v>
      </c>
      <c r="C25" s="569">
        <v>0</v>
      </c>
      <c r="D25" s="444">
        <v>0</v>
      </c>
      <c r="E25" s="653">
        <f t="shared" si="0"/>
        <v>0</v>
      </c>
      <c r="S25" s="182"/>
      <c r="T25" s="183"/>
      <c r="U25" s="184"/>
      <c r="V25" s="185"/>
    </row>
    <row r="26" spans="2:22" x14ac:dyDescent="0.25">
      <c r="B26" s="412" t="s">
        <v>286</v>
      </c>
      <c r="C26" s="569">
        <v>0</v>
      </c>
      <c r="D26" s="444">
        <v>0</v>
      </c>
      <c r="E26" s="653">
        <f t="shared" si="0"/>
        <v>0</v>
      </c>
      <c r="S26" s="182"/>
      <c r="T26" s="183"/>
      <c r="U26" s="184"/>
      <c r="V26" s="185"/>
    </row>
    <row r="27" spans="2:22" x14ac:dyDescent="0.25">
      <c r="S27" s="182"/>
      <c r="T27" s="183"/>
      <c r="U27" s="184"/>
      <c r="V27" s="185"/>
    </row>
    <row r="28" spans="2:22" ht="15.75" thickBot="1" x14ac:dyDescent="0.3">
      <c r="S28" s="182"/>
      <c r="T28" s="183"/>
      <c r="U28" s="184"/>
      <c r="V28" s="185"/>
    </row>
    <row r="29" spans="2:22" ht="15.75" thickBot="1" x14ac:dyDescent="0.3">
      <c r="D29" s="180" t="s">
        <v>64</v>
      </c>
      <c r="E29" s="181">
        <f>SUM(E15:E26)</f>
        <v>0</v>
      </c>
      <c r="S29" s="182"/>
      <c r="T29" s="183"/>
      <c r="U29" s="184"/>
      <c r="V29" s="185"/>
    </row>
    <row r="30" spans="2:22" x14ac:dyDescent="0.25">
      <c r="S30" s="182"/>
      <c r="T30" s="183"/>
      <c r="U30" s="184"/>
      <c r="V30" s="185"/>
    </row>
    <row r="31" spans="2:22" x14ac:dyDescent="0.25">
      <c r="G31"/>
      <c r="H31"/>
      <c r="I31"/>
      <c r="J31"/>
      <c r="K31"/>
      <c r="L31"/>
      <c r="M31"/>
      <c r="N31"/>
    </row>
    <row r="32" spans="2:22" x14ac:dyDescent="0.25">
      <c r="G32"/>
      <c r="H32" s="592"/>
      <c r="I32" s="592"/>
      <c r="J32" s="592"/>
      <c r="K32" s="592"/>
      <c r="L32"/>
      <c r="M32"/>
      <c r="N32"/>
      <c r="U32" s="186"/>
      <c r="V32" s="187"/>
    </row>
    <row r="33" spans="7:22" x14ac:dyDescent="0.25">
      <c r="G33" s="593"/>
      <c r="H33" s="594"/>
      <c r="I33" s="594"/>
      <c r="J33" s="594"/>
      <c r="K33" s="594"/>
      <c r="L33"/>
      <c r="M33"/>
      <c r="N33"/>
    </row>
    <row r="34" spans="7:22" x14ac:dyDescent="0.25">
      <c r="G34" s="593"/>
      <c r="H34" s="595"/>
      <c r="I34" s="595"/>
      <c r="J34" s="595"/>
      <c r="K34" s="595"/>
      <c r="L34"/>
      <c r="M34"/>
      <c r="N34"/>
      <c r="S34" s="597"/>
      <c r="T34" s="597"/>
      <c r="U34" s="597"/>
      <c r="V34" s="597"/>
    </row>
    <row r="35" spans="7:22" x14ac:dyDescent="0.25">
      <c r="G35" s="593"/>
      <c r="H35" s="594"/>
      <c r="I35" s="594"/>
      <c r="J35" s="594"/>
      <c r="K35" s="594"/>
      <c r="L35"/>
      <c r="M35"/>
      <c r="N35"/>
      <c r="S35" s="182"/>
      <c r="T35" s="183"/>
      <c r="U35" s="184"/>
      <c r="V35" s="185"/>
    </row>
    <row r="36" spans="7:22" x14ac:dyDescent="0.25">
      <c r="G36" s="593"/>
      <c r="H36" s="595"/>
      <c r="I36" s="595"/>
      <c r="J36" s="595"/>
      <c r="K36" s="595"/>
      <c r="L36"/>
      <c r="M36"/>
      <c r="N36"/>
      <c r="S36" s="182"/>
      <c r="T36" s="183"/>
      <c r="U36" s="184"/>
      <c r="V36" s="185"/>
    </row>
    <row r="37" spans="7:22" x14ac:dyDescent="0.25">
      <c r="G37" s="593"/>
      <c r="H37" s="594"/>
      <c r="I37" s="594"/>
      <c r="J37" s="594"/>
      <c r="K37" s="594"/>
      <c r="L37"/>
      <c r="M37"/>
      <c r="N37"/>
      <c r="S37" s="182"/>
      <c r="T37" s="183"/>
      <c r="U37" s="184"/>
      <c r="V37" s="185"/>
    </row>
    <row r="38" spans="7:22" x14ac:dyDescent="0.25">
      <c r="G38" s="593"/>
      <c r="H38" s="595"/>
      <c r="I38" s="595"/>
      <c r="J38" s="595"/>
      <c r="K38" s="595"/>
      <c r="L38"/>
      <c r="M38"/>
      <c r="N38"/>
      <c r="S38" s="182"/>
      <c r="T38" s="183"/>
      <c r="U38" s="184"/>
      <c r="V38" s="185"/>
    </row>
    <row r="39" spans="7:22" x14ac:dyDescent="0.25">
      <c r="G39" s="593"/>
      <c r="H39" s="594"/>
      <c r="I39" s="594"/>
      <c r="J39" s="594"/>
      <c r="K39" s="594"/>
      <c r="L39"/>
      <c r="M39"/>
      <c r="N39"/>
      <c r="S39" s="182"/>
      <c r="T39" s="183"/>
      <c r="U39" s="184"/>
      <c r="V39" s="185"/>
    </row>
    <row r="40" spans="7:22" x14ac:dyDescent="0.25">
      <c r="G40" s="593"/>
      <c r="H40" s="595"/>
      <c r="I40" s="595"/>
      <c r="J40" s="595"/>
      <c r="K40" s="595"/>
      <c r="L40"/>
      <c r="M40"/>
      <c r="N40"/>
      <c r="S40" s="182"/>
      <c r="T40" s="183"/>
      <c r="U40" s="184"/>
      <c r="V40" s="185"/>
    </row>
    <row r="41" spans="7:22" x14ac:dyDescent="0.25">
      <c r="G41"/>
      <c r="H41"/>
      <c r="I41"/>
      <c r="J41"/>
      <c r="K41"/>
      <c r="L41"/>
      <c r="M41"/>
      <c r="N41"/>
      <c r="S41" s="182"/>
      <c r="T41" s="183"/>
      <c r="U41" s="184"/>
      <c r="V41" s="185"/>
    </row>
    <row r="42" spans="7:22" x14ac:dyDescent="0.25">
      <c r="G42"/>
      <c r="H42"/>
      <c r="I42"/>
      <c r="J42"/>
      <c r="K42"/>
      <c r="L42"/>
      <c r="M42"/>
      <c r="N42"/>
      <c r="S42" s="182"/>
      <c r="T42" s="183"/>
      <c r="U42" s="184"/>
      <c r="V42" s="185"/>
    </row>
    <row r="43" spans="7:22" x14ac:dyDescent="0.25">
      <c r="G43"/>
      <c r="H43"/>
      <c r="I43"/>
      <c r="J43"/>
      <c r="K43"/>
      <c r="L43"/>
      <c r="M43"/>
      <c r="N43"/>
      <c r="S43" s="182"/>
      <c r="T43" s="183"/>
      <c r="U43" s="184"/>
      <c r="V43" s="185"/>
    </row>
    <row r="44" spans="7:22" x14ac:dyDescent="0.25">
      <c r="G44"/>
      <c r="H44"/>
      <c r="I44"/>
      <c r="J44"/>
      <c r="K44"/>
      <c r="L44"/>
      <c r="M44"/>
      <c r="N44"/>
      <c r="S44" s="182"/>
      <c r="T44" s="183"/>
      <c r="U44" s="184"/>
      <c r="V44" s="185"/>
    </row>
    <row r="45" spans="7:22" x14ac:dyDescent="0.25">
      <c r="G45"/>
      <c r="H45"/>
      <c r="I45"/>
      <c r="J45"/>
      <c r="K45"/>
      <c r="L45"/>
      <c r="M45"/>
      <c r="N45"/>
      <c r="S45" s="182"/>
      <c r="T45" s="183"/>
      <c r="U45" s="184"/>
      <c r="V45" s="185"/>
    </row>
    <row r="46" spans="7:22" x14ac:dyDescent="0.25">
      <c r="G46"/>
      <c r="H46"/>
      <c r="I46"/>
      <c r="J46"/>
      <c r="K46"/>
      <c r="L46"/>
      <c r="M46"/>
      <c r="N46"/>
    </row>
    <row r="47" spans="7:22" x14ac:dyDescent="0.25">
      <c r="G47"/>
      <c r="H47"/>
      <c r="I47"/>
      <c r="J47"/>
      <c r="K47"/>
      <c r="L47"/>
      <c r="M47"/>
      <c r="N47"/>
      <c r="U47" s="186"/>
      <c r="V47" s="187"/>
    </row>
    <row r="48" spans="7:22" x14ac:dyDescent="0.25">
      <c r="G48"/>
      <c r="H48"/>
      <c r="I48"/>
      <c r="J48"/>
      <c r="K48"/>
      <c r="L48"/>
      <c r="M48"/>
      <c r="N48"/>
    </row>
    <row r="49" spans="7:22" x14ac:dyDescent="0.25">
      <c r="G49"/>
      <c r="H49"/>
      <c r="I49"/>
      <c r="J49"/>
      <c r="K49"/>
      <c r="L49"/>
      <c r="M49"/>
      <c r="N49"/>
      <c r="U49" s="593"/>
      <c r="V49" s="598"/>
    </row>
    <row r="50" spans="7:22" x14ac:dyDescent="0.25">
      <c r="S50" s="179"/>
      <c r="T50" s="179"/>
      <c r="U50" s="179"/>
      <c r="V50" s="179"/>
    </row>
  </sheetData>
  <mergeCells count="5">
    <mergeCell ref="D2:F2"/>
    <mergeCell ref="E4:F4"/>
    <mergeCell ref="B7:M10"/>
    <mergeCell ref="B12:D12"/>
    <mergeCell ref="G15:H2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62"/>
  <sheetViews>
    <sheetView showGridLines="0" zoomScale="91" zoomScaleNormal="91" workbookViewId="0">
      <pane xSplit="2" topLeftCell="C1" activePane="topRight" state="frozen"/>
      <selection pane="topRight" activeCell="H34" sqref="H34"/>
    </sheetView>
  </sheetViews>
  <sheetFormatPr baseColWidth="10" defaultRowHeight="15" x14ac:dyDescent="0.25"/>
  <cols>
    <col min="1" max="1" width="11.42578125" style="179"/>
    <col min="2" max="2" width="76.5703125" style="179" bestFit="1" customWidth="1"/>
    <col min="3" max="4" width="17.28515625" style="179" bestFit="1" customWidth="1"/>
    <col min="5" max="5" width="16.28515625" style="179" bestFit="1" customWidth="1"/>
    <col min="6" max="10" width="15.5703125" style="179" bestFit="1" customWidth="1"/>
    <col min="11" max="11" width="19.140625" style="179" bestFit="1" customWidth="1"/>
    <col min="12" max="12" width="17.28515625" style="179" bestFit="1" customWidth="1"/>
    <col min="13" max="13" width="17.7109375" style="179" bestFit="1" customWidth="1"/>
    <col min="14" max="14" width="17.28515625" style="179" bestFit="1" customWidth="1"/>
    <col min="15" max="15" width="21.5703125" style="179" bestFit="1" customWidth="1"/>
    <col min="16" max="16" width="11" hidden="1" customWidth="1"/>
    <col min="17" max="17" width="26.42578125" hidden="1" customWidth="1"/>
  </cols>
  <sheetData>
    <row r="1" spans="2:17" x14ac:dyDescent="0.25">
      <c r="B1" s="176"/>
      <c r="C1" s="176"/>
      <c r="D1" s="177"/>
      <c r="E1" s="189"/>
      <c r="F1" s="177"/>
      <c r="G1" s="176"/>
    </row>
    <row r="2" spans="2:17" x14ac:dyDescent="0.25">
      <c r="B2" s="176"/>
      <c r="C2" s="176"/>
      <c r="D2" s="177"/>
      <c r="E2" s="189"/>
      <c r="F2" s="177"/>
      <c r="G2" s="176"/>
    </row>
    <row r="3" spans="2:17" ht="15.75" thickBot="1" x14ac:dyDescent="0.3">
      <c r="B3" s="176"/>
      <c r="C3" s="176"/>
      <c r="D3" s="176"/>
      <c r="E3" s="176"/>
      <c r="F3" s="176"/>
      <c r="G3" s="176"/>
    </row>
    <row r="4" spans="2:17" ht="16.5" thickBot="1" x14ac:dyDescent="0.3">
      <c r="B4" s="190" t="s">
        <v>197</v>
      </c>
      <c r="C4" s="1298" t="s">
        <v>2</v>
      </c>
      <c r="D4" s="1299"/>
      <c r="E4" s="1295"/>
      <c r="F4" s="1295"/>
      <c r="G4" s="176"/>
    </row>
    <row r="6" spans="2:17" x14ac:dyDescent="0.25">
      <c r="B6" s="1296" t="s">
        <v>198</v>
      </c>
      <c r="C6" s="1296"/>
      <c r="D6" s="1296"/>
      <c r="E6" s="1296"/>
      <c r="F6" s="1296"/>
      <c r="G6" s="1296"/>
      <c r="H6" s="1296"/>
      <c r="I6" s="1296"/>
      <c r="J6" s="1296"/>
      <c r="K6" s="1296"/>
    </row>
    <row r="7" spans="2:17" ht="15.75" thickBot="1" x14ac:dyDescent="0.3">
      <c r="E7" s="191"/>
      <c r="F7" s="191"/>
      <c r="G7" s="191"/>
      <c r="H7" s="191"/>
      <c r="I7" s="191"/>
      <c r="J7" s="191"/>
      <c r="K7" s="191"/>
      <c r="L7" s="191"/>
      <c r="M7" s="191"/>
      <c r="N7" s="191"/>
    </row>
    <row r="8" spans="2:17" ht="15.75" thickBot="1" x14ac:dyDescent="0.3">
      <c r="B8" s="619" t="s">
        <v>199</v>
      </c>
      <c r="C8" s="620" t="s">
        <v>200</v>
      </c>
      <c r="D8" s="620" t="s">
        <v>201</v>
      </c>
      <c r="E8" s="620" t="s">
        <v>202</v>
      </c>
      <c r="F8" s="620" t="s">
        <v>203</v>
      </c>
      <c r="G8" s="620" t="s">
        <v>204</v>
      </c>
      <c r="H8" s="620" t="s">
        <v>205</v>
      </c>
      <c r="I8" s="620" t="s">
        <v>206</v>
      </c>
      <c r="J8" s="621" t="s">
        <v>207</v>
      </c>
      <c r="K8" s="620" t="s">
        <v>208</v>
      </c>
      <c r="L8" s="620" t="s">
        <v>209</v>
      </c>
      <c r="M8" s="620" t="s">
        <v>210</v>
      </c>
      <c r="N8" s="620" t="s">
        <v>211</v>
      </c>
      <c r="O8" s="622" t="s">
        <v>294</v>
      </c>
      <c r="P8" s="429"/>
      <c r="Q8" s="584" t="s">
        <v>287</v>
      </c>
    </row>
    <row r="9" spans="2:17" x14ac:dyDescent="0.25">
      <c r="B9" s="616" t="s">
        <v>212</v>
      </c>
      <c r="C9" s="617">
        <f>'A) Resumen Ingresos y Egresos'!$D$9*C16</f>
        <v>1713168</v>
      </c>
      <c r="D9" s="617">
        <f>'A) Resumen Ingresos y Egresos'!D9*'J) Estructura Económica Mensual'!D16</f>
        <v>2998044.0000000005</v>
      </c>
      <c r="E9" s="617">
        <f>+'A) Resumen Ingresos y Egresos'!$D$9*'J) Estructura Económica Mensual'!E16</f>
        <v>856584</v>
      </c>
      <c r="F9" s="617">
        <f>+'A) Resumen Ingresos y Egresos'!$D$9*'J) Estructura Económica Mensual'!F16</f>
        <v>1070730</v>
      </c>
      <c r="G9" s="617">
        <f>+'A) Resumen Ingresos y Egresos'!$D$9*'J) Estructura Económica Mensual'!G16</f>
        <v>1499022.0000000002</v>
      </c>
      <c r="H9" s="617">
        <f>+'A) Resumen Ingresos y Egresos'!$D$9*'J) Estructura Económica Mensual'!H16</f>
        <v>1499022.0000000002</v>
      </c>
      <c r="I9" s="617">
        <f>+'A) Resumen Ingresos y Egresos'!$D$9*'J) Estructura Económica Mensual'!I16</f>
        <v>1070730</v>
      </c>
      <c r="J9" s="617">
        <f>+'A) Resumen Ingresos y Egresos'!$D$9*'J) Estructura Económica Mensual'!J16</f>
        <v>214146</v>
      </c>
      <c r="K9" s="617">
        <f>+'A) Resumen Ingresos y Egresos'!$D$9*'J) Estructura Económica Mensual'!K16</f>
        <v>428292</v>
      </c>
      <c r="L9" s="617">
        <f>+'A) Resumen Ingresos y Egresos'!$D$9*'J) Estructura Económica Mensual'!L16</f>
        <v>4282920</v>
      </c>
      <c r="M9" s="617">
        <f>+'A) Resumen Ingresos y Egresos'!$D$9*'J) Estructura Económica Mensual'!M16</f>
        <v>2569752</v>
      </c>
      <c r="N9" s="617">
        <f>+'A) Resumen Ingresos y Egresos'!$D$9*'J) Estructura Económica Mensual'!N16</f>
        <v>3212190</v>
      </c>
      <c r="O9" s="618">
        <f t="shared" ref="O9:O15" si="0">SUM(C9:N9)</f>
        <v>21414600</v>
      </c>
      <c r="P9" s="429">
        <f>IF(Q9=12,C9+D9+E9+F9+G9+H9+I9+J9+K9+L9+M9+N9,IF(Q9=11,C9+D9+E9+F9+G9+H9+I9+J9+K9+L9+M9,IF(Q9=10,C9+D9+E9+F9+G9+H9+I9+J9+K9+L9,IF(Q9=9,C9+D9+E9+F9+G9+H9+I9+J9+K9,IF(Q9=8,C9+D9+E9+F9+G9+H9+I9+J9,IF(Q9=7,C9+D9+E9+F9+G9+H9+I9,IF(Q9=6,C9+D9+E9+F9+G9+H9,IF(Q9=5,C9+D9+E9+F9+G9,0))))))))</f>
        <v>21414600</v>
      </c>
      <c r="Q9" s="585">
        <f>COUNTA(#REF!,#REF!,#REF!,#REF!,#REF!,#REF!,#REF!,#REF!,#REF!,#REF!,#REF!,#REF!)</f>
        <v>12</v>
      </c>
    </row>
    <row r="10" spans="2:17" x14ac:dyDescent="0.25">
      <c r="B10" s="614" t="s">
        <v>213</v>
      </c>
      <c r="C10" s="610">
        <f>'F) Remuneraciones'!$I$12/12</f>
        <v>266306.40666666668</v>
      </c>
      <c r="D10" s="610">
        <f>'F) Remuneraciones'!$I$12/12</f>
        <v>266306.40666666668</v>
      </c>
      <c r="E10" s="610">
        <f>'F) Remuneraciones'!$I$12/12</f>
        <v>266306.40666666668</v>
      </c>
      <c r="F10" s="610">
        <f>'F) Remuneraciones'!$I$12/12</f>
        <v>266306.40666666668</v>
      </c>
      <c r="G10" s="610">
        <f>'F) Remuneraciones'!$I$12/12</f>
        <v>266306.40666666668</v>
      </c>
      <c r="H10" s="610">
        <f>'F) Remuneraciones'!$I$12/12</f>
        <v>266306.40666666668</v>
      </c>
      <c r="I10" s="610">
        <f>'F) Remuneraciones'!$I$12/12</f>
        <v>266306.40666666668</v>
      </c>
      <c r="J10" s="610">
        <f>'F) Remuneraciones'!$I$12/12</f>
        <v>266306.40666666668</v>
      </c>
      <c r="K10" s="610">
        <f>'F) Remuneraciones'!$I$12/12</f>
        <v>266306.40666666668</v>
      </c>
      <c r="L10" s="610">
        <f>'F) Remuneraciones'!$I$12/12</f>
        <v>266306.40666666668</v>
      </c>
      <c r="M10" s="610">
        <f>'F) Remuneraciones'!$I$12/12</f>
        <v>266306.40666666668</v>
      </c>
      <c r="N10" s="610">
        <f>'F) Remuneraciones'!$I$12/12</f>
        <v>266306.40666666668</v>
      </c>
      <c r="O10" s="615">
        <f t="shared" si="0"/>
        <v>3195676.8800000004</v>
      </c>
      <c r="P10" s="609">
        <f>IF(Q10=12,C10+D10+E10+F10+G10+H10+I10+J10+K10+L10+M10+N10,IF(Q10=11,C10+D10+E10+F10+G10+H10+I10+J10+K10+L10+M10,IF(Q10=10,C10+D10+E10+F10+G10+H10+I10+J10+K10+L10,IF(Q10=9,C10+D10+E10+F10+G10+H10+I10+J10+K10,IF(Q10=8,C10+D10+E10+F10+G10+H10+I10+J10,IF(Q10=7,C10+D10+E10+F10+G10+H10+I10,IF(Q10=6,C10+D10+E10+F10+G10+H10,IF(Q10=5,C10+D10+E10+F10+G10,0))))))))</f>
        <v>3195676.8800000004</v>
      </c>
      <c r="Q10" s="1297">
        <f>COUNTA(#REF!,#REF!,#REF!,#REF!,#REF!,#REF!,#REF!,#REF!,#REF!,#REF!,#REF!,#REF!)</f>
        <v>12</v>
      </c>
    </row>
    <row r="11" spans="2:17" x14ac:dyDescent="0.25">
      <c r="B11" s="614" t="s">
        <v>214</v>
      </c>
      <c r="C11" s="610">
        <f>'F) Remuneraciones'!L18</f>
        <v>0</v>
      </c>
      <c r="D11" s="610">
        <v>0</v>
      </c>
      <c r="E11" s="610">
        <v>0</v>
      </c>
      <c r="F11" s="610">
        <v>0</v>
      </c>
      <c r="G11" s="610">
        <v>0</v>
      </c>
      <c r="H11" s="610">
        <v>0</v>
      </c>
      <c r="I11" s="610">
        <v>0</v>
      </c>
      <c r="J11" s="610">
        <v>0</v>
      </c>
      <c r="K11" s="610">
        <v>0</v>
      </c>
      <c r="L11" s="610">
        <v>0</v>
      </c>
      <c r="M11" s="610">
        <v>0</v>
      </c>
      <c r="N11" s="610">
        <v>0</v>
      </c>
      <c r="O11" s="615">
        <f t="shared" si="0"/>
        <v>0</v>
      </c>
      <c r="P11" s="610">
        <f>SUM('F) Remuneraciones'!$L$18:$L$24)/4</f>
        <v>0</v>
      </c>
      <c r="Q11" s="1297"/>
    </row>
    <row r="12" spans="2:17" x14ac:dyDescent="0.25">
      <c r="B12" s="614" t="s">
        <v>215</v>
      </c>
      <c r="C12" s="610">
        <f>'F) Remuneraciones'!J12/2</f>
        <v>77871.5</v>
      </c>
      <c r="D12" s="610">
        <v>0</v>
      </c>
      <c r="E12" s="610">
        <f>'[1]Informe de remuneraciones'!$S$21</f>
        <v>0</v>
      </c>
      <c r="F12" s="610">
        <v>0</v>
      </c>
      <c r="G12" s="610">
        <v>0</v>
      </c>
      <c r="H12" s="610">
        <v>0</v>
      </c>
      <c r="I12" s="610">
        <v>0</v>
      </c>
      <c r="J12" s="610">
        <v>0</v>
      </c>
      <c r="K12" s="610">
        <f>'F) Remuneraciones'!K12/2</f>
        <v>26171</v>
      </c>
      <c r="L12" s="610">
        <v>0</v>
      </c>
      <c r="M12" s="610">
        <v>0</v>
      </c>
      <c r="N12" s="610">
        <f>C12+K12</f>
        <v>104042.5</v>
      </c>
      <c r="O12" s="615">
        <f t="shared" si="0"/>
        <v>208085</v>
      </c>
      <c r="P12" s="429">
        <f>IF(Q12=12,C12+D12+E12+F12+G12+H12+I12+J12+K12+L12+M12+N12,IF(Q12=11,C12+D12+E12+F12+G12+H12+I12+J12+K12+L12+M12,IF(Q12=10,C12+D12+E12+F12+G12+H12+I12+J12+K12+L12,IF(Q12=9,C12+D12+E12+F12+G12+H12+I12+J12+K12,IF(Q12=8,C12+D12+E12+F12+G12+H12+I12+J12,IF(Q12=7,C12+D12+E12+F12+G12+H12+I12,IF(Q12=6,C12+D12+E12+F12+G12+H12,IF(Q12=5,C12+D12+E12+F12+G12,0))))))))</f>
        <v>208085</v>
      </c>
      <c r="Q12" s="585">
        <f>COUNTA(#REF!,#REF!,#REF!,#REF!,#REF!,#REF!,#REF!,#REF!,#REF!,#REF!,#REF!,#REF!)</f>
        <v>12</v>
      </c>
    </row>
    <row r="13" spans="2:17" x14ac:dyDescent="0.25">
      <c r="B13" s="614" t="s">
        <v>216</v>
      </c>
      <c r="C13" s="610">
        <f>'C) Estimación Costos Directos'!$H$19*C17</f>
        <v>26111.64</v>
      </c>
      <c r="D13" s="610">
        <f>'C) Estimación Costos Directos'!$H$19*D17</f>
        <v>78334.92</v>
      </c>
      <c r="E13" s="610">
        <f>'C) Estimación Costos Directos'!$H$19*E17</f>
        <v>130558.20000000001</v>
      </c>
      <c r="F13" s="610">
        <f>'C) Estimación Costos Directos'!$H$19*F17</f>
        <v>339451.32</v>
      </c>
      <c r="G13" s="610">
        <f>'C) Estimación Costos Directos'!$H$19*G17</f>
        <v>443897.88</v>
      </c>
      <c r="H13" s="610">
        <f>'C) Estimación Costos Directos'!$H$19*H17</f>
        <v>182781.48</v>
      </c>
      <c r="I13" s="610">
        <f>'C) Estimación Costos Directos'!$H$19*I17</f>
        <v>26111.64</v>
      </c>
      <c r="J13" s="610">
        <f>'C) Estimación Costos Directos'!$H$19*J17</f>
        <v>130558.20000000001</v>
      </c>
      <c r="K13" s="610">
        <f>'C) Estimación Costos Directos'!$H$19*K17</f>
        <v>365562.96</v>
      </c>
      <c r="L13" s="610">
        <f>'C) Estimación Costos Directos'!$H$19*L17</f>
        <v>235004.75999999998</v>
      </c>
      <c r="M13" s="610">
        <f>'C) Estimación Costos Directos'!$H$19*M17</f>
        <v>365562.96</v>
      </c>
      <c r="N13" s="610">
        <f>'C) Estimación Costos Directos'!$H$19*N17</f>
        <v>287228.03999999998</v>
      </c>
      <c r="O13" s="615">
        <f t="shared" si="0"/>
        <v>2611164</v>
      </c>
      <c r="P13" s="429">
        <f>IF(Q13=12,C13+D13+E13+F13+G13+H13+I13+J13+K13+L13+M13+N13,IF(Q13=11,C13+D13+E13+F13+G13+H13+I13+J13+K13+L13+M13,IF(Q13=10,C13+D13+E13+F13+G13+H13+I13+J13+K13+L13,IF(Q13=9,C13+D13+E13+F13+G13+H13+I13+J13+K13,IF(Q13=8,C13+D13+E13+F13+G13+H13+I13+J13,IF(Q13=7,C13+D13+E13+F13+G13+H13+I13,IF(Q13=6,C13+D13+E13+F13+G13+H13,IF(Q13=5,C13+D13+E13+F13+G13,0))))))))</f>
        <v>2611164</v>
      </c>
      <c r="Q13" s="585">
        <f>COUNTA(#REF!,#REF!,#REF!,#REF!,#REF!,#REF!,#REF!,#REF!,#REF!,#REF!,#REF!,#REF!)</f>
        <v>12</v>
      </c>
    </row>
    <row r="14" spans="2:17" ht="15.75" thickBot="1" x14ac:dyDescent="0.3">
      <c r="B14" s="623" t="s">
        <v>223</v>
      </c>
      <c r="C14" s="624">
        <f>'C) Estimación Costos Directos'!$H$39*C18</f>
        <v>60388.46</v>
      </c>
      <c r="D14" s="624">
        <f>'C) Estimación Costos Directos'!$H$39*D18</f>
        <v>181165.38</v>
      </c>
      <c r="E14" s="624">
        <f>'C) Estimación Costos Directos'!$H$39*E18</f>
        <v>301942.3</v>
      </c>
      <c r="F14" s="624">
        <f>'C) Estimación Costos Directos'!$H$39*F18</f>
        <v>785049.98</v>
      </c>
      <c r="G14" s="624">
        <f>'C) Estimación Costos Directos'!$H$39*G18</f>
        <v>1026603.8200000001</v>
      </c>
      <c r="H14" s="624">
        <f>'C) Estimación Costos Directos'!$H$39*H18</f>
        <v>422719.22000000003</v>
      </c>
      <c r="I14" s="624">
        <f>'C) Estimación Costos Directos'!$H$39*I18</f>
        <v>60388.46</v>
      </c>
      <c r="J14" s="624">
        <f>'C) Estimación Costos Directos'!$H$39*J18</f>
        <v>301942.3</v>
      </c>
      <c r="K14" s="624">
        <f>'C) Estimación Costos Directos'!$H$39*K18</f>
        <v>845438.44000000006</v>
      </c>
      <c r="L14" s="624">
        <f>'C) Estimación Costos Directos'!$H$39*L18</f>
        <v>543496.14</v>
      </c>
      <c r="M14" s="624">
        <f>'C) Estimación Costos Directos'!$H$39*M18</f>
        <v>845438.44000000006</v>
      </c>
      <c r="N14" s="624">
        <f>'C) Estimación Costos Directos'!$H$39*N18</f>
        <v>664273.06000000006</v>
      </c>
      <c r="O14" s="625">
        <f t="shared" si="0"/>
        <v>6038846</v>
      </c>
      <c r="P14" s="429">
        <f>IF(Q14=12,C14+D14+E14+F14+G14+H14+I14+J14+K14+L14+M14+N14,IF(Q14=11,C14+D14+E14+F14+G14+H14+I14+J14+K14+L14+M14,IF(Q14=10,C14+D14+E14+F14+G14+H14+I14+J14+K14+L14,IF(Q14=9,C14+D14+E14+F14+G14+H14+I14+J14+K14,IF(Q14=8,C14+D14+E14+F14+G14+H14+I14+J14,IF(Q14=7,C14+D14+E14+F14+G14+H14+I14,IF(Q14=6,C14+D14+E14+F14+G14+H14,IF(Q14=5,C14+D14+E14+F14+G14,0))))))))</f>
        <v>6038846</v>
      </c>
      <c r="Q14" s="585">
        <f>COUNTA(#REF!,#REF!,#REF!,#REF!,#REF!,#REF!,#REF!,#REF!,#REF!,#REF!,#REF!,#REF!)</f>
        <v>12</v>
      </c>
    </row>
    <row r="15" spans="2:17" ht="15.75" thickBot="1" x14ac:dyDescent="0.3">
      <c r="B15" s="658" t="s">
        <v>217</v>
      </c>
      <c r="C15" s="626">
        <f>C9-(C10+C11+C12+C13+C14)</f>
        <v>1282489.9933333332</v>
      </c>
      <c r="D15" s="631">
        <f t="shared" ref="D15:M15" si="1">D9-(D10+D11+D12+D13+D14)</f>
        <v>2472237.2933333339</v>
      </c>
      <c r="E15" s="631">
        <f t="shared" si="1"/>
        <v>157777.09333333327</v>
      </c>
      <c r="F15" s="631">
        <f t="shared" si="1"/>
        <v>-320077.70666666655</v>
      </c>
      <c r="G15" s="631">
        <f t="shared" si="1"/>
        <v>-237786.10666666646</v>
      </c>
      <c r="H15" s="631">
        <f t="shared" si="1"/>
        <v>627214.89333333354</v>
      </c>
      <c r="I15" s="631">
        <f t="shared" si="1"/>
        <v>717923.49333333329</v>
      </c>
      <c r="J15" s="631">
        <f t="shared" si="1"/>
        <v>-484660.90666666673</v>
      </c>
      <c r="K15" s="631">
        <f t="shared" si="1"/>
        <v>-1075186.8066666666</v>
      </c>
      <c r="L15" s="631">
        <f t="shared" si="1"/>
        <v>3238112.6933333334</v>
      </c>
      <c r="M15" s="631">
        <f t="shared" si="1"/>
        <v>1092444.1933333334</v>
      </c>
      <c r="N15" s="631">
        <f>N9-(N10+N11+N12+N13+N14)</f>
        <v>1890339.9933333332</v>
      </c>
      <c r="O15" s="632">
        <f t="shared" si="0"/>
        <v>9360828.120000001</v>
      </c>
      <c r="P15" s="429"/>
      <c r="Q15" s="585"/>
    </row>
    <row r="16" spans="2:17" x14ac:dyDescent="0.25">
      <c r="B16" s="572" t="s">
        <v>218</v>
      </c>
      <c r="C16" s="192">
        <v>0.08</v>
      </c>
      <c r="D16" s="192">
        <v>0.14000000000000001</v>
      </c>
      <c r="E16" s="192">
        <v>0.04</v>
      </c>
      <c r="F16" s="192">
        <v>0.05</v>
      </c>
      <c r="G16" s="192">
        <v>7.0000000000000007E-2</v>
      </c>
      <c r="H16" s="192">
        <v>7.0000000000000007E-2</v>
      </c>
      <c r="I16" s="192">
        <v>0.05</v>
      </c>
      <c r="J16" s="192">
        <v>0.01</v>
      </c>
      <c r="K16" s="192">
        <v>0.02</v>
      </c>
      <c r="L16" s="192">
        <v>0.2</v>
      </c>
      <c r="M16" s="192">
        <v>0.12</v>
      </c>
      <c r="N16" s="192">
        <v>0.15</v>
      </c>
      <c r="O16" s="583"/>
    </row>
    <row r="17" spans="2:17" x14ac:dyDescent="0.25">
      <c r="B17" s="573" t="s">
        <v>219</v>
      </c>
      <c r="C17" s="409">
        <v>0.01</v>
      </c>
      <c r="D17" s="409">
        <v>0.03</v>
      </c>
      <c r="E17" s="409">
        <v>0.05</v>
      </c>
      <c r="F17" s="409">
        <v>0.13</v>
      </c>
      <c r="G17" s="409">
        <v>0.17</v>
      </c>
      <c r="H17" s="409">
        <v>7.0000000000000007E-2</v>
      </c>
      <c r="I17" s="409">
        <v>0.01</v>
      </c>
      <c r="J17" s="409">
        <v>0.05</v>
      </c>
      <c r="K17" s="409">
        <v>0.14000000000000001</v>
      </c>
      <c r="L17" s="409">
        <v>0.09</v>
      </c>
      <c r="M17" s="409">
        <v>0.14000000000000001</v>
      </c>
      <c r="N17" s="409">
        <v>0.11</v>
      </c>
    </row>
    <row r="18" spans="2:17" ht="15.75" thickBot="1" x14ac:dyDescent="0.3">
      <c r="B18" s="573" t="s">
        <v>224</v>
      </c>
      <c r="C18" s="409">
        <v>0.01</v>
      </c>
      <c r="D18" s="409">
        <v>0.03</v>
      </c>
      <c r="E18" s="409">
        <v>0.05</v>
      </c>
      <c r="F18" s="409">
        <v>0.13</v>
      </c>
      <c r="G18" s="409">
        <v>0.17</v>
      </c>
      <c r="H18" s="409">
        <v>7.0000000000000007E-2</v>
      </c>
      <c r="I18" s="409">
        <v>0.01</v>
      </c>
      <c r="J18" s="409">
        <v>0.05</v>
      </c>
      <c r="K18" s="409">
        <v>0.14000000000000001</v>
      </c>
      <c r="L18" s="409">
        <v>0.09</v>
      </c>
      <c r="M18" s="409">
        <v>0.14000000000000001</v>
      </c>
      <c r="N18" s="409">
        <v>0.11</v>
      </c>
    </row>
    <row r="19" spans="2:17" ht="15.75" thickBot="1" x14ac:dyDescent="0.3">
      <c r="B19" s="619" t="s">
        <v>220</v>
      </c>
      <c r="C19" s="620" t="s">
        <v>200</v>
      </c>
      <c r="D19" s="620" t="s">
        <v>201</v>
      </c>
      <c r="E19" s="620" t="s">
        <v>202</v>
      </c>
      <c r="F19" s="620" t="s">
        <v>203</v>
      </c>
      <c r="G19" s="620" t="s">
        <v>204</v>
      </c>
      <c r="H19" s="620" t="s">
        <v>205</v>
      </c>
      <c r="I19" s="620" t="s">
        <v>206</v>
      </c>
      <c r="J19" s="621" t="s">
        <v>207</v>
      </c>
      <c r="K19" s="620" t="s">
        <v>208</v>
      </c>
      <c r="L19" s="620" t="s">
        <v>209</v>
      </c>
      <c r="M19" s="620" t="s">
        <v>210</v>
      </c>
      <c r="N19" s="620" t="s">
        <v>211</v>
      </c>
      <c r="O19" s="622" t="s">
        <v>294</v>
      </c>
      <c r="P19" s="429"/>
      <c r="Q19" s="584" t="s">
        <v>287</v>
      </c>
    </row>
    <row r="20" spans="2:17" x14ac:dyDescent="0.25">
      <c r="B20" s="616" t="s">
        <v>212</v>
      </c>
      <c r="C20" s="617">
        <f>'A) Resumen Ingresos y Egresos'!$D$10*C27</f>
        <v>9401</v>
      </c>
      <c r="D20" s="617">
        <f>'A) Resumen Ingresos y Egresos'!$D$10*D27</f>
        <v>9401</v>
      </c>
      <c r="E20" s="617">
        <f>'A) Resumen Ingresos y Egresos'!$D$10*E27</f>
        <v>56406</v>
      </c>
      <c r="F20" s="617">
        <f>'A) Resumen Ingresos y Egresos'!$D$10*F27</f>
        <v>75208</v>
      </c>
      <c r="G20" s="617">
        <f>'A) Resumen Ingresos y Egresos'!$D$10*G27</f>
        <v>150416</v>
      </c>
      <c r="H20" s="617">
        <f>'A) Resumen Ingresos y Egresos'!$D$10*H27</f>
        <v>122213</v>
      </c>
      <c r="I20" s="617">
        <f>'A) Resumen Ingresos y Egresos'!$D$10*I27</f>
        <v>28203</v>
      </c>
      <c r="J20" s="617">
        <f>'A) Resumen Ingresos y Egresos'!$D$10*J27</f>
        <v>84609</v>
      </c>
      <c r="K20" s="617">
        <f>'A) Resumen Ingresos y Egresos'!$D$10*K27</f>
        <v>75208</v>
      </c>
      <c r="L20" s="617">
        <f>'A) Resumen Ingresos y Egresos'!$D$10*L27</f>
        <v>122213</v>
      </c>
      <c r="M20" s="617">
        <f>'A) Resumen Ingresos y Egresos'!$D$10*M27</f>
        <v>112812</v>
      </c>
      <c r="N20" s="617">
        <f>'A) Resumen Ingresos y Egresos'!$D$10*N27</f>
        <v>94010</v>
      </c>
      <c r="O20" s="618">
        <f t="shared" ref="O20:O26" si="2">SUM(C20:N20)</f>
        <v>940100</v>
      </c>
      <c r="P20" s="429">
        <f>IF(Q20=12,C20+D20+E20+F20+G20+H20+I20+J20+K20+L20+M20+N20,IF(Q20=11,C20+D20+E20+F20+G20+H20+I20+J20+K20+L20+M20,IF(Q20=10,C20+D20+E20+F20+G20+H20+I20+J20+K20+L20,IF(Q20=9,C20+D20+E20+F20+G20+H20+I20+J20+K20,IF(Q20=8,C20+D20+E20+F20+G20+H20+I20+J20,IF(Q20=7,C20+D20+E20+F20+G20+H20+I20,IF(Q20=6,C20+D20+E20+F20+G20+H20,IF(Q20=5,C20+D20+E20+F20+G20,0))))))))</f>
        <v>940100</v>
      </c>
      <c r="Q20" s="585">
        <f>COUNTA(#REF!,#REF!,#REF!,#REF!,#REF!,#REF!,#REF!,#REF!,#REF!,#REF!,#REF!,#REF!)</f>
        <v>12</v>
      </c>
    </row>
    <row r="21" spans="2:17" x14ac:dyDescent="0.25">
      <c r="B21" s="614" t="s">
        <v>213</v>
      </c>
      <c r="C21" s="610">
        <f>'F) Remuneraciones'!$I$26/12</f>
        <v>85575.746666666659</v>
      </c>
      <c r="D21" s="610">
        <f>'F) Remuneraciones'!$I$26/12</f>
        <v>85575.746666666659</v>
      </c>
      <c r="E21" s="610">
        <f>'F) Remuneraciones'!$I$26/12</f>
        <v>85575.746666666659</v>
      </c>
      <c r="F21" s="610">
        <f>'F) Remuneraciones'!$I$26/12</f>
        <v>85575.746666666659</v>
      </c>
      <c r="G21" s="610">
        <f>'F) Remuneraciones'!$I$26/12</f>
        <v>85575.746666666659</v>
      </c>
      <c r="H21" s="610">
        <f>'F) Remuneraciones'!$I$26/12</f>
        <v>85575.746666666659</v>
      </c>
      <c r="I21" s="610">
        <f>'F) Remuneraciones'!$I$26/12</f>
        <v>85575.746666666659</v>
      </c>
      <c r="J21" s="610">
        <f>'F) Remuneraciones'!$I$26/12</f>
        <v>85575.746666666659</v>
      </c>
      <c r="K21" s="610">
        <f>'F) Remuneraciones'!$I$26/12</f>
        <v>85575.746666666659</v>
      </c>
      <c r="L21" s="610">
        <f>'F) Remuneraciones'!$I$26/12</f>
        <v>85575.746666666659</v>
      </c>
      <c r="M21" s="610">
        <f>'F) Remuneraciones'!$I$26/12</f>
        <v>85575.746666666659</v>
      </c>
      <c r="N21" s="610">
        <f>'F) Remuneraciones'!$I$26/12</f>
        <v>85575.746666666659</v>
      </c>
      <c r="O21" s="615">
        <f t="shared" si="2"/>
        <v>1026908.9600000001</v>
      </c>
      <c r="P21" s="609">
        <f>IF(Q21=12,C21+D21+E21+F21+G21+H21+I21+J21+K21+L21+M21+N21,IF(Q21=11,C21+D21+E21+F21+G21+H21+I21+J21+K21+L21+M21,IF(Q21=10,C21+D21+E21+F21+G21+H21+I21+J21+K21+L21,IF(Q21=9,C21+D21+E21+F21+G21+H21+I21+J21+K21,IF(Q21=8,C21+D21+E21+F21+G21+H21+I21+J21,IF(Q21=7,C21+D21+E21+F21+G21+H21+I21,IF(Q21=6,C21+D21+E21+F21+G21+H21,IF(Q21=5,C21+D21+E21+F21+G21,0))))))))</f>
        <v>1026908.9600000001</v>
      </c>
      <c r="Q21" s="1297">
        <f>COUNTA(#REF!,#REF!,#REF!,#REF!,#REF!,#REF!,#REF!,#REF!,#REF!,#REF!,#REF!,#REF!)</f>
        <v>12</v>
      </c>
    </row>
    <row r="22" spans="2:17" x14ac:dyDescent="0.25">
      <c r="B22" s="614" t="s">
        <v>214</v>
      </c>
      <c r="C22" s="610">
        <f>'F) Remuneraciones'!L32</f>
        <v>0</v>
      </c>
      <c r="D22" s="610">
        <v>0</v>
      </c>
      <c r="E22" s="610">
        <v>0</v>
      </c>
      <c r="F22" s="610">
        <v>0</v>
      </c>
      <c r="G22" s="610">
        <v>0</v>
      </c>
      <c r="H22" s="610">
        <v>0</v>
      </c>
      <c r="I22" s="610">
        <v>0</v>
      </c>
      <c r="J22" s="610">
        <f>I22</f>
        <v>0</v>
      </c>
      <c r="K22" s="610">
        <f>J22</f>
        <v>0</v>
      </c>
      <c r="L22" s="610">
        <f>K22</f>
        <v>0</v>
      </c>
      <c r="M22" s="610">
        <f>L22</f>
        <v>0</v>
      </c>
      <c r="N22" s="610">
        <v>0</v>
      </c>
      <c r="O22" s="615">
        <f t="shared" si="2"/>
        <v>0</v>
      </c>
      <c r="P22" s="609">
        <f>IF(Q21=12,C22+D22+E22+F22+G22+H22+I22+J22+K22+L22+M22+N22,IF(Q21=11,C22+D22+E22+F22+G22+H22+I22+J22+K22+L22+M22,IF(Q21=10,C22+D22+E22+F22+G22+H22+I22+J22+K22+L22,IF(Q21=9,C22+D22+E22+F22+G22+H22+I22+J22+K22,IF(Q21=8,C22+D22+E22+F22+G22+H22+I22+J22,IF(Q21=7,C22+D22+E22+F22+G22+H22+I22,IF(Q21=6,C22+D22+E22+F22+G22+H22,IF(Q21=5,C22+D22+E22+F22+G22,0))))))))</f>
        <v>0</v>
      </c>
      <c r="Q22" s="1297"/>
    </row>
    <row r="23" spans="2:17" x14ac:dyDescent="0.25">
      <c r="B23" s="614" t="s">
        <v>215</v>
      </c>
      <c r="C23" s="610">
        <f>SUM('F) Remuneraciones'!J25:J38)/2</f>
        <v>19467.5</v>
      </c>
      <c r="D23" s="610">
        <v>0</v>
      </c>
      <c r="E23" s="610">
        <v>0</v>
      </c>
      <c r="F23" s="610">
        <v>0</v>
      </c>
      <c r="G23" s="610">
        <v>0</v>
      </c>
      <c r="H23" s="610">
        <v>0</v>
      </c>
      <c r="I23" s="610">
        <v>0</v>
      </c>
      <c r="J23" s="610">
        <v>0</v>
      </c>
      <c r="K23" s="610">
        <f>SUM('F) Remuneraciones'!K25:K38)/2</f>
        <v>8723.5</v>
      </c>
      <c r="L23" s="610">
        <v>0</v>
      </c>
      <c r="M23" s="610">
        <v>0</v>
      </c>
      <c r="N23" s="610">
        <f>+C23+K23</f>
        <v>28191</v>
      </c>
      <c r="O23" s="615">
        <f t="shared" si="2"/>
        <v>56382</v>
      </c>
      <c r="P23" s="429">
        <f>IF(Q23=12,C23+D23+E23+F23+G23+H23+I23+J23+K23+L23+M23+N23,IF(Q23=11,C23+D23+E23+F23+G23+H23+I23+J23+K23+L23+M23,IF(Q23=10,C23+D23+E23+F23+G23+H23+I23+J23+K23+L23,IF(Q23=9,C23+D23+E23+F23+G23+H23+I23+J23+K23,IF(Q23=8,C23+D23+E23+F23+G23+H23+I23+J23,IF(Q23=7,C23+D23+E23+F23+G23+H23+I23,IF(Q23=6,C23+D23+E23+F23+G23+H23,IF(Q23=5,C23+D23+E23+F23+G23,0))))))))</f>
        <v>56382</v>
      </c>
      <c r="Q23" s="585">
        <f>COUNTA(#REF!,#REF!,#REF!,#REF!,#REF!,#REF!,#REF!,#REF!,#REF!,#REF!,#REF!,#REF!)</f>
        <v>12</v>
      </c>
    </row>
    <row r="24" spans="2:17" x14ac:dyDescent="0.25">
      <c r="B24" s="614" t="s">
        <v>216</v>
      </c>
      <c r="C24" s="610">
        <f>('C) Estimación Costos Directos'!$H$83-'C) Estimación Costos Directos'!$H$84)*C28</f>
        <v>0</v>
      </c>
      <c r="D24" s="610">
        <f>('C) Estimación Costos Directos'!$H$83-'C) Estimación Costos Directos'!$H$84)*D28</f>
        <v>0</v>
      </c>
      <c r="E24" s="610">
        <f>('C) Estimación Costos Directos'!$H$83-'C) Estimación Costos Directos'!$H$84)*E28</f>
        <v>102000.00000000001</v>
      </c>
      <c r="F24" s="610">
        <f>('C) Estimación Costos Directos'!$H$83-'C) Estimación Costos Directos'!$H$84)*F28</f>
        <v>0</v>
      </c>
      <c r="G24" s="610">
        <f>('C) Estimación Costos Directos'!$H$83-'C) Estimación Costos Directos'!$H$84)*G28</f>
        <v>78000</v>
      </c>
      <c r="H24" s="610">
        <f>('C) Estimación Costos Directos'!$H$83-'C) Estimación Costos Directos'!$H$84)*H28</f>
        <v>12000</v>
      </c>
      <c r="I24" s="610">
        <f>('C) Estimación Costos Directos'!$H$83-'C) Estimación Costos Directos'!$H$84)*I28</f>
        <v>0</v>
      </c>
      <c r="J24" s="610">
        <f>('C) Estimación Costos Directos'!$H$83-'C) Estimación Costos Directos'!$H$84)*J28</f>
        <v>0</v>
      </c>
      <c r="K24" s="610">
        <f>('C) Estimación Costos Directos'!$H$83-'C) Estimación Costos Directos'!$H$84)*K28</f>
        <v>0</v>
      </c>
      <c r="L24" s="610">
        <f>('C) Estimación Costos Directos'!$H$83-'C) Estimación Costos Directos'!$H$84)*L28</f>
        <v>42000.000000000007</v>
      </c>
      <c r="M24" s="610">
        <f>('C) Estimación Costos Directos'!$H$83-'C) Estimación Costos Directos'!$H$84)*M28</f>
        <v>84000.000000000015</v>
      </c>
      <c r="N24" s="610">
        <f>('C) Estimación Costos Directos'!$H$83-'C) Estimación Costos Directos'!$H$84)*N28</f>
        <v>282000</v>
      </c>
      <c r="O24" s="615">
        <f t="shared" si="2"/>
        <v>600000</v>
      </c>
      <c r="P24" s="429">
        <f>IF(Q24=12,C24+D24+E24+F24+G24+H24+I24+J24+K24+L24+M24+N24,IF(Q24=11,C24+D24+E24+F24+G24+H24+I24+J24+K24+L24+M24,IF(Q24=10,C24+D24+E24+F24+G24+H24+I24+J24+K24+L24,IF(Q24=9,C24+D24+E24+F24+G24+H24+I24+J24+K24,IF(Q24=8,C24+D24+E24+F24+G24+H24+I24+J24,IF(Q24=7,C24+D24+E24+F24+G24+H24+I24,IF(Q24=6,C24+D24+E24+F24+G24+H24,IF(Q24=5,C24+D24+E24+F24+G24,0))))))))</f>
        <v>600000</v>
      </c>
      <c r="Q24" s="585">
        <f>COUNTA(#REF!,#REF!,#REF!,#REF!,#REF!,#REF!,#REF!,#REF!,#REF!,#REF!,#REF!,#REF!)</f>
        <v>12</v>
      </c>
    </row>
    <row r="25" spans="2:17" ht="15.75" thickBot="1" x14ac:dyDescent="0.3">
      <c r="B25" s="628" t="s">
        <v>223</v>
      </c>
      <c r="C25" s="629">
        <f>'C) Estimación Costos Directos'!$H$111*C29</f>
        <v>0</v>
      </c>
      <c r="D25" s="629">
        <f>'C) Estimación Costos Directos'!$H$111*D29</f>
        <v>0</v>
      </c>
      <c r="E25" s="660">
        <f>'C) Estimación Costos Directos'!$H$111*E29</f>
        <v>457755.60000000003</v>
      </c>
      <c r="F25" s="660">
        <f>'C) Estimación Costos Directos'!$H$111*F29</f>
        <v>0</v>
      </c>
      <c r="G25" s="660">
        <f>'C) Estimación Costos Directos'!$H$111*G29</f>
        <v>350048.4</v>
      </c>
      <c r="H25" s="660">
        <f>'C) Estimación Costos Directos'!$H$111*H29</f>
        <v>53853.599999999999</v>
      </c>
      <c r="I25" s="660">
        <f>'C) Estimación Costos Directos'!$H$111*I29</f>
        <v>0</v>
      </c>
      <c r="J25" s="660">
        <f>'C) Estimación Costos Directos'!$H$111*J29</f>
        <v>0</v>
      </c>
      <c r="K25" s="660">
        <f>'C) Estimación Costos Directos'!$H$111*K29</f>
        <v>0</v>
      </c>
      <c r="L25" s="660">
        <f>'C) Estimación Costos Directos'!$H$111*L29</f>
        <v>188487.6</v>
      </c>
      <c r="M25" s="660">
        <f>'C) Estimación Costos Directos'!$H$111*M29</f>
        <v>376975.2</v>
      </c>
      <c r="N25" s="660">
        <f>'C) Estimación Costos Directos'!$H$111*N29</f>
        <v>1265559.5999999999</v>
      </c>
      <c r="O25" s="661">
        <f t="shared" si="2"/>
        <v>2692680</v>
      </c>
      <c r="P25" s="429">
        <f>IF(Q25=12,C25+D25+E25+F25+G25+H25+I25+J25+K25+L25+M25+N25,IF(Q25=11,C25+D25+E25+F25+G25+H25+I25+J25+K25+L25+M25,IF(Q25=10,C25+D25+E25+F25+G25+H25+I25+J25+K25+L25,IF(Q25=9,C25+D25+E25+F25+G25+H25+I25+J25+K25,IF(Q25=8,C25+D25+E25+F25+G25+H25+I25+J25,IF(Q25=7,C25+D25+E25+F25+G25+H25+I25,IF(Q25=6,C25+D25+E25+F25+G25+H25,IF(Q25=5,C25+D25+E25+F25+G25,0))))))))</f>
        <v>2692680</v>
      </c>
      <c r="Q25" s="585">
        <f>COUNTA(#REF!,#REF!,#REF!,#REF!,#REF!,#REF!,#REF!,#REF!,#REF!,#REF!,#REF!,#REF!)</f>
        <v>12</v>
      </c>
    </row>
    <row r="26" spans="2:17" ht="15.75" thickBot="1" x14ac:dyDescent="0.3">
      <c r="B26" s="193" t="s">
        <v>217</v>
      </c>
      <c r="C26" s="627">
        <f>C20-(C21+C22+C23+C24+C25)</f>
        <v>-95642.246666666659</v>
      </c>
      <c r="D26" s="659">
        <f t="shared" ref="D26:N26" si="3">D20-(D21+D22+D23+D24+D25)</f>
        <v>-76174.746666666659</v>
      </c>
      <c r="E26" s="626">
        <f t="shared" si="3"/>
        <v>-588925.34666666668</v>
      </c>
      <c r="F26" s="631">
        <f t="shared" si="3"/>
        <v>-10367.746666666659</v>
      </c>
      <c r="G26" s="631">
        <f t="shared" si="3"/>
        <v>-363208.14666666667</v>
      </c>
      <c r="H26" s="631">
        <f t="shared" si="3"/>
        <v>-29216.34666666665</v>
      </c>
      <c r="I26" s="631">
        <f t="shared" si="3"/>
        <v>-57372.746666666659</v>
      </c>
      <c r="J26" s="631">
        <f t="shared" si="3"/>
        <v>-966.74666666665871</v>
      </c>
      <c r="K26" s="631">
        <f t="shared" si="3"/>
        <v>-19091.246666666659</v>
      </c>
      <c r="L26" s="631">
        <f t="shared" si="3"/>
        <v>-193850.34666666668</v>
      </c>
      <c r="M26" s="631">
        <f t="shared" si="3"/>
        <v>-433738.94666666666</v>
      </c>
      <c r="N26" s="631">
        <f t="shared" si="3"/>
        <v>-1567316.3466666664</v>
      </c>
      <c r="O26" s="632">
        <f t="shared" si="2"/>
        <v>-3435870.96</v>
      </c>
      <c r="P26" s="429"/>
      <c r="Q26" s="585"/>
    </row>
    <row r="27" spans="2:17" x14ac:dyDescent="0.25">
      <c r="B27" s="574" t="s">
        <v>218</v>
      </c>
      <c r="C27" s="192">
        <v>0.01</v>
      </c>
      <c r="D27" s="192">
        <v>0.01</v>
      </c>
      <c r="E27" s="192">
        <v>0.06</v>
      </c>
      <c r="F27" s="192">
        <v>0.08</v>
      </c>
      <c r="G27" s="192">
        <v>0.16</v>
      </c>
      <c r="H27" s="192">
        <v>0.13</v>
      </c>
      <c r="I27" s="192">
        <v>0.03</v>
      </c>
      <c r="J27" s="192">
        <v>0.09</v>
      </c>
      <c r="K27" s="192">
        <v>0.08</v>
      </c>
      <c r="L27" s="192">
        <v>0.13</v>
      </c>
      <c r="M27" s="192">
        <v>0.12</v>
      </c>
      <c r="N27" s="192">
        <v>0.1</v>
      </c>
      <c r="O27" s="583"/>
    </row>
    <row r="28" spans="2:17" x14ac:dyDescent="0.25">
      <c r="B28" s="573" t="s">
        <v>219</v>
      </c>
      <c r="C28" s="409">
        <v>0</v>
      </c>
      <c r="D28" s="409">
        <v>0</v>
      </c>
      <c r="E28" s="409">
        <v>0.17</v>
      </c>
      <c r="F28" s="409">
        <v>0</v>
      </c>
      <c r="G28" s="409">
        <v>0.13</v>
      </c>
      <c r="H28" s="409">
        <v>0.02</v>
      </c>
      <c r="I28" s="409">
        <v>0</v>
      </c>
      <c r="J28" s="409">
        <v>0</v>
      </c>
      <c r="K28" s="409">
        <v>0</v>
      </c>
      <c r="L28" s="409">
        <v>7.0000000000000007E-2</v>
      </c>
      <c r="M28" s="409">
        <v>0.14000000000000001</v>
      </c>
      <c r="N28" s="409">
        <v>0.47</v>
      </c>
    </row>
    <row r="29" spans="2:17" ht="15.75" thickBot="1" x14ac:dyDescent="0.3">
      <c r="B29" s="573" t="s">
        <v>224</v>
      </c>
      <c r="C29" s="409">
        <v>0</v>
      </c>
      <c r="D29" s="409">
        <v>0</v>
      </c>
      <c r="E29" s="409">
        <v>0.17</v>
      </c>
      <c r="F29" s="409">
        <v>0</v>
      </c>
      <c r="G29" s="409">
        <v>0.13</v>
      </c>
      <c r="H29" s="409">
        <v>0.02</v>
      </c>
      <c r="I29" s="409">
        <v>0</v>
      </c>
      <c r="J29" s="409">
        <v>0</v>
      </c>
      <c r="K29" s="409">
        <v>0</v>
      </c>
      <c r="L29" s="409">
        <v>7.0000000000000007E-2</v>
      </c>
      <c r="M29" s="409">
        <v>0.14000000000000001</v>
      </c>
      <c r="N29" s="409">
        <v>0.47</v>
      </c>
    </row>
    <row r="30" spans="2:17" ht="15.75" thickBot="1" x14ac:dyDescent="0.3">
      <c r="B30" s="611" t="s">
        <v>221</v>
      </c>
      <c r="C30" s="612" t="s">
        <v>200</v>
      </c>
      <c r="D30" s="612" t="s">
        <v>201</v>
      </c>
      <c r="E30" s="612" t="s">
        <v>202</v>
      </c>
      <c r="F30" s="612" t="s">
        <v>203</v>
      </c>
      <c r="G30" s="612" t="s">
        <v>204</v>
      </c>
      <c r="H30" s="612" t="s">
        <v>205</v>
      </c>
      <c r="I30" s="612" t="s">
        <v>206</v>
      </c>
      <c r="J30" s="613" t="s">
        <v>207</v>
      </c>
      <c r="K30" s="612" t="s">
        <v>208</v>
      </c>
      <c r="L30" s="612" t="s">
        <v>209</v>
      </c>
      <c r="M30" s="612" t="s">
        <v>210</v>
      </c>
      <c r="N30" s="612" t="s">
        <v>211</v>
      </c>
      <c r="O30" s="622" t="s">
        <v>294</v>
      </c>
      <c r="P30" s="429"/>
      <c r="Q30" s="584" t="s">
        <v>287</v>
      </c>
    </row>
    <row r="31" spans="2:17" x14ac:dyDescent="0.25">
      <c r="B31" s="614" t="s">
        <v>212</v>
      </c>
      <c r="C31" s="610">
        <f>'A) Resumen Ingresos y Egresos'!$D$11*C38</f>
        <v>3292740</v>
      </c>
      <c r="D31" s="610">
        <f>'A) Resumen Ingresos y Egresos'!$D$11*D38</f>
        <v>2634192</v>
      </c>
      <c r="E31" s="610">
        <f>'A) Resumen Ingresos y Egresos'!$D$11*E38</f>
        <v>2634192</v>
      </c>
      <c r="F31" s="610">
        <f>'A) Resumen Ingresos y Egresos'!$D$11*F38</f>
        <v>1646370</v>
      </c>
      <c r="G31" s="610">
        <f>'A) Resumen Ingresos y Egresos'!$D$11*G38</f>
        <v>1317096</v>
      </c>
      <c r="H31" s="610">
        <f>'A) Resumen Ingresos y Egresos'!$D$11*H38</f>
        <v>658548</v>
      </c>
      <c r="I31" s="610">
        <f>'A) Resumen Ingresos y Egresos'!$D$11*I38</f>
        <v>1975644</v>
      </c>
      <c r="J31" s="610">
        <f>'A) Resumen Ingresos y Egresos'!$D$11*J38</f>
        <v>987822</v>
      </c>
      <c r="K31" s="610">
        <f>'A) Resumen Ingresos y Egresos'!$D$11*K38</f>
        <v>1646370</v>
      </c>
      <c r="L31" s="610">
        <f>'A) Resumen Ingresos y Egresos'!$D$11*L38</f>
        <v>5268384</v>
      </c>
      <c r="M31" s="610">
        <f>'A) Resumen Ingresos y Egresos'!$D$11*M38</f>
        <v>1975644</v>
      </c>
      <c r="N31" s="610">
        <f>'A) Resumen Ingresos y Egresos'!$D$11*N38</f>
        <v>8890398</v>
      </c>
      <c r="O31" s="615">
        <f>SUM(C31:N31)</f>
        <v>32927400</v>
      </c>
      <c r="P31" s="429">
        <f>IF(Q31=12,C31+D31+E31+F31+G31+H31+I31+J31+K31+L31+M31+N31,IF(Q31=11,C31+D31+E31+F31+G31+H31+I31+J31+K31+L31+M31,IF(Q31=10,C31+D31+E31+F31+G31+H31+I31+J31+K31+L31,IF(Q31=9,C31+D31+E31+F31+G31+H31+I31+J31+K31,IF(Q31=8,C31+D31+E31+F31+G31+H31+I31+J31,IF(Q31=7,C31+D31+E31+F31+G31+H31+I31,IF(Q31=6,C31+D31+E31+F31+G31+H31,IF(Q31=5,C31+D31+E31+F31+G31,0))))))))</f>
        <v>32927400</v>
      </c>
      <c r="Q31" s="585">
        <f>COUNTA(#REF!,#REF!,#REF!,#REF!,#REF!,#REF!,#REF!,#REF!,#REF!,#REF!,#REF!,#REF!)</f>
        <v>12</v>
      </c>
    </row>
    <row r="32" spans="2:17" x14ac:dyDescent="0.25">
      <c r="B32" s="614" t="s">
        <v>213</v>
      </c>
      <c r="C32" s="610">
        <f>'F) Remuneraciones'!$I$40/12</f>
        <v>351882.15333333332</v>
      </c>
      <c r="D32" s="610">
        <f>'F) Remuneraciones'!$I$40/12</f>
        <v>351882.15333333332</v>
      </c>
      <c r="E32" s="610">
        <f>'F) Remuneraciones'!$I$40/12</f>
        <v>351882.15333333332</v>
      </c>
      <c r="F32" s="610">
        <f>'F) Remuneraciones'!$I$40/12</f>
        <v>351882.15333333332</v>
      </c>
      <c r="G32" s="610">
        <f>'F) Remuneraciones'!$I$40/12</f>
        <v>351882.15333333332</v>
      </c>
      <c r="H32" s="610">
        <f>'F) Remuneraciones'!$I$40/12</f>
        <v>351882.15333333332</v>
      </c>
      <c r="I32" s="610">
        <f>'F) Remuneraciones'!$I$40/12</f>
        <v>351882.15333333332</v>
      </c>
      <c r="J32" s="610">
        <f>'F) Remuneraciones'!$I$40/12</f>
        <v>351882.15333333332</v>
      </c>
      <c r="K32" s="610">
        <f>'F) Remuneraciones'!$I$40/12</f>
        <v>351882.15333333332</v>
      </c>
      <c r="L32" s="610">
        <f>'F) Remuneraciones'!$I$40/12</f>
        <v>351882.15333333332</v>
      </c>
      <c r="M32" s="610">
        <f>'F) Remuneraciones'!$I$40/12</f>
        <v>351882.15333333332</v>
      </c>
      <c r="N32" s="610">
        <f>'F) Remuneraciones'!$I$40/12</f>
        <v>351882.15333333332</v>
      </c>
      <c r="O32" s="615">
        <f t="shared" ref="O32:O37" si="4">SUM(C32:N32)</f>
        <v>4222585.84</v>
      </c>
      <c r="P32" s="609">
        <f>IF(Q32=12,C32+D32+E32+F32+G32+H32+I32+J32+K32+L32+M32+N32,IF(Q32=11,C32+D32+E32+F32+G32+H32+I32+J32+K32+L32+M32,IF(Q32=10,C32+D32+E32+F32+G32+H32+I32+J32+K32+L32,IF(Q32=9,C32+D32+E32+F32+G32+H32+I32+J32+K32,IF(Q32=8,C32+D32+E32+F32+G32+H32+I32+J32,IF(Q32=7,C32+D32+E32+F32+G32+H32+I32,IF(Q32=6,C32+D32+E32+F32+G32+H32,IF(Q32=5,C32+D32+E32+F32+G32,0))))))))</f>
        <v>4222585.84</v>
      </c>
      <c r="Q32" s="1297">
        <f>COUNTA(#REF!,#REF!,#REF!,#REF!,#REF!,#REF!,#REF!,#REF!,#REF!,#REF!,#REF!,#REF!)</f>
        <v>12</v>
      </c>
    </row>
    <row r="33" spans="2:17" x14ac:dyDescent="0.25">
      <c r="B33" s="614" t="s">
        <v>214</v>
      </c>
      <c r="C33" s="610">
        <f>'F) Remuneraciones'!L46</f>
        <v>0</v>
      </c>
      <c r="D33" s="610">
        <v>0</v>
      </c>
      <c r="E33" s="610">
        <v>0</v>
      </c>
      <c r="F33" s="610">
        <v>0</v>
      </c>
      <c r="G33" s="610">
        <v>0</v>
      </c>
      <c r="H33" s="610">
        <v>0</v>
      </c>
      <c r="I33" s="610">
        <v>0</v>
      </c>
      <c r="J33" s="610">
        <v>0</v>
      </c>
      <c r="K33" s="610">
        <v>0</v>
      </c>
      <c r="L33" s="610">
        <v>0</v>
      </c>
      <c r="M33" s="610">
        <v>0</v>
      </c>
      <c r="N33" s="610">
        <v>0</v>
      </c>
      <c r="O33" s="615">
        <f t="shared" si="4"/>
        <v>0</v>
      </c>
      <c r="P33" s="609">
        <f>IF(Q32=12,C33+D33+E33+F33+G33+H33+I33+J33+K33+L33+M33+N33,IF(Q32=11,C33+D33+E33+F33+G33+H33+I33+J33+K33+L33+M33,IF(Q32=10,C33+D33+E33+F33+G33+H33+I33+J33+K33+L33,IF(Q32=9,C33+D33+E33+F33+G33+H33+I33+J33+K33,IF(Q32=8,C33+D33+E33+F33+G33+H33+I33+J33,IF(Q32=7,C33+D33+E33+F33+G33+H33+I33,IF(Q32=6,C33+D33+E33+F33+G33+H33,IF(Q32=5,C33+D33+E33+F33+G33,0))))))))</f>
        <v>0</v>
      </c>
      <c r="Q33" s="1297"/>
    </row>
    <row r="34" spans="2:17" x14ac:dyDescent="0.25">
      <c r="B34" s="614" t="s">
        <v>215</v>
      </c>
      <c r="C34" s="610">
        <f>SUM('F) Remuneraciones'!J39:J52)/2</f>
        <v>97339.5</v>
      </c>
      <c r="D34" s="610">
        <v>0</v>
      </c>
      <c r="E34" s="610">
        <v>0</v>
      </c>
      <c r="F34" s="610">
        <v>0</v>
      </c>
      <c r="G34" s="610">
        <v>0</v>
      </c>
      <c r="H34" s="610">
        <v>0</v>
      </c>
      <c r="I34" s="610">
        <v>0</v>
      </c>
      <c r="J34" s="610">
        <v>0</v>
      </c>
      <c r="K34" s="610">
        <f>SUM('F) Remuneraciones'!K39:K52)/2</f>
        <v>34894.5</v>
      </c>
      <c r="L34" s="610">
        <v>0</v>
      </c>
      <c r="M34" s="610">
        <v>0</v>
      </c>
      <c r="N34" s="610">
        <f>C34+K34</f>
        <v>132234</v>
      </c>
      <c r="O34" s="615">
        <f t="shared" si="4"/>
        <v>264468</v>
      </c>
      <c r="P34" s="429">
        <f>IF(Q34=12,C34+D34+E34+F34+G34+H34+I34+J34+K34+L34+M34+N34,IF(Q34=11,C34+D34+E34+F34+G34+H34+I34+J34+K34+L34+M34,IF(Q34=10,C34+D34+E34+F34+G34+H34+I34+J34+K34+L34,IF(Q34=9,C34+D34+E34+F34+G34+H34+I34+J34+K34,IF(Q34=8,C34+D34+E34+F34+G34+H34+I34+J34,IF(Q34=7,C34+D34+E34+F34+G34+H34+I34,IF(Q34=6,C34+D34+E34+F34+G34+H34,IF(Q34=5,C34+D34+E34+F34+G34,0))))))))</f>
        <v>264468</v>
      </c>
      <c r="Q34" s="585">
        <f>COUNTA(#REF!,#REF!,#REF!,#REF!,#REF!,#REF!,#REF!,#REF!,#REF!,#REF!,#REF!,#REF!)</f>
        <v>12</v>
      </c>
    </row>
    <row r="35" spans="2:17" x14ac:dyDescent="0.25">
      <c r="B35" s="614" t="s">
        <v>216</v>
      </c>
      <c r="C35" s="610">
        <f>('C) Estimación Costos Directos'!$H$155-'C) Estimación Costos Directos'!$H$156)*C39</f>
        <v>0</v>
      </c>
      <c r="D35" s="610">
        <f>('C) Estimación Costos Directos'!$H$155-'C) Estimación Costos Directos'!$H$156)*D39</f>
        <v>148759.01999999999</v>
      </c>
      <c r="E35" s="610">
        <f>('C) Estimación Costos Directos'!$H$155-'C) Estimación Costos Directos'!$H$156)*E39</f>
        <v>198345.36000000002</v>
      </c>
      <c r="F35" s="610">
        <f>('C) Estimación Costos Directos'!$H$155-'C) Estimación Costos Directos'!$H$156)*F39</f>
        <v>347104.38</v>
      </c>
      <c r="G35" s="610">
        <f>('C) Estimación Costos Directos'!$H$155-'C) Estimación Costos Directos'!$H$156)*G39</f>
        <v>694208.76</v>
      </c>
      <c r="H35" s="610">
        <f>('C) Estimación Costos Directos'!$H$155-'C) Estimación Costos Directos'!$H$156)*H39</f>
        <v>198345.36000000002</v>
      </c>
      <c r="I35" s="610">
        <f>('C) Estimación Costos Directos'!$H$155-'C) Estimación Costos Directos'!$H$156)*I39</f>
        <v>0</v>
      </c>
      <c r="J35" s="610">
        <f>('C) Estimación Costos Directos'!$H$155-'C) Estimación Costos Directos'!$H$156)*J39</f>
        <v>347104.38</v>
      </c>
      <c r="K35" s="610">
        <f>('C) Estimación Costos Directos'!$H$155-'C) Estimación Costos Directos'!$H$156)*K39</f>
        <v>743795.1</v>
      </c>
      <c r="L35" s="610">
        <f>('C) Estimación Costos Directos'!$H$155-'C) Estimación Costos Directos'!$H$156)*L39</f>
        <v>297518.03999999998</v>
      </c>
      <c r="M35" s="610">
        <f>('C) Estimación Costos Directos'!$H$155-'C) Estimación Costos Directos'!$H$156)*M39</f>
        <v>991726.8</v>
      </c>
      <c r="N35" s="610">
        <f>('C) Estimación Costos Directos'!$H$155-'C) Estimación Costos Directos'!$H$156)*N39</f>
        <v>991726.8</v>
      </c>
      <c r="O35" s="615">
        <f>SUM(C35:N35)</f>
        <v>4958634</v>
      </c>
      <c r="P35" s="429">
        <f>IF(Q35=12,C35+D35+E35+F35+G35+H35+I35+J35+K35+L35+M35+N35,IF(Q35=11,C35+D35+E35+F35+G35+H35+I35+J35+K35+L35+M35,IF(Q35=10,C35+D35+E35+F35+G35+H35+I35+J35+K35+L35,IF(Q35=9,C35+D35+E35+F35+G35+H35+I35+J35+K35,IF(Q35=8,C35+D35+E35+F35+G35+H35+I35+J35,IF(Q35=7,C35+D35+E35+F35+G35+H35+I35,IF(Q35=6,C35+D35+E35+F35+G35+H35,IF(Q35=5,C35+D35+E35+F35+G35,0))))))))</f>
        <v>4958634</v>
      </c>
      <c r="Q35" s="585">
        <f>COUNTA(#REF!,#REF!,#REF!,#REF!,#REF!,#REF!,#REF!,#REF!,#REF!,#REF!,#REF!,#REF!)</f>
        <v>12</v>
      </c>
    </row>
    <row r="36" spans="2:17" ht="15.75" thickBot="1" x14ac:dyDescent="0.3">
      <c r="B36" s="628" t="s">
        <v>223</v>
      </c>
      <c r="C36" s="629">
        <f>'C) Estimación Costos Directos'!$H$183*C40</f>
        <v>0</v>
      </c>
      <c r="D36" s="629">
        <f>'C) Estimación Costos Directos'!$H$183*D40</f>
        <v>115235.87999999999</v>
      </c>
      <c r="E36" s="660">
        <f>'C) Estimación Costos Directos'!$H$183*E40</f>
        <v>153647.84</v>
      </c>
      <c r="F36" s="660">
        <f>'C) Estimación Costos Directos'!$H$183*F40</f>
        <v>268883.72000000003</v>
      </c>
      <c r="G36" s="660">
        <f>'C) Estimación Costos Directos'!$H$183*G40</f>
        <v>537767.44000000006</v>
      </c>
      <c r="H36" s="660">
        <f>'C) Estimación Costos Directos'!$H$183*H40</f>
        <v>153647.84</v>
      </c>
      <c r="I36" s="660">
        <f>'C) Estimación Costos Directos'!$H$183*I40</f>
        <v>0</v>
      </c>
      <c r="J36" s="660">
        <f>'C) Estimación Costos Directos'!$H$183*J40</f>
        <v>268883.72000000003</v>
      </c>
      <c r="K36" s="660">
        <f>'C) Estimación Costos Directos'!$H$183*K40</f>
        <v>576179.4</v>
      </c>
      <c r="L36" s="660">
        <f>'C) Estimación Costos Directos'!$H$183*L40</f>
        <v>230471.75999999998</v>
      </c>
      <c r="M36" s="660">
        <f>'C) Estimación Costos Directos'!$H$183*M40</f>
        <v>768239.20000000007</v>
      </c>
      <c r="N36" s="660">
        <f>'C) Estimación Costos Directos'!$H$183*N40</f>
        <v>768239.20000000007</v>
      </c>
      <c r="O36" s="661">
        <f t="shared" si="4"/>
        <v>3841196</v>
      </c>
      <c r="P36" s="429">
        <f>IF(Q36=12,C36+D36+E36+F36+G36+H36+I36+J36+K36+L36+M36+N36,IF(Q36=11,C36+D36+E36+F36+G36+H36+I36+J36+K36+L36+M36,IF(Q36=10,C36+D36+E36+F36+G36+H36+I36+J36+K36+L36,IF(Q36=9,C36+D36+E36+F36+G36+H36+I36+J36+K36,IF(Q36=8,C36+D36+E36+F36+G36+H36+I36+J36,IF(Q36=7,C36+D36+E36+F36+G36+H36+I36,IF(Q36=6,C36+D36+E36+F36+G36+H36,IF(Q36=5,C36+D36+E36+F36+G36,0))))))))</f>
        <v>3841196</v>
      </c>
      <c r="Q36" s="585">
        <f>COUNTA(#REF!,#REF!,#REF!,#REF!,#REF!,#REF!,#REF!,#REF!,#REF!,#REF!,#REF!,#REF!)</f>
        <v>12</v>
      </c>
    </row>
    <row r="37" spans="2:17" ht="15.75" thickBot="1" x14ac:dyDescent="0.3">
      <c r="B37" s="193" t="s">
        <v>217</v>
      </c>
      <c r="C37" s="627">
        <f>C31-(C32+C33+C34+C35+C36)</f>
        <v>2843518.3466666667</v>
      </c>
      <c r="D37" s="659">
        <f t="shared" ref="D37:N37" si="5">D31-(D32+D33+D34+D35+D36)</f>
        <v>2018314.9466666668</v>
      </c>
      <c r="E37" s="626">
        <f t="shared" si="5"/>
        <v>1930316.6466666667</v>
      </c>
      <c r="F37" s="631">
        <f t="shared" si="5"/>
        <v>678499.74666666659</v>
      </c>
      <c r="G37" s="631">
        <f t="shared" si="5"/>
        <v>-266762.35333333351</v>
      </c>
      <c r="H37" s="631">
        <f t="shared" si="5"/>
        <v>-45327.353333333274</v>
      </c>
      <c r="I37" s="631">
        <f t="shared" si="5"/>
        <v>1623761.8466666667</v>
      </c>
      <c r="J37" s="631">
        <f t="shared" si="5"/>
        <v>19951.746666666586</v>
      </c>
      <c r="K37" s="631">
        <f t="shared" si="5"/>
        <v>-60381.153333333321</v>
      </c>
      <c r="L37" s="631">
        <f t="shared" si="5"/>
        <v>4388512.0466666669</v>
      </c>
      <c r="M37" s="631">
        <f t="shared" si="5"/>
        <v>-136204.15333333332</v>
      </c>
      <c r="N37" s="631">
        <f t="shared" si="5"/>
        <v>6646315.8466666667</v>
      </c>
      <c r="O37" s="632">
        <f t="shared" si="4"/>
        <v>19640516.16</v>
      </c>
      <c r="P37" s="429"/>
      <c r="Q37" s="585"/>
    </row>
    <row r="38" spans="2:17" x14ac:dyDescent="0.25">
      <c r="B38" s="574" t="s">
        <v>218</v>
      </c>
      <c r="C38" s="192">
        <v>0.1</v>
      </c>
      <c r="D38" s="192">
        <v>0.08</v>
      </c>
      <c r="E38" s="192">
        <v>0.08</v>
      </c>
      <c r="F38" s="192">
        <v>0.05</v>
      </c>
      <c r="G38" s="192">
        <v>0.04</v>
      </c>
      <c r="H38" s="192">
        <v>0.02</v>
      </c>
      <c r="I38" s="192">
        <v>0.06</v>
      </c>
      <c r="J38" s="192">
        <v>0.03</v>
      </c>
      <c r="K38" s="192">
        <v>0.05</v>
      </c>
      <c r="L38" s="192">
        <v>0.16</v>
      </c>
      <c r="M38" s="192">
        <v>0.06</v>
      </c>
      <c r="N38" s="192">
        <v>0.27</v>
      </c>
      <c r="O38" s="583"/>
    </row>
    <row r="39" spans="2:17" x14ac:dyDescent="0.25">
      <c r="B39" s="573" t="s">
        <v>219</v>
      </c>
      <c r="C39" s="409">
        <v>0</v>
      </c>
      <c r="D39" s="409">
        <v>0.03</v>
      </c>
      <c r="E39" s="409">
        <v>0.04</v>
      </c>
      <c r="F39" s="409">
        <v>7.0000000000000007E-2</v>
      </c>
      <c r="G39" s="409">
        <v>0.14000000000000001</v>
      </c>
      <c r="H39" s="409">
        <v>0.04</v>
      </c>
      <c r="I39" s="409">
        <v>0</v>
      </c>
      <c r="J39" s="409">
        <v>7.0000000000000007E-2</v>
      </c>
      <c r="K39" s="409">
        <v>0.15</v>
      </c>
      <c r="L39" s="409">
        <v>0.06</v>
      </c>
      <c r="M39" s="409">
        <v>0.2</v>
      </c>
      <c r="N39" s="409">
        <v>0.2</v>
      </c>
    </row>
    <row r="40" spans="2:17" ht="15.75" thickBot="1" x14ac:dyDescent="0.3">
      <c r="B40" s="573" t="s">
        <v>224</v>
      </c>
      <c r="C40" s="409">
        <v>0</v>
      </c>
      <c r="D40" s="409">
        <v>0.03</v>
      </c>
      <c r="E40" s="409">
        <v>0.04</v>
      </c>
      <c r="F40" s="409">
        <v>7.0000000000000007E-2</v>
      </c>
      <c r="G40" s="409">
        <v>0.14000000000000001</v>
      </c>
      <c r="H40" s="409">
        <v>0.04</v>
      </c>
      <c r="I40" s="409">
        <v>0</v>
      </c>
      <c r="J40" s="409">
        <v>7.0000000000000007E-2</v>
      </c>
      <c r="K40" s="409">
        <v>0.15</v>
      </c>
      <c r="L40" s="409">
        <v>0.06</v>
      </c>
      <c r="M40" s="409">
        <v>0.2</v>
      </c>
      <c r="N40" s="409">
        <v>0.2</v>
      </c>
    </row>
    <row r="41" spans="2:17" ht="15.75" thickBot="1" x14ac:dyDescent="0.3">
      <c r="B41" s="611" t="s">
        <v>222</v>
      </c>
      <c r="C41" s="612" t="s">
        <v>200</v>
      </c>
      <c r="D41" s="612" t="s">
        <v>201</v>
      </c>
      <c r="E41" s="612" t="s">
        <v>202</v>
      </c>
      <c r="F41" s="612" t="s">
        <v>203</v>
      </c>
      <c r="G41" s="612" t="s">
        <v>204</v>
      </c>
      <c r="H41" s="612" t="s">
        <v>205</v>
      </c>
      <c r="I41" s="612" t="s">
        <v>206</v>
      </c>
      <c r="J41" s="613" t="s">
        <v>207</v>
      </c>
      <c r="K41" s="612" t="s">
        <v>208</v>
      </c>
      <c r="L41" s="612" t="s">
        <v>209</v>
      </c>
      <c r="M41" s="612" t="s">
        <v>210</v>
      </c>
      <c r="N41" s="612" t="s">
        <v>211</v>
      </c>
      <c r="O41" s="622" t="s">
        <v>294</v>
      </c>
      <c r="P41" s="429"/>
      <c r="Q41" s="584" t="s">
        <v>287</v>
      </c>
    </row>
    <row r="42" spans="2:17" x14ac:dyDescent="0.25">
      <c r="B42" s="614" t="s">
        <v>212</v>
      </c>
      <c r="C42" s="610">
        <f>'A) Resumen Ingresos y Egresos'!$D$12*C49</f>
        <v>516700.00000000006</v>
      </c>
      <c r="D42" s="610">
        <f>'A) Resumen Ingresos y Egresos'!$D$12*D49</f>
        <v>516700.00000000006</v>
      </c>
      <c r="E42" s="610">
        <f>'A) Resumen Ingresos y Egresos'!$D$12*E49</f>
        <v>516700.00000000006</v>
      </c>
      <c r="F42" s="610">
        <f>'A) Resumen Ingresos y Egresos'!$D$12*F49</f>
        <v>516700.00000000006</v>
      </c>
      <c r="G42" s="610">
        <f>'A) Resumen Ingresos y Egresos'!$D$12*G49</f>
        <v>516700.00000000006</v>
      </c>
      <c r="H42" s="610">
        <f>'A) Resumen Ingresos y Egresos'!$D$12*H49</f>
        <v>516700.00000000006</v>
      </c>
      <c r="I42" s="610">
        <f>'A) Resumen Ingresos y Egresos'!$D$12*I49</f>
        <v>516700.00000000006</v>
      </c>
      <c r="J42" s="610">
        <f>'A) Resumen Ingresos y Egresos'!$D$12*J49</f>
        <v>516700.00000000006</v>
      </c>
      <c r="K42" s="610">
        <f>'A) Resumen Ingresos y Egresos'!$D$12*K49</f>
        <v>516700.00000000006</v>
      </c>
      <c r="L42" s="610">
        <f>'A) Resumen Ingresos y Egresos'!$D$12*L49</f>
        <v>516700.00000000006</v>
      </c>
      <c r="M42" s="610">
        <f>'A) Resumen Ingresos y Egresos'!$D$12*M49</f>
        <v>516700.00000000006</v>
      </c>
      <c r="N42" s="610">
        <f>'A) Resumen Ingresos y Egresos'!$D$12*N49</f>
        <v>516700.00000000006</v>
      </c>
      <c r="O42" s="615">
        <f t="shared" ref="O42:O48" si="6">SUM(C42:N42)</f>
        <v>6200400.0000000009</v>
      </c>
      <c r="P42" s="429">
        <f>IF(Q42=12,C42+D42+E42+F42+G42+H42+I42+J42+K42+L42+M42+N42,IF(Q42=11,C42+D42+E42+F42+G42+H42+I42+J42+K42+L42+M42,IF(Q42=10,C42+D42+E42+F42+G42+H42+I42+J42+K42+L42,IF(Q42=9,C42+D42+E42+F42+G42+H42+I42+J42+K42,IF(Q42=8,C42+D42+E42+F42+G42+H42+I42+J42,IF(Q42=7,C42+D42+E42+F42+G42+H42+I42,IF(Q42=6,C42+D42+E42+F42+G42+H42,IF(Q42=5,C42+D42+E42+F42+G42,0))))))))</f>
        <v>6200400.0000000009</v>
      </c>
      <c r="Q42" s="585">
        <f>COUNTA(#REF!,#REF!,#REF!,#REF!,#REF!,#REF!,#REF!,#REF!,#REF!,#REF!,#REF!,#REF!)</f>
        <v>12</v>
      </c>
    </row>
    <row r="43" spans="2:17" x14ac:dyDescent="0.25">
      <c r="B43" s="614" t="s">
        <v>213</v>
      </c>
      <c r="C43" s="610">
        <f>'F) Remuneraciones'!$I$54/12</f>
        <v>0</v>
      </c>
      <c r="D43" s="610">
        <f>'F) Remuneraciones'!$I$54/12</f>
        <v>0</v>
      </c>
      <c r="E43" s="610">
        <f>'F) Remuneraciones'!$I$54/12</f>
        <v>0</v>
      </c>
      <c r="F43" s="610">
        <f>'F) Remuneraciones'!$I$54/12</f>
        <v>0</v>
      </c>
      <c r="G43" s="610">
        <f>'F) Remuneraciones'!$I$54/12</f>
        <v>0</v>
      </c>
      <c r="H43" s="610">
        <f>'F) Remuneraciones'!$I$54/12</f>
        <v>0</v>
      </c>
      <c r="I43" s="610">
        <f>'F) Remuneraciones'!$I$54/12</f>
        <v>0</v>
      </c>
      <c r="J43" s="610">
        <f>'F) Remuneraciones'!$I$54/12</f>
        <v>0</v>
      </c>
      <c r="K43" s="610">
        <f>'F) Remuneraciones'!$I$54/12</f>
        <v>0</v>
      </c>
      <c r="L43" s="610">
        <f>'F) Remuneraciones'!$I$54/12</f>
        <v>0</v>
      </c>
      <c r="M43" s="610">
        <f>'F) Remuneraciones'!$I$54/12</f>
        <v>0</v>
      </c>
      <c r="N43" s="610">
        <f>'F) Remuneraciones'!$I$54/12</f>
        <v>0</v>
      </c>
      <c r="O43" s="615">
        <f t="shared" si="6"/>
        <v>0</v>
      </c>
      <c r="P43" s="609">
        <f>IF(Q43=12,C43+D43+E43+F43+G43+H43+I43+J43+K43+L43+M43+N43,IF(Q43=11,C43+D43+E43+F43+G43+H43+I43+J43+K43+L43+M43,IF(Q43=10,C43+D43+E43+F43+G43+H43+I43+J43+K43+L43,IF(Q43=9,C43+D43+E43+F43+G43+H43+I43+J43+K43,IF(Q43=8,C43+D43+E43+F43+G43+H43+I43+J43,IF(Q43=7,C43+D43+E43+F43+G43+H43+I43,IF(Q43=6,C43+D43+E43+F43+G43+H43,IF(Q43=5,C43+D43+E43+F43+G43,0))))))))</f>
        <v>0</v>
      </c>
      <c r="Q43" s="1297">
        <f>COUNTA(#REF!,#REF!,#REF!,#REF!,#REF!,#REF!,#REF!,#REF!,#REF!,#REF!,#REF!,#REF!)</f>
        <v>12</v>
      </c>
    </row>
    <row r="44" spans="2:17" x14ac:dyDescent="0.25">
      <c r="B44" s="614" t="s">
        <v>214</v>
      </c>
      <c r="C44" s="610">
        <f>SUM('F) Remuneraciones'!$I$60:$I$66)/4</f>
        <v>0</v>
      </c>
      <c r="D44" s="610">
        <v>0</v>
      </c>
      <c r="E44" s="610">
        <v>0</v>
      </c>
      <c r="F44" s="610">
        <v>0</v>
      </c>
      <c r="G44" s="610">
        <v>0</v>
      </c>
      <c r="H44" s="610">
        <v>0</v>
      </c>
      <c r="I44" s="610">
        <v>0</v>
      </c>
      <c r="J44" s="610">
        <v>0</v>
      </c>
      <c r="K44" s="610">
        <v>0</v>
      </c>
      <c r="L44" s="610">
        <v>0</v>
      </c>
      <c r="M44" s="610">
        <v>0</v>
      </c>
      <c r="N44" s="610">
        <v>0</v>
      </c>
      <c r="O44" s="615">
        <f t="shared" si="6"/>
        <v>0</v>
      </c>
      <c r="P44" s="609">
        <f>IF(Q43=12,C44+D44+E44+F44+G44+H44+I44+J44+K44+L44+M44+N44,IF(Q43=11,C44+D44+E44+F44+G44+H44+I44+J44+K44+L44+M44,IF(Q43=10,C44+D44+E44+F44+G44+H44+I44+J44+K44+L44,IF(Q43=9,C44+D44+E44+F44+G44+H44+I44+J44+K44,IF(Q43=8,C44+D44+E44+F44+G44+H44+I44+J44,IF(Q43=7,C44+D44+E44+F44+G44+H44+I44,IF(Q43=6,C44+D44+E44+F44+G44+H44,IF(Q43=5,C44+D44+E44+F44+G44,0))))))))</f>
        <v>0</v>
      </c>
      <c r="Q44" s="1297"/>
    </row>
    <row r="45" spans="2:17" x14ac:dyDescent="0.25">
      <c r="B45" s="614" t="s">
        <v>215</v>
      </c>
      <c r="C45" s="610">
        <f>SUM('F) Remuneraciones'!J53:J66)/2</f>
        <v>0</v>
      </c>
      <c r="D45" s="610">
        <v>0</v>
      </c>
      <c r="E45" s="610">
        <v>0</v>
      </c>
      <c r="F45" s="610">
        <v>0</v>
      </c>
      <c r="G45" s="610">
        <v>0</v>
      </c>
      <c r="H45" s="610">
        <v>0</v>
      </c>
      <c r="I45" s="610">
        <v>0</v>
      </c>
      <c r="J45" s="610">
        <v>0</v>
      </c>
      <c r="K45" s="610">
        <f>SUM('F) Remuneraciones'!K53:K66)/2</f>
        <v>0</v>
      </c>
      <c r="L45" s="610">
        <v>0</v>
      </c>
      <c r="M45" s="610">
        <v>0</v>
      </c>
      <c r="N45" s="610">
        <f>+C45+K45</f>
        <v>0</v>
      </c>
      <c r="O45" s="615">
        <f t="shared" si="6"/>
        <v>0</v>
      </c>
      <c r="P45" s="429">
        <f>IF(Q45=12,C45+D45+E45+F45+G45+H45+I45+J45+K45+L45+M45+N45,IF(Q45=11,C45+D45+E45+F45+G45+H45+I45+J45+K45+L45+M45,IF(Q45=10,C45+D45+E45+F45+G45+H45+I45+J45+K45+L45,IF(Q45=9,C45+D45+E45+F45+G45+H45+I45+J45+K45,IF(Q45=8,C45+D45+E45+F45+G45+H45+I45+J45,IF(Q45=7,C45+D45+E45+F45+G45+H45+I45,IF(Q45=6,C45+D45+E45+F45+G45+H45,IF(Q45=5,C45+D45+E45+F45+G45,0))))))))</f>
        <v>0</v>
      </c>
      <c r="Q45" s="585">
        <f>COUNTA(#REF!,#REF!,#REF!,#REF!,#REF!,#REF!,#REF!,#REF!,#REF!,#REF!,#REF!,#REF!)</f>
        <v>12</v>
      </c>
    </row>
    <row r="46" spans="2:17" x14ac:dyDescent="0.25">
      <c r="B46" s="614" t="s">
        <v>216</v>
      </c>
      <c r="C46" s="610">
        <f>('C) Estimación Costos Directos'!$H$227-'C) Estimación Costos Directos'!$H$228)*C50</f>
        <v>0</v>
      </c>
      <c r="D46" s="610">
        <f>('C) Estimación Costos Directos'!$H$227-'C) Estimación Costos Directos'!$H$228)*D50</f>
        <v>0</v>
      </c>
      <c r="E46" s="610">
        <f>('C) Estimación Costos Directos'!$H$227-'C) Estimación Costos Directos'!$H$228)*E50</f>
        <v>0</v>
      </c>
      <c r="F46" s="610">
        <f>('C) Estimación Costos Directos'!$H$227-'C) Estimación Costos Directos'!$H$228)*F50</f>
        <v>0</v>
      </c>
      <c r="G46" s="610">
        <f>('C) Estimación Costos Directos'!$H$227-'C) Estimación Costos Directos'!$H$228)*G50</f>
        <v>0</v>
      </c>
      <c r="H46" s="610">
        <f>('C) Estimación Costos Directos'!$H$227-'C) Estimación Costos Directos'!$H$228)*H50</f>
        <v>0</v>
      </c>
      <c r="I46" s="610">
        <f>('C) Estimación Costos Directos'!$H$227-'C) Estimación Costos Directos'!$H$228)*I50</f>
        <v>0</v>
      </c>
      <c r="J46" s="610">
        <f>('C) Estimación Costos Directos'!$H$227-'C) Estimación Costos Directos'!$H$228)*J50</f>
        <v>0</v>
      </c>
      <c r="K46" s="610">
        <f>('C) Estimación Costos Directos'!$H$227-'C) Estimación Costos Directos'!$H$228)*K50</f>
        <v>0</v>
      </c>
      <c r="L46" s="610">
        <f>('C) Estimación Costos Directos'!$H$227-'C) Estimación Costos Directos'!$H$228)*L50</f>
        <v>0</v>
      </c>
      <c r="M46" s="610">
        <f>('C) Estimación Costos Directos'!$H$227-'C) Estimación Costos Directos'!$H$228)*M50</f>
        <v>0</v>
      </c>
      <c r="N46" s="610">
        <f>('C) Estimación Costos Directos'!$H$227-'C) Estimación Costos Directos'!$H$228)*N50</f>
        <v>0</v>
      </c>
      <c r="O46" s="615">
        <f t="shared" si="6"/>
        <v>0</v>
      </c>
      <c r="P46" s="429">
        <f>IF(Q46=12,C46+D46+E46+F46+G46+H46+I46+J46+K46+L46+M46+N46,IF(Q46=11,C46+D46+E46+F46+G46+H46+I46+J46+K46+L46+M46,IF(Q46=10,C46+D46+E46+F46+G46+H46+I46+J46+K46+L46,IF(Q46=9,C46+D46+E46+F46+G46+H46+I46+J46+K46,IF(Q46=8,C46+D46+E46+F46+G46+H46+I46+J46,IF(Q46=7,C46+D46+E46+F46+G46+H46+I46,IF(Q46=6,C46+D46+E46+F46+G46+H46,IF(Q46=5,C46+D46+E46+F46+G46,0))))))))</f>
        <v>0</v>
      </c>
      <c r="Q46" s="585">
        <f>COUNTA(#REF!,#REF!,#REF!,#REF!,#REF!,#REF!,#REF!,#REF!,#REF!,#REF!,#REF!,#REF!)</f>
        <v>12</v>
      </c>
    </row>
    <row r="47" spans="2:17" ht="15.75" thickBot="1" x14ac:dyDescent="0.3">
      <c r="B47" s="623" t="s">
        <v>223</v>
      </c>
      <c r="C47" s="624">
        <f>'C) Estimación Costos Directos'!$H$255*C51</f>
        <v>0</v>
      </c>
      <c r="D47" s="624">
        <f>'C) Estimación Costos Directos'!$H$255*D51</f>
        <v>0</v>
      </c>
      <c r="E47" s="624">
        <f>'C) Estimación Costos Directos'!$H$255*E51</f>
        <v>0</v>
      </c>
      <c r="F47" s="624">
        <f>'C) Estimación Costos Directos'!$H$255*F51</f>
        <v>0</v>
      </c>
      <c r="G47" s="624">
        <f>'C) Estimación Costos Directos'!$H$255*G51</f>
        <v>0</v>
      </c>
      <c r="H47" s="624">
        <f>'C) Estimación Costos Directos'!$H$255*H51</f>
        <v>0</v>
      </c>
      <c r="I47" s="624">
        <f>'C) Estimación Costos Directos'!$H$255*I51</f>
        <v>0</v>
      </c>
      <c r="J47" s="624">
        <f>'C) Estimación Costos Directos'!$H$255*J51</f>
        <v>0</v>
      </c>
      <c r="K47" s="624">
        <f>'C) Estimación Costos Directos'!$H$255*K51</f>
        <v>0</v>
      </c>
      <c r="L47" s="624">
        <f>'C) Estimación Costos Directos'!$H$255*L51</f>
        <v>0</v>
      </c>
      <c r="M47" s="624">
        <f>'C) Estimación Costos Directos'!$H$255*M51</f>
        <v>0</v>
      </c>
      <c r="N47" s="624">
        <f>'C) Estimación Costos Directos'!$H$255*N51</f>
        <v>0</v>
      </c>
      <c r="O47" s="625">
        <f t="shared" si="6"/>
        <v>0</v>
      </c>
      <c r="P47" s="429">
        <f>IF(Q47=12,C47+D47+E47+F47+G47+H47+I47+J47+K47+L47+M47+N47,IF(Q47=11,C47+D47+E47+F47+G47+H47+I47+J47+K47+L47+M47,IF(Q47=10,C47+D47+E47+F47+G47+H47+I47+J47+K47+L47,IF(Q47=9,C47+D47+E47+F47+G47+H47+I47+J47+K47,IF(Q47=8,C47+D47+E47+F47+G47+H47+I47+J47,IF(Q47=7,C47+D47+E47+F47+G47+H47+I47,IF(Q47=6,C47+D47+E47+F47+G47+H47,IF(Q47=5,C47+D47+E47+F47+G47,0))))))))</f>
        <v>0</v>
      </c>
      <c r="Q47" s="585">
        <f>COUNTA(#REF!,#REF!,#REF!,#REF!,#REF!,#REF!,#REF!,#REF!,#REF!,#REF!,#REF!,#REF!)</f>
        <v>12</v>
      </c>
    </row>
    <row r="48" spans="2:17" ht="15.75" thickBot="1" x14ac:dyDescent="0.3">
      <c r="B48" s="630" t="s">
        <v>217</v>
      </c>
      <c r="C48" s="631">
        <f>C42-(C43+C44+C45+C46+C47)</f>
        <v>516700.00000000006</v>
      </c>
      <c r="D48" s="631">
        <f t="shared" ref="D48:N48" si="7">D42-(D43+D44+D45+D46+D47)</f>
        <v>516700.00000000006</v>
      </c>
      <c r="E48" s="631">
        <f t="shared" si="7"/>
        <v>516700.00000000006</v>
      </c>
      <c r="F48" s="631">
        <f t="shared" si="7"/>
        <v>516700.00000000006</v>
      </c>
      <c r="G48" s="631">
        <f t="shared" si="7"/>
        <v>516700.00000000006</v>
      </c>
      <c r="H48" s="631">
        <f t="shared" si="7"/>
        <v>516700.00000000006</v>
      </c>
      <c r="I48" s="631">
        <f t="shared" si="7"/>
        <v>516700.00000000006</v>
      </c>
      <c r="J48" s="631">
        <f t="shared" si="7"/>
        <v>516700.00000000006</v>
      </c>
      <c r="K48" s="631">
        <f t="shared" si="7"/>
        <v>516700.00000000006</v>
      </c>
      <c r="L48" s="631">
        <f t="shared" si="7"/>
        <v>516700.00000000006</v>
      </c>
      <c r="M48" s="631">
        <f t="shared" si="7"/>
        <v>516700.00000000006</v>
      </c>
      <c r="N48" s="631">
        <f t="shared" si="7"/>
        <v>516700.00000000006</v>
      </c>
      <c r="O48" s="632">
        <f t="shared" si="6"/>
        <v>6200400.0000000009</v>
      </c>
      <c r="P48" s="429"/>
      <c r="Q48" s="585"/>
    </row>
    <row r="49" spans="2:17" x14ac:dyDescent="0.25">
      <c r="B49" s="574" t="s">
        <v>218</v>
      </c>
      <c r="C49" s="192">
        <v>8.3333333333333343E-2</v>
      </c>
      <c r="D49" s="192">
        <v>8.3333333333333343E-2</v>
      </c>
      <c r="E49" s="192">
        <v>8.3333333333333343E-2</v>
      </c>
      <c r="F49" s="192">
        <v>8.3333333333333343E-2</v>
      </c>
      <c r="G49" s="192">
        <v>8.3333333333333343E-2</v>
      </c>
      <c r="H49" s="192">
        <v>8.3333333333333343E-2</v>
      </c>
      <c r="I49" s="192">
        <v>8.3333333333333343E-2</v>
      </c>
      <c r="J49" s="192">
        <v>8.3333333333333343E-2</v>
      </c>
      <c r="K49" s="192">
        <v>8.3333333333333343E-2</v>
      </c>
      <c r="L49" s="192">
        <v>8.3333333333333343E-2</v>
      </c>
      <c r="M49" s="192">
        <v>8.3333333333333343E-2</v>
      </c>
      <c r="N49" s="192">
        <v>8.3333333333333343E-2</v>
      </c>
      <c r="O49" s="583"/>
    </row>
    <row r="50" spans="2:17" x14ac:dyDescent="0.25">
      <c r="B50" s="573" t="s">
        <v>219</v>
      </c>
      <c r="C50" s="409">
        <v>8.3333333333333343E-2</v>
      </c>
      <c r="D50" s="409">
        <v>8.3333333333333343E-2</v>
      </c>
      <c r="E50" s="409">
        <v>8.3333333333333343E-2</v>
      </c>
      <c r="F50" s="409">
        <v>8.3333333333333343E-2</v>
      </c>
      <c r="G50" s="409">
        <v>8.3333333333333343E-2</v>
      </c>
      <c r="H50" s="409">
        <v>8.3333333333333343E-2</v>
      </c>
      <c r="I50" s="409">
        <v>8.3333333333333343E-2</v>
      </c>
      <c r="J50" s="409">
        <v>8.3333333333333343E-2</v>
      </c>
      <c r="K50" s="409">
        <v>8.3333333333333343E-2</v>
      </c>
      <c r="L50" s="409">
        <v>8.3333333333333343E-2</v>
      </c>
      <c r="M50" s="409">
        <v>8.3333333333333343E-2</v>
      </c>
      <c r="N50" s="409">
        <v>8.3333333333333343E-2</v>
      </c>
    </row>
    <row r="51" spans="2:17" ht="15.75" thickBot="1" x14ac:dyDescent="0.3">
      <c r="B51" s="573" t="s">
        <v>224</v>
      </c>
      <c r="C51" s="409">
        <v>8.3333333333333343E-2</v>
      </c>
      <c r="D51" s="409">
        <v>8.3333333333333343E-2</v>
      </c>
      <c r="E51" s="409">
        <v>8.3333333333333343E-2</v>
      </c>
      <c r="F51" s="409">
        <v>8.3333333333333343E-2</v>
      </c>
      <c r="G51" s="409">
        <v>8.3333333333333343E-2</v>
      </c>
      <c r="H51" s="409">
        <v>8.3333333333333343E-2</v>
      </c>
      <c r="I51" s="409">
        <v>8.3333333333333343E-2</v>
      </c>
      <c r="J51" s="409">
        <v>8.3333333333333343E-2</v>
      </c>
      <c r="K51" s="409">
        <v>8.3333333333333343E-2</v>
      </c>
      <c r="L51" s="409">
        <v>8.3333333333333343E-2</v>
      </c>
      <c r="M51" s="409">
        <v>8.3333333333333343E-2</v>
      </c>
      <c r="N51" s="409">
        <v>8.3333333333333343E-2</v>
      </c>
    </row>
    <row r="52" spans="2:17" ht="15.75" thickBot="1" x14ac:dyDescent="0.3">
      <c r="B52" s="611" t="s">
        <v>280</v>
      </c>
      <c r="C52" s="612" t="s">
        <v>200</v>
      </c>
      <c r="D52" s="612" t="s">
        <v>201</v>
      </c>
      <c r="E52" s="612" t="s">
        <v>202</v>
      </c>
      <c r="F52" s="612" t="s">
        <v>203</v>
      </c>
      <c r="G52" s="612" t="s">
        <v>204</v>
      </c>
      <c r="H52" s="612" t="s">
        <v>205</v>
      </c>
      <c r="I52" s="612" t="s">
        <v>206</v>
      </c>
      <c r="J52" s="613" t="s">
        <v>207</v>
      </c>
      <c r="K52" s="612" t="s">
        <v>208</v>
      </c>
      <c r="L52" s="612" t="s">
        <v>209</v>
      </c>
      <c r="M52" s="612" t="s">
        <v>210</v>
      </c>
      <c r="N52" s="612" t="s">
        <v>211</v>
      </c>
      <c r="O52" s="622" t="s">
        <v>294</v>
      </c>
      <c r="P52" s="429"/>
      <c r="Q52" s="584" t="s">
        <v>287</v>
      </c>
    </row>
    <row r="53" spans="2:17" x14ac:dyDescent="0.25">
      <c r="B53" s="614" t="s">
        <v>212</v>
      </c>
      <c r="C53" s="610">
        <f>'A) Resumen Ingresos y Egresos'!$D$13*C60</f>
        <v>428517</v>
      </c>
      <c r="D53" s="610">
        <f>'A) Resumen Ingresos y Egresos'!$D$13*D60</f>
        <v>428517</v>
      </c>
      <c r="E53" s="610">
        <f>'A) Resumen Ingresos y Egresos'!$D$13*E60</f>
        <v>380904</v>
      </c>
      <c r="F53" s="610">
        <f>'A) Resumen Ingresos y Egresos'!$D$13*F60</f>
        <v>380904</v>
      </c>
      <c r="G53" s="610">
        <f>'A) Resumen Ingresos y Egresos'!$D$13*G60</f>
        <v>380904</v>
      </c>
      <c r="H53" s="610">
        <f>'A) Resumen Ingresos y Egresos'!$D$13*H60</f>
        <v>380904</v>
      </c>
      <c r="I53" s="610">
        <f>'A) Resumen Ingresos y Egresos'!$D$13*I60</f>
        <v>380904</v>
      </c>
      <c r="J53" s="610">
        <f>'A) Resumen Ingresos y Egresos'!$D$13*J60</f>
        <v>380904</v>
      </c>
      <c r="K53" s="610">
        <f>'A) Resumen Ingresos y Egresos'!$D$13*K60</f>
        <v>380904</v>
      </c>
      <c r="L53" s="610">
        <f>'A) Resumen Ingresos y Egresos'!$D$13*L60</f>
        <v>380904</v>
      </c>
      <c r="M53" s="610">
        <f>'A) Resumen Ingresos y Egresos'!$D$13*M60</f>
        <v>428517</v>
      </c>
      <c r="N53" s="610">
        <f>'A) Resumen Ingresos y Egresos'!$D$13*N60</f>
        <v>428517</v>
      </c>
      <c r="O53" s="615">
        <f t="shared" ref="O53:O59" si="8">SUM(C53:N53)</f>
        <v>4761300</v>
      </c>
      <c r="P53" s="429">
        <f>IF(Q53=12,C53+D53+E53+F53+G53+H53+I53+J53+K53+L53+M53+N53,IF(Q53=11,C53+D53+E53+F53+G53+H53+I53+J53+K53+L53+M53,IF(Q53=10,C53+D53+E53+F53+G53+H53+I53+J53+K53+L53,IF(Q53=9,C53+D53+E53+F53+G53+H53+I53+J53+K53,IF(Q53=8,C53+D53+E53+F53+G53+H53+I53+J53,IF(Q53=7,C53+D53+E53+F53+G53+H53+I53,IF(Q53=6,C53+D53+E53+F53+G53+H53,IF(Q53=5,C53+D53+E53+F53+G53,0))))))))</f>
        <v>4761300</v>
      </c>
      <c r="Q53" s="585">
        <f>COUNTA(#REF!,#REF!,#REF!,#REF!,#REF!,#REF!,#REF!,#REF!,#REF!,#REF!,#REF!,#REF!)</f>
        <v>12</v>
      </c>
    </row>
    <row r="54" spans="2:17" x14ac:dyDescent="0.25">
      <c r="B54" s="614" t="s">
        <v>213</v>
      </c>
      <c r="C54" s="610">
        <f>'F) Remuneraciones'!$I$68/12</f>
        <v>0</v>
      </c>
      <c r="D54" s="610">
        <f>'F) Remuneraciones'!$I$68/12</f>
        <v>0</v>
      </c>
      <c r="E54" s="610">
        <f>'F) Remuneraciones'!$I$68/12</f>
        <v>0</v>
      </c>
      <c r="F54" s="610">
        <f>'F) Remuneraciones'!$I$68/12</f>
        <v>0</v>
      </c>
      <c r="G54" s="610">
        <f>'F) Remuneraciones'!$I$68/12</f>
        <v>0</v>
      </c>
      <c r="H54" s="610">
        <f>'F) Remuneraciones'!$I$68/12</f>
        <v>0</v>
      </c>
      <c r="I54" s="610">
        <f>'F) Remuneraciones'!$I$68/12</f>
        <v>0</v>
      </c>
      <c r="J54" s="610">
        <f>'F) Remuneraciones'!$I$68/12</f>
        <v>0</v>
      </c>
      <c r="K54" s="610">
        <f>'F) Remuneraciones'!$I$68/12</f>
        <v>0</v>
      </c>
      <c r="L54" s="610">
        <f>'F) Remuneraciones'!$I$68/12</f>
        <v>0</v>
      </c>
      <c r="M54" s="610">
        <f>'F) Remuneraciones'!$I$68/12</f>
        <v>0</v>
      </c>
      <c r="N54" s="610">
        <f>'F) Remuneraciones'!$I$68/12</f>
        <v>0</v>
      </c>
      <c r="O54" s="615">
        <f t="shared" si="8"/>
        <v>0</v>
      </c>
      <c r="P54" s="609">
        <f>IF(Q54=12,C54+D54+E54+F54+G54+H54+I54+J54+K54+L54+M54+N54,IF(Q54=11,C54+D54+E54+F54+G54+H54+I54+J54+K54+L54+M54,IF(Q54=10,C54+D54+E54+F54+G54+H54+I54+J54+K54+L54,IF(Q54=9,C54+D54+E54+F54+G54+H54+I54+J54+K54,IF(Q54=8,C54+D54+E54+F54+G54+H54+I54+J54,IF(Q54=7,C54+D54+E54+F54+G54+H54+I54,IF(Q54=6,C54+D54+E54+F54+G54+H54,IF(Q54=5,C54+D54+E54+F54+G54,0))))))))</f>
        <v>0</v>
      </c>
      <c r="Q54" s="1297">
        <f>COUNTA(#REF!,#REF!,#REF!,#REF!,#REF!,#REF!,#REF!,#REF!,#REF!,#REF!,#REF!,#REF!)</f>
        <v>12</v>
      </c>
    </row>
    <row r="55" spans="2:17" x14ac:dyDescent="0.25">
      <c r="B55" s="614" t="s">
        <v>214</v>
      </c>
      <c r="C55" s="610">
        <f>SUM('F) Remuneraciones'!$I$74:$I$80)/4</f>
        <v>0</v>
      </c>
      <c r="D55" s="610">
        <f>SUM('F) Remuneraciones'!$I$74:$I$80)/4</f>
        <v>0</v>
      </c>
      <c r="E55" s="610">
        <f>SUM('F) Remuneraciones'!$I$74:$I$80)/4</f>
        <v>0</v>
      </c>
      <c r="F55" s="610">
        <v>0</v>
      </c>
      <c r="G55" s="610">
        <v>0</v>
      </c>
      <c r="H55" s="610">
        <v>0</v>
      </c>
      <c r="I55" s="610">
        <v>0</v>
      </c>
      <c r="J55" s="610">
        <v>0</v>
      </c>
      <c r="K55" s="610">
        <v>0</v>
      </c>
      <c r="L55" s="610">
        <v>0</v>
      </c>
      <c r="M55" s="610">
        <v>0</v>
      </c>
      <c r="N55" s="610">
        <f>SUM('F) Remuneraciones'!$I$74:$I$80)/4</f>
        <v>0</v>
      </c>
      <c r="O55" s="615">
        <f t="shared" si="8"/>
        <v>0</v>
      </c>
      <c r="P55" s="609">
        <f>IF(Q54=12,C55+D55+E55+F55+G55+H55+I55+J55+K55+L55+M55+N55,IF(Q54=11,C55+D55+E55+F55+G55+H55+I55+J55+K55+L55+M55,IF(Q54=10,C55+D55+E55+F55+G55+H55+I55+J55+K55+L55,IF(Q54=9,C55+D55+E55+F55+G55+H55+I55+J55+K55,IF(Q54=8,C55+D55+E55+F55+G55+H55+I55+J55,IF(Q54=7,C55+D55+E55+F55+G55+H55+I55,IF(Q54=6,C55+D55+E55+F55+G55+H55,IF(Q54=5,C55+D55+E55+F55+G55,0))))))))</f>
        <v>0</v>
      </c>
      <c r="Q55" s="1297"/>
    </row>
    <row r="56" spans="2:17" x14ac:dyDescent="0.25">
      <c r="B56" s="614" t="s">
        <v>215</v>
      </c>
      <c r="C56" s="610">
        <f>SUM('F) Remuneraciones'!J67:J80)/2</f>
        <v>0</v>
      </c>
      <c r="D56" s="610">
        <v>0</v>
      </c>
      <c r="E56" s="610">
        <v>0</v>
      </c>
      <c r="F56" s="610">
        <v>0</v>
      </c>
      <c r="G56" s="610">
        <v>0</v>
      </c>
      <c r="H56" s="610">
        <v>0</v>
      </c>
      <c r="I56" s="610">
        <v>0</v>
      </c>
      <c r="J56" s="610">
        <v>0</v>
      </c>
      <c r="K56" s="610">
        <f>SUM('F) Remuneraciones'!K67:K80)/2</f>
        <v>0</v>
      </c>
      <c r="L56" s="610">
        <v>0</v>
      </c>
      <c r="M56" s="610">
        <v>0</v>
      </c>
      <c r="N56" s="610">
        <f>+C56+K56</f>
        <v>0</v>
      </c>
      <c r="O56" s="615">
        <f t="shared" si="8"/>
        <v>0</v>
      </c>
      <c r="P56" s="429">
        <f>IF(Q56=12,C56+D56+E56+F56+G56+H56+I56+J56+K56+L56+M56+N56,IF(Q56=11,C56+D56+E56+F56+G56+H56+I56+J56+K56+L56+M56,IF(Q56=10,C56+D56+E56+F56+G56+H56+I56+J56+K56+L56,IF(Q56=9,C56+D56+E56+F56+G56+H56+I56+J56+K56,IF(Q56=8,C56+D56+E56+F56+G56+H56+I56+J56,IF(Q56=7,C56+D56+E56+F56+G56+H56+I56,IF(Q56=6,C56+D56+E56+F56+G56+H56,IF(Q56=5,C56+D56+E56+F56+G56,0))))))))</f>
        <v>0</v>
      </c>
      <c r="Q56" s="585">
        <f>COUNTA(#REF!,#REF!,#REF!,#REF!,#REF!,#REF!,#REF!,#REF!,#REF!,#REF!,#REF!,#REF!)</f>
        <v>12</v>
      </c>
    </row>
    <row r="57" spans="2:17" x14ac:dyDescent="0.25">
      <c r="B57" s="614" t="s">
        <v>216</v>
      </c>
      <c r="C57" s="610">
        <f>('C) Estimación Costos Directos'!$H$297-'C) Estimación Costos Directos'!$H$298)*C61</f>
        <v>42523.11</v>
      </c>
      <c r="D57" s="610">
        <f>('C) Estimación Costos Directos'!$H$297-'C) Estimación Costos Directos'!$H$298)*D61</f>
        <v>42523.11</v>
      </c>
      <c r="E57" s="610">
        <f>('C) Estimación Costos Directos'!$H$297-'C) Estimación Costos Directos'!$H$298)*E61</f>
        <v>37798.32</v>
      </c>
      <c r="F57" s="610">
        <f>('C) Estimación Costos Directos'!$H$297-'C) Estimación Costos Directos'!$H$298)*F61</f>
        <v>37798.32</v>
      </c>
      <c r="G57" s="610">
        <f>('C) Estimación Costos Directos'!$H$297-'C) Estimación Costos Directos'!$H$298)*G61</f>
        <v>37798.32</v>
      </c>
      <c r="H57" s="610">
        <f>('C) Estimación Costos Directos'!$H$297-'C) Estimación Costos Directos'!$H$298)*H61</f>
        <v>37798.32</v>
      </c>
      <c r="I57" s="610">
        <f>('C) Estimación Costos Directos'!$H$297-'C) Estimación Costos Directos'!$H$298)*I61</f>
        <v>37798.32</v>
      </c>
      <c r="J57" s="610">
        <f>('C) Estimación Costos Directos'!$H$297-'C) Estimación Costos Directos'!$H$298)*J61</f>
        <v>37798.32</v>
      </c>
      <c r="K57" s="610">
        <f>('C) Estimación Costos Directos'!$H$297-'C) Estimación Costos Directos'!$H$298)*K61</f>
        <v>37798.32</v>
      </c>
      <c r="L57" s="610">
        <f>('C) Estimación Costos Directos'!$H$297-'C) Estimación Costos Directos'!$H$298)*L61</f>
        <v>37798.32</v>
      </c>
      <c r="M57" s="610">
        <f>('C) Estimación Costos Directos'!$H$297-'C) Estimación Costos Directos'!$H$298)*M61</f>
        <v>42523.11</v>
      </c>
      <c r="N57" s="610">
        <f>('C) Estimación Costos Directos'!$H$297-'C) Estimación Costos Directos'!$H$298)*N61</f>
        <v>42523.11</v>
      </c>
      <c r="O57" s="615">
        <f t="shared" si="8"/>
        <v>472479</v>
      </c>
      <c r="P57" s="429">
        <f>IF(Q57=12,C57+D57+E57+F57+G57+H57+I57+J57+K57+L57+M57+N57,IF(Q57=11,C57+D57+E57+F57+G57+H57+I57+J57+K57+L57+M57,IF(Q57=10,C57+D57+E57+F57+G57+H57+I57+J57+K57+L57,IF(Q57=9,C57+D57+E57+F57+G57+H57+I57+J57+K57,IF(Q57=8,C57+D57+E57+F57+G57+H57+I57+J57,IF(Q57=7,C57+D57+E57+F57+G57+H57+I57,IF(Q57=6,C57+D57+E57+F57+G57+H57,IF(Q57=5,C57+D57+E57+F57+G57,0))))))))</f>
        <v>472479</v>
      </c>
      <c r="Q57" s="585">
        <f>COUNTA(#REF!,#REF!,#REF!,#REF!,#REF!,#REF!,#REF!,#REF!,#REF!,#REF!,#REF!,#REF!)</f>
        <v>12</v>
      </c>
    </row>
    <row r="58" spans="2:17" ht="15.75" thickBot="1" x14ac:dyDescent="0.3">
      <c r="B58" s="623" t="s">
        <v>223</v>
      </c>
      <c r="C58" s="624">
        <f>'C) Estimación Costos Directos'!$H$325*C62</f>
        <v>72088.649999999994</v>
      </c>
      <c r="D58" s="624">
        <f>'C) Estimación Costos Directos'!$H$325*D62</f>
        <v>72088.649999999994</v>
      </c>
      <c r="E58" s="624">
        <f>'C) Estimación Costos Directos'!$H$325*E62</f>
        <v>64078.8</v>
      </c>
      <c r="F58" s="624">
        <f>'C) Estimación Costos Directos'!$H$325*F62</f>
        <v>64078.8</v>
      </c>
      <c r="G58" s="624">
        <f>'C) Estimación Costos Directos'!$H$325*G62</f>
        <v>64078.8</v>
      </c>
      <c r="H58" s="624">
        <f>'C) Estimación Costos Directos'!$H$325*H62</f>
        <v>64078.8</v>
      </c>
      <c r="I58" s="624">
        <f>'C) Estimación Costos Directos'!$H$325*I62</f>
        <v>64078.8</v>
      </c>
      <c r="J58" s="624">
        <f>'C) Estimación Costos Directos'!$H$325*J62</f>
        <v>64078.8</v>
      </c>
      <c r="K58" s="624">
        <f>'C) Estimación Costos Directos'!$H$325*K62</f>
        <v>64078.8</v>
      </c>
      <c r="L58" s="624">
        <f>'C) Estimación Costos Directos'!$H$325*L62</f>
        <v>64078.8</v>
      </c>
      <c r="M58" s="624">
        <f>'C) Estimación Costos Directos'!$H$325*M62</f>
        <v>72088.649999999994</v>
      </c>
      <c r="N58" s="624">
        <f>'C) Estimación Costos Directos'!$H$325*N62</f>
        <v>72088.649999999994</v>
      </c>
      <c r="O58" s="625">
        <f t="shared" si="8"/>
        <v>800985.00000000012</v>
      </c>
      <c r="P58" s="429">
        <f>IF(Q58=12,C58+D58+E58+F58+G58+H58+I58+J58+K58+L58+M58+N58,IF(Q58=11,C58+D58+E58+F58+G58+H58+I58+J58+K58+L58+M58,IF(Q58=10,C58+D58+E58+F58+G58+H58+I58+J58+K58+L58,IF(Q58=9,C58+D58+E58+F58+G58+H58+I58+J58+K58,IF(Q58=8,C58+D58+E58+F58+G58+H58+I58+J58,IF(Q58=7,C58+D58+E58+F58+G58+H58+I58,IF(Q58=6,C58+D58+E58+F58+G58+H58,IF(Q58=5,C58+D58+E58+F58+G58,0))))))))</f>
        <v>800985.00000000012</v>
      </c>
      <c r="Q58" s="585">
        <f>COUNTA(#REF!,#REF!,#REF!,#REF!,#REF!,#REF!,#REF!,#REF!,#REF!,#REF!,#REF!,#REF!)</f>
        <v>12</v>
      </c>
    </row>
    <row r="59" spans="2:17" ht="15.75" thickBot="1" x14ac:dyDescent="0.3">
      <c r="B59" s="630" t="s">
        <v>217</v>
      </c>
      <c r="C59" s="631">
        <f>C53-(C54+C55+C56+C57+C58)</f>
        <v>313905.24</v>
      </c>
      <c r="D59" s="631">
        <f t="shared" ref="D59:N59" si="9">D53-(D54+D55+D56+D57+D58)</f>
        <v>313905.24</v>
      </c>
      <c r="E59" s="631">
        <f t="shared" si="9"/>
        <v>279026.88</v>
      </c>
      <c r="F59" s="631">
        <f t="shared" si="9"/>
        <v>279026.88</v>
      </c>
      <c r="G59" s="631">
        <f t="shared" si="9"/>
        <v>279026.88</v>
      </c>
      <c r="H59" s="631">
        <f t="shared" si="9"/>
        <v>279026.88</v>
      </c>
      <c r="I59" s="631">
        <f t="shared" si="9"/>
        <v>279026.88</v>
      </c>
      <c r="J59" s="631">
        <f t="shared" si="9"/>
        <v>279026.88</v>
      </c>
      <c r="K59" s="631">
        <f t="shared" si="9"/>
        <v>279026.88</v>
      </c>
      <c r="L59" s="631">
        <f t="shared" si="9"/>
        <v>279026.88</v>
      </c>
      <c r="M59" s="631">
        <f t="shared" si="9"/>
        <v>313905.24</v>
      </c>
      <c r="N59" s="631">
        <f t="shared" si="9"/>
        <v>313905.24</v>
      </c>
      <c r="O59" s="632">
        <f t="shared" si="8"/>
        <v>3487836</v>
      </c>
      <c r="P59" s="429"/>
      <c r="Q59" s="585"/>
    </row>
    <row r="60" spans="2:17" x14ac:dyDescent="0.25">
      <c r="B60" s="574" t="s">
        <v>218</v>
      </c>
      <c r="C60" s="192">
        <v>0.09</v>
      </c>
      <c r="D60" s="192">
        <v>0.09</v>
      </c>
      <c r="E60" s="192">
        <v>0.08</v>
      </c>
      <c r="F60" s="192">
        <v>0.08</v>
      </c>
      <c r="G60" s="192">
        <v>0.08</v>
      </c>
      <c r="H60" s="192">
        <v>0.08</v>
      </c>
      <c r="I60" s="192">
        <v>0.08</v>
      </c>
      <c r="J60" s="192">
        <v>0.08</v>
      </c>
      <c r="K60" s="192">
        <v>0.08</v>
      </c>
      <c r="L60" s="192">
        <v>0.08</v>
      </c>
      <c r="M60" s="192">
        <v>0.09</v>
      </c>
      <c r="N60" s="192">
        <v>0.09</v>
      </c>
      <c r="O60" s="583"/>
    </row>
    <row r="61" spans="2:17" x14ac:dyDescent="0.25">
      <c r="B61" s="573" t="s">
        <v>219</v>
      </c>
      <c r="C61" s="192">
        <v>0.09</v>
      </c>
      <c r="D61" s="192">
        <v>0.09</v>
      </c>
      <c r="E61" s="192">
        <v>0.08</v>
      </c>
      <c r="F61" s="192">
        <v>0.08</v>
      </c>
      <c r="G61" s="192">
        <v>0.08</v>
      </c>
      <c r="H61" s="192">
        <v>0.08</v>
      </c>
      <c r="I61" s="192">
        <v>0.08</v>
      </c>
      <c r="J61" s="192">
        <v>0.08</v>
      </c>
      <c r="K61" s="192">
        <v>0.08</v>
      </c>
      <c r="L61" s="192">
        <v>0.08</v>
      </c>
      <c r="M61" s="192">
        <v>0.09</v>
      </c>
      <c r="N61" s="192">
        <v>0.09</v>
      </c>
    </row>
    <row r="62" spans="2:17" x14ac:dyDescent="0.25">
      <c r="B62" s="573" t="s">
        <v>224</v>
      </c>
      <c r="C62" s="192">
        <v>0.09</v>
      </c>
      <c r="D62" s="192">
        <v>0.09</v>
      </c>
      <c r="E62" s="192">
        <v>0.08</v>
      </c>
      <c r="F62" s="192">
        <v>0.08</v>
      </c>
      <c r="G62" s="192">
        <v>0.08</v>
      </c>
      <c r="H62" s="192">
        <v>0.08</v>
      </c>
      <c r="I62" s="192">
        <v>0.08</v>
      </c>
      <c r="J62" s="192">
        <v>0.08</v>
      </c>
      <c r="K62" s="192">
        <v>0.08</v>
      </c>
      <c r="L62" s="192">
        <v>0.08</v>
      </c>
      <c r="M62" s="192">
        <v>0.09</v>
      </c>
      <c r="N62" s="192">
        <v>0.09</v>
      </c>
    </row>
  </sheetData>
  <sheetProtection algorithmName="SHA-512" hashValue="D2SFmCOsrbz3yPP+uYG+dvZuEk8FlmduaV25wFPxH2ZBU4vN/nHBrvyeddFwnyCHnhxjwntpydJv0lbPF6j3Wg==" saltValue="C29FAjOmVJ5ziVzsy9z2WQ==" spinCount="100000" sheet="1" objects="1" scenarios="1"/>
  <mergeCells count="8">
    <mergeCell ref="E4:F4"/>
    <mergeCell ref="B6:K6"/>
    <mergeCell ref="Q54:Q55"/>
    <mergeCell ref="Q10:Q11"/>
    <mergeCell ref="Q21:Q22"/>
    <mergeCell ref="Q32:Q33"/>
    <mergeCell ref="Q43:Q44"/>
    <mergeCell ref="C4:D4"/>
  </mergeCells>
  <conditionalFormatting sqref="C15">
    <cfRule type="cellIs" dxfId="11" priority="5" operator="greaterThan">
      <formula>0</formula>
    </cfRule>
  </conditionalFormatting>
  <conditionalFormatting sqref="C15:O15">
    <cfRule type="cellIs" dxfId="10" priority="12" operator="lessThan">
      <formula>0</formula>
    </cfRule>
  </conditionalFormatting>
  <conditionalFormatting sqref="C26:O26">
    <cfRule type="cellIs" dxfId="9" priority="4" operator="greaterThan">
      <formula>0</formula>
    </cfRule>
    <cfRule type="cellIs" dxfId="8" priority="11" operator="lessThan">
      <formula>0</formula>
    </cfRule>
  </conditionalFormatting>
  <conditionalFormatting sqref="C37:O37">
    <cfRule type="cellIs" dxfId="7" priority="3" operator="greaterThan">
      <formula>0</formula>
    </cfRule>
    <cfRule type="cellIs" dxfId="6" priority="10" operator="lessThan">
      <formula>0</formula>
    </cfRule>
  </conditionalFormatting>
  <conditionalFormatting sqref="C48:O48">
    <cfRule type="cellIs" dxfId="5" priority="2" operator="greaterThan">
      <formula>0</formula>
    </cfRule>
    <cfRule type="cellIs" dxfId="4" priority="9" operator="lessThan">
      <formula>0</formula>
    </cfRule>
  </conditionalFormatting>
  <conditionalFormatting sqref="C59:O59">
    <cfRule type="cellIs" dxfId="3" priority="1" operator="greaterThan">
      <formula>0</formula>
    </cfRule>
    <cfRule type="cellIs" dxfId="2" priority="8" operator="lessThan">
      <formula>0</formula>
    </cfRule>
  </conditionalFormatting>
  <conditionalFormatting sqref="D15:O15">
    <cfRule type="cellIs" dxfId="1" priority="7" operator="greaterThan">
      <formula>0</formula>
    </cfRule>
  </conditionalFormatting>
  <conditionalFormatting sqref="F15:O15">
    <cfRule type="cellIs" dxfId="0" priority="6" operator="greaterThan">
      <formula>0</formula>
    </cfRule>
  </conditionalFormatting>
  <hyperlinks>
    <hyperlink ref="B6:K6" location="'Índice Tablas'!A1" display="TABLA N°13:  INGRESO POR ARRIENDOS " xr:uid="{00000000-0004-0000-0C00-000000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showGridLines="0" zoomScale="80" zoomScaleNormal="80" workbookViewId="0"/>
  </sheetViews>
  <sheetFormatPr baseColWidth="10" defaultRowHeight="15" x14ac:dyDescent="0.25"/>
  <cols>
    <col min="11" max="11" width="27.7109375" customWidth="1"/>
  </cols>
  <sheetData>
    <row r="1" spans="2:12" ht="18" x14ac:dyDescent="0.25">
      <c r="B1" s="44"/>
      <c r="C1" s="44"/>
      <c r="D1" s="44"/>
      <c r="E1" s="44"/>
      <c r="F1" s="44"/>
      <c r="G1" s="44"/>
      <c r="H1" s="194" t="s">
        <v>225</v>
      </c>
      <c r="I1" s="44"/>
      <c r="J1" s="44"/>
      <c r="K1" s="44"/>
      <c r="L1" s="44"/>
    </row>
    <row r="2" spans="2:12" x14ac:dyDescent="0.25">
      <c r="B2" s="44"/>
      <c r="C2" s="44"/>
      <c r="D2" s="44"/>
      <c r="E2" s="44"/>
      <c r="F2" s="44"/>
      <c r="G2" s="44"/>
      <c r="H2" s="44"/>
      <c r="I2" s="44"/>
      <c r="J2" s="44"/>
      <c r="K2" s="44"/>
      <c r="L2" s="44"/>
    </row>
    <row r="3" spans="2:12" x14ac:dyDescent="0.25">
      <c r="B3" s="44"/>
      <c r="C3" s="44"/>
      <c r="D3" s="44"/>
      <c r="E3" s="44"/>
      <c r="F3" s="44"/>
      <c r="G3" s="44"/>
      <c r="H3" s="44"/>
      <c r="I3" s="44"/>
      <c r="J3" s="44"/>
      <c r="K3" s="44"/>
      <c r="L3" s="44"/>
    </row>
    <row r="4" spans="2:12" ht="18" x14ac:dyDescent="0.25">
      <c r="B4" s="973" t="s">
        <v>226</v>
      </c>
      <c r="C4" s="973"/>
      <c r="D4" s="973"/>
      <c r="E4" s="973"/>
      <c r="F4" s="195"/>
      <c r="G4" s="195"/>
      <c r="H4" s="195"/>
      <c r="I4" s="195"/>
      <c r="J4" s="195"/>
      <c r="K4" s="195"/>
      <c r="L4" s="195"/>
    </row>
    <row r="5" spans="2:12" x14ac:dyDescent="0.25">
      <c r="B5" s="44"/>
      <c r="C5" s="973" t="s">
        <v>3</v>
      </c>
      <c r="D5" s="973"/>
      <c r="E5" s="973"/>
      <c r="F5" s="973"/>
      <c r="G5" s="973"/>
      <c r="H5" s="973"/>
      <c r="I5" s="973"/>
      <c r="J5" s="973"/>
      <c r="K5" s="973"/>
      <c r="L5" s="44"/>
    </row>
    <row r="6" spans="2:12" x14ac:dyDescent="0.25">
      <c r="B6" s="44"/>
      <c r="C6" s="973" t="s">
        <v>227</v>
      </c>
      <c r="D6" s="973"/>
      <c r="E6" s="973"/>
      <c r="F6" s="973"/>
      <c r="G6" s="973"/>
      <c r="H6" s="973"/>
      <c r="I6" s="973"/>
      <c r="J6" s="973"/>
      <c r="K6" s="973"/>
      <c r="L6" s="44"/>
    </row>
    <row r="7" spans="2:12" x14ac:dyDescent="0.25">
      <c r="B7" s="44"/>
      <c r="C7" s="197"/>
      <c r="D7" s="197"/>
      <c r="E7" s="197"/>
      <c r="F7" s="197"/>
      <c r="G7" s="197"/>
      <c r="H7" s="197"/>
      <c r="I7" s="197"/>
      <c r="J7" s="197"/>
      <c r="K7" s="197"/>
      <c r="L7" s="44"/>
    </row>
    <row r="8" spans="2:12" ht="18" x14ac:dyDescent="0.25">
      <c r="B8" s="973" t="s">
        <v>228</v>
      </c>
      <c r="C8" s="973"/>
      <c r="D8" s="973"/>
      <c r="E8" s="973"/>
      <c r="F8" s="195"/>
      <c r="G8" s="195"/>
      <c r="H8" s="195"/>
      <c r="I8" s="195"/>
      <c r="J8" s="195"/>
      <c r="K8" s="195"/>
      <c r="L8" s="195"/>
    </row>
    <row r="9" spans="2:12" x14ac:dyDescent="0.25">
      <c r="B9" s="44"/>
      <c r="C9" s="973" t="s">
        <v>34</v>
      </c>
      <c r="D9" s="973"/>
      <c r="E9" s="973"/>
      <c r="F9" s="973"/>
      <c r="G9" s="973"/>
      <c r="H9" s="973"/>
      <c r="I9" s="973"/>
      <c r="J9" s="973"/>
      <c r="K9" s="973"/>
      <c r="L9" s="44"/>
    </row>
    <row r="10" spans="2:12" x14ac:dyDescent="0.25">
      <c r="B10" s="44"/>
      <c r="C10" s="973" t="s">
        <v>35</v>
      </c>
      <c r="D10" s="973"/>
      <c r="E10" s="973"/>
      <c r="F10" s="973"/>
      <c r="G10" s="973"/>
      <c r="H10" s="973"/>
      <c r="I10" s="44"/>
      <c r="J10" s="44"/>
      <c r="K10" s="44"/>
      <c r="L10" s="44"/>
    </row>
    <row r="11" spans="2:12" x14ac:dyDescent="0.25">
      <c r="B11" s="44"/>
      <c r="C11" s="44"/>
      <c r="D11" s="44"/>
      <c r="E11" s="44"/>
      <c r="F11" s="44"/>
      <c r="G11" s="44"/>
      <c r="H11" s="44"/>
      <c r="I11" s="44"/>
      <c r="J11" s="44"/>
      <c r="K11" s="44"/>
      <c r="L11" s="44"/>
    </row>
    <row r="12" spans="2:12" ht="18" x14ac:dyDescent="0.25">
      <c r="B12" s="973" t="s">
        <v>229</v>
      </c>
      <c r="C12" s="973"/>
      <c r="D12" s="973"/>
      <c r="E12" s="973"/>
      <c r="F12" s="973"/>
      <c r="G12" s="195"/>
      <c r="H12" s="195"/>
      <c r="I12" s="195"/>
      <c r="J12" s="195"/>
      <c r="K12" s="195"/>
      <c r="L12" s="195"/>
    </row>
    <row r="13" spans="2:12" x14ac:dyDescent="0.25">
      <c r="B13" s="44"/>
      <c r="C13" s="973" t="s">
        <v>230</v>
      </c>
      <c r="D13" s="973"/>
      <c r="E13" s="973"/>
      <c r="F13" s="973"/>
      <c r="G13" s="973"/>
      <c r="H13" s="973"/>
      <c r="I13" s="973"/>
      <c r="J13" s="973"/>
      <c r="K13" s="973"/>
      <c r="L13" s="44"/>
    </row>
    <row r="14" spans="2:12" x14ac:dyDescent="0.25">
      <c r="B14" s="44"/>
      <c r="C14" s="44"/>
      <c r="D14" s="44"/>
      <c r="E14" s="44"/>
      <c r="F14" s="44"/>
      <c r="G14" s="44"/>
      <c r="H14" s="44"/>
      <c r="I14" s="44"/>
      <c r="J14" s="44"/>
      <c r="K14" s="44"/>
      <c r="L14" s="44"/>
    </row>
    <row r="15" spans="2:12" ht="18" x14ac:dyDescent="0.25">
      <c r="B15" s="973" t="s">
        <v>231</v>
      </c>
      <c r="C15" s="973"/>
      <c r="D15" s="973"/>
      <c r="E15" s="973"/>
      <c r="F15" s="973"/>
      <c r="G15" s="195"/>
      <c r="H15" s="195"/>
      <c r="I15" s="195"/>
      <c r="J15" s="195"/>
      <c r="K15" s="195"/>
      <c r="L15" s="195"/>
    </row>
    <row r="16" spans="2:12" x14ac:dyDescent="0.25">
      <c r="B16" s="44"/>
      <c r="C16" s="973" t="s">
        <v>135</v>
      </c>
      <c r="D16" s="973"/>
      <c r="E16" s="973"/>
      <c r="F16" s="973"/>
      <c r="G16" s="973"/>
      <c r="H16" s="973"/>
      <c r="I16" s="973"/>
      <c r="J16" s="973"/>
      <c r="K16" s="973"/>
      <c r="L16" s="44"/>
    </row>
    <row r="17" spans="2:12" x14ac:dyDescent="0.25">
      <c r="B17" s="44"/>
      <c r="C17" s="973" t="s">
        <v>136</v>
      </c>
      <c r="D17" s="973"/>
      <c r="E17" s="973"/>
      <c r="F17" s="973"/>
      <c r="G17" s="973"/>
      <c r="H17" s="973"/>
      <c r="I17" s="973"/>
      <c r="J17" s="973"/>
      <c r="K17" s="973"/>
      <c r="L17" s="44"/>
    </row>
    <row r="18" spans="2:12" x14ac:dyDescent="0.25">
      <c r="B18" s="44"/>
      <c r="C18" s="973" t="s">
        <v>137</v>
      </c>
      <c r="D18" s="973"/>
      <c r="E18" s="973"/>
      <c r="F18" s="973"/>
      <c r="G18" s="973"/>
      <c r="H18" s="973"/>
      <c r="I18" s="973"/>
      <c r="J18" s="973"/>
      <c r="K18" s="973"/>
      <c r="L18" s="44"/>
    </row>
    <row r="19" spans="2:12" x14ac:dyDescent="0.25">
      <c r="B19" s="44"/>
      <c r="C19" s="973" t="s">
        <v>138</v>
      </c>
      <c r="D19" s="973"/>
      <c r="E19" s="973"/>
      <c r="F19" s="973"/>
      <c r="G19" s="973"/>
      <c r="H19" s="973"/>
      <c r="I19" s="973"/>
      <c r="J19" s="973"/>
      <c r="K19" s="973"/>
      <c r="L19" s="44"/>
    </row>
    <row r="20" spans="2:12" x14ac:dyDescent="0.25">
      <c r="B20" s="44"/>
      <c r="C20" s="973" t="s">
        <v>139</v>
      </c>
      <c r="D20" s="973"/>
      <c r="E20" s="973"/>
      <c r="F20" s="973"/>
      <c r="G20" s="973"/>
      <c r="H20" s="973"/>
      <c r="I20" s="973"/>
      <c r="J20" s="973"/>
      <c r="K20" s="973"/>
      <c r="L20" s="44"/>
    </row>
    <row r="21" spans="2:12" x14ac:dyDescent="0.25">
      <c r="B21" s="44"/>
      <c r="C21" s="974" t="s">
        <v>140</v>
      </c>
      <c r="D21" s="973"/>
      <c r="E21" s="973"/>
      <c r="F21" s="973"/>
      <c r="G21" s="973"/>
      <c r="H21" s="973"/>
      <c r="I21" s="973"/>
      <c r="J21" s="973"/>
      <c r="K21" s="973"/>
      <c r="L21" s="44"/>
    </row>
    <row r="22" spans="2:12" x14ac:dyDescent="0.25">
      <c r="B22" s="44"/>
      <c r="C22" s="44"/>
      <c r="D22" s="44"/>
      <c r="E22" s="44"/>
      <c r="F22" s="44"/>
      <c r="G22" s="44"/>
      <c r="H22" s="44"/>
      <c r="I22" s="44"/>
      <c r="J22" s="44"/>
      <c r="K22" s="44"/>
      <c r="L22" s="44"/>
    </row>
    <row r="23" spans="2:12" ht="18" x14ac:dyDescent="0.25">
      <c r="B23" s="973" t="s">
        <v>232</v>
      </c>
      <c r="C23" s="973"/>
      <c r="D23" s="973"/>
      <c r="E23" s="973"/>
      <c r="F23" s="195"/>
      <c r="G23" s="195"/>
      <c r="H23" s="195"/>
      <c r="I23" s="195"/>
      <c r="J23" s="195"/>
      <c r="K23" s="195"/>
      <c r="L23" s="195"/>
    </row>
    <row r="24" spans="2:12" x14ac:dyDescent="0.25">
      <c r="B24" s="44"/>
      <c r="C24" s="973" t="s">
        <v>166</v>
      </c>
      <c r="D24" s="973"/>
      <c r="E24" s="973"/>
      <c r="F24" s="973"/>
      <c r="G24" s="973"/>
      <c r="H24" s="973"/>
      <c r="I24" s="973"/>
      <c r="J24" s="973"/>
      <c r="K24" s="973"/>
      <c r="L24" s="44"/>
    </row>
    <row r="25" spans="2:12" x14ac:dyDescent="0.25">
      <c r="B25" s="44"/>
      <c r="C25" s="197"/>
      <c r="D25" s="197"/>
      <c r="E25" s="197"/>
      <c r="F25" s="197"/>
      <c r="G25" s="197"/>
      <c r="H25" s="197"/>
      <c r="I25" s="197"/>
      <c r="J25" s="197"/>
      <c r="K25" s="197"/>
      <c r="L25" s="44"/>
    </row>
    <row r="26" spans="2:12" ht="18" x14ac:dyDescent="0.25">
      <c r="B26" s="973" t="s">
        <v>233</v>
      </c>
      <c r="C26" s="973"/>
      <c r="D26" s="973"/>
      <c r="E26" s="973"/>
      <c r="F26" s="195"/>
      <c r="G26" s="195"/>
      <c r="H26" s="195"/>
      <c r="I26" s="195"/>
      <c r="J26" s="195"/>
      <c r="K26" s="195"/>
      <c r="L26" s="195"/>
    </row>
    <row r="27" spans="2:12" x14ac:dyDescent="0.25">
      <c r="B27" s="44"/>
      <c r="C27" s="973" t="s">
        <v>173</v>
      </c>
      <c r="D27" s="973"/>
      <c r="E27" s="973"/>
      <c r="F27" s="973"/>
      <c r="G27" s="973"/>
      <c r="H27" s="973"/>
      <c r="I27" s="973"/>
      <c r="J27" s="973"/>
      <c r="K27" s="973"/>
      <c r="L27" s="44"/>
    </row>
    <row r="28" spans="2:12" x14ac:dyDescent="0.25">
      <c r="B28" s="44"/>
      <c r="C28" s="197"/>
      <c r="D28" s="197"/>
      <c r="E28" s="197"/>
      <c r="F28" s="197"/>
      <c r="G28" s="197"/>
      <c r="H28" s="197"/>
      <c r="I28" s="197"/>
      <c r="J28" s="197"/>
      <c r="K28" s="197"/>
      <c r="L28" s="44"/>
    </row>
    <row r="29" spans="2:12" ht="18" x14ac:dyDescent="0.25">
      <c r="B29" s="973" t="s">
        <v>234</v>
      </c>
      <c r="C29" s="973"/>
      <c r="D29" s="973"/>
      <c r="E29" s="973"/>
      <c r="F29" s="195"/>
      <c r="G29" s="195"/>
      <c r="H29" s="195"/>
      <c r="I29" s="195"/>
      <c r="J29" s="195"/>
      <c r="K29" s="195"/>
      <c r="L29" s="195"/>
    </row>
    <row r="30" spans="2:12" x14ac:dyDescent="0.25">
      <c r="B30" s="44"/>
      <c r="C30" s="973" t="s">
        <v>235</v>
      </c>
      <c r="D30" s="973"/>
      <c r="E30" s="973"/>
      <c r="F30" s="973"/>
      <c r="G30" s="973"/>
      <c r="H30" s="973"/>
      <c r="I30" s="973"/>
      <c r="J30" s="973"/>
      <c r="K30" s="973"/>
      <c r="L30" s="44"/>
    </row>
    <row r="31" spans="2:12" x14ac:dyDescent="0.25">
      <c r="B31" s="44"/>
      <c r="C31" s="44"/>
      <c r="D31" s="44"/>
      <c r="E31" s="44"/>
      <c r="F31" s="44"/>
      <c r="G31" s="44"/>
      <c r="H31" s="44"/>
      <c r="I31" s="44"/>
      <c r="J31" s="44"/>
      <c r="K31" s="44"/>
      <c r="L31" s="44"/>
    </row>
    <row r="32" spans="2:12" ht="18" x14ac:dyDescent="0.25">
      <c r="B32" s="973" t="s">
        <v>237</v>
      </c>
      <c r="C32" s="973"/>
      <c r="D32" s="973"/>
      <c r="E32" s="973"/>
      <c r="F32" s="195"/>
      <c r="G32" s="195"/>
      <c r="H32" s="195"/>
      <c r="I32" s="195"/>
      <c r="J32" s="195"/>
      <c r="K32" s="195"/>
      <c r="L32" s="195"/>
    </row>
    <row r="33" spans="1:12" x14ac:dyDescent="0.25">
      <c r="B33" s="196" t="s">
        <v>236</v>
      </c>
      <c r="C33" s="44"/>
      <c r="D33" s="44"/>
      <c r="E33" s="44"/>
      <c r="F33" s="44"/>
      <c r="G33" s="44"/>
      <c r="H33" s="44"/>
      <c r="I33" s="44"/>
      <c r="J33" s="44"/>
      <c r="K33" s="44"/>
      <c r="L33" s="44"/>
    </row>
    <row r="34" spans="1:12" x14ac:dyDescent="0.25">
      <c r="B34" s="44"/>
      <c r="F34" s="44"/>
      <c r="G34" s="44"/>
      <c r="H34" s="44"/>
      <c r="I34" s="44"/>
      <c r="J34" s="44"/>
      <c r="K34" s="44"/>
      <c r="L34" s="44"/>
    </row>
    <row r="35" spans="1:12" x14ac:dyDescent="0.25">
      <c r="C35" s="973" t="s">
        <v>239</v>
      </c>
      <c r="D35" s="973"/>
      <c r="E35" s="973"/>
    </row>
    <row r="37" spans="1:12" x14ac:dyDescent="0.25">
      <c r="A37" s="975" t="s">
        <v>238</v>
      </c>
      <c r="B37" s="975"/>
      <c r="C37" s="975"/>
      <c r="D37" s="975"/>
      <c r="E37" s="44"/>
      <c r="F37" s="44"/>
    </row>
    <row r="38" spans="1:12" x14ac:dyDescent="0.25">
      <c r="C38" s="198" t="s">
        <v>198</v>
      </c>
      <c r="D38" s="198"/>
      <c r="E38" s="198"/>
      <c r="F38" s="198"/>
      <c r="G38" s="198"/>
      <c r="H38" s="198"/>
      <c r="I38" s="198"/>
      <c r="J38" s="198"/>
      <c r="K38" s="198"/>
      <c r="L38" s="198"/>
    </row>
  </sheetData>
  <mergeCells count="24">
    <mergeCell ref="A37:D37"/>
    <mergeCell ref="B23:E23"/>
    <mergeCell ref="C24:K24"/>
    <mergeCell ref="C35:E35"/>
    <mergeCell ref="C27:K27"/>
    <mergeCell ref="B29:E29"/>
    <mergeCell ref="C30:K30"/>
    <mergeCell ref="B32:E32"/>
    <mergeCell ref="B26:E26"/>
    <mergeCell ref="C19:K19"/>
    <mergeCell ref="C20:K20"/>
    <mergeCell ref="C21:K21"/>
    <mergeCell ref="C18:K18"/>
    <mergeCell ref="B4:E4"/>
    <mergeCell ref="C5:K5"/>
    <mergeCell ref="C6:K6"/>
    <mergeCell ref="B8:E8"/>
    <mergeCell ref="C9:K9"/>
    <mergeCell ref="C10:H10"/>
    <mergeCell ref="B12:F12"/>
    <mergeCell ref="C13:K13"/>
    <mergeCell ref="B15:F15"/>
    <mergeCell ref="C16:K16"/>
    <mergeCell ref="C17:K17"/>
  </mergeCells>
  <hyperlinks>
    <hyperlink ref="B4" location="'A) Reajuste Tarifas y Ocupación'!A1" display="A) Reajuste Tarifas y Ocupación" xr:uid="{00000000-0004-0000-0100-000000000000}"/>
    <hyperlink ref="C5" location="'A) Reajuste Tarifas y Ocupación'!B9:H37" display="TABLA 1. REAJUSTE DE TARIFAS POR PRESTACIÓN Y SEGMENTO" xr:uid="{00000000-0004-0000-0100-000001000000}"/>
    <hyperlink ref="C6" location="'A) Reajuste Tarifas y Ocupación'!J9:Q37" display="TABLA 2. METAS DE OCUPACIÓN POR PRESTACIÓN Y SEGMENTO" xr:uid="{00000000-0004-0000-0100-000002000000}"/>
    <hyperlink ref="B8" location="'B) Comparación Mercado'!A1" display="B) Comparación Mercado" xr:uid="{00000000-0004-0000-0100-000003000000}"/>
    <hyperlink ref="C9" location="'B) Comparación Mercado'!A13" display="TABLA 1. COMPARACIÓN TARIFAS CON PRECIOS DE MERCADO" xr:uid="{00000000-0004-0000-0100-000004000000}"/>
    <hyperlink ref="B12" location="'D) Estimación Costos'!A1" display="D) Estimación Costos" xr:uid="{00000000-0004-0000-0100-000005000000}"/>
    <hyperlink ref="C13" location="'D) Estimación Costos'!A7" display="TABLA 1. COSTOS DIRECTOS POR CENTRO DE COSTO" xr:uid="{00000000-0004-0000-0100-000006000000}"/>
    <hyperlink ref="B29" location="'E) Resumen Ingresos y Egresos'!A1" display="E) Resumen Ingresos y Egresos" xr:uid="{00000000-0004-0000-0100-000007000000}"/>
    <hyperlink ref="C30" location="'E) Resumen Ingresos y Egresos'!A7:J25" display="TABLA 1. RESUMEN DE INGRESOS Y EGRESOS POR CENTRO DE COSTO" xr:uid="{00000000-0004-0000-0100-000008000000}"/>
    <hyperlink ref="B32" location="'G) Detalle Datos'!A1" display="G) Detalle Datos" xr:uid="{00000000-0004-0000-0100-000009000000}"/>
    <hyperlink ref="C5:K5" location="'A) Resumen Ingresos y Egresos'!A6" display="TABLA 1: RESUMEN DE INGRESOS Y EGRESOS DE CENTROS DE BENEFICIOS" xr:uid="{00000000-0004-0000-0100-00000A000000}"/>
    <hyperlink ref="C6:K6" location="'A) Resumen Ingresos y Egresos'!A21" display="TABLA 2:  DETALLE DE INGRESOS POR PRESTACIÓN Y SEGMENTO" xr:uid="{00000000-0004-0000-0100-00000B000000}"/>
    <hyperlink ref="C30:K30" location="'G) Comparación Mercado'!A13" display="TABLA 14:COMPARACIÓN TARIFAS CON PRECIOS DE MERCADO" xr:uid="{00000000-0004-0000-0100-00000C000000}"/>
    <hyperlink ref="C13:K13" location="'C) Estimación Costos Directos'!A7" display="TABLA 5: COSTOS DIRECTOS DE CENTROS DE BENEFICIOS " xr:uid="{00000000-0004-0000-0100-00000D000000}"/>
    <hyperlink ref="B26" location="'C) Remuneraciones'!A1" display="C) Remuneraciones" xr:uid="{00000000-0004-0000-0100-00000E000000}"/>
    <hyperlink ref="C27" location="'C) Remuneraciones'!A9:M36" display="TABLA 1. REMUNERACIONES DEL PERSONAL CÓDIGO DEL TRABAJO POR CENTRO DE COSTO" xr:uid="{00000000-0004-0000-0100-00000F000000}"/>
    <hyperlink ref="C27:K27" location="'F) Remuneraciones'!B7" display="TABLA 13: REMUNERACIONES DEL PERSONAL LEY 18.712 DE CENTROS DE BENEFICIOS" xr:uid="{00000000-0004-0000-0100-000010000000}"/>
    <hyperlink ref="B15" location="'D) Estimación Costos'!A1" display="D) Estimación Costos" xr:uid="{00000000-0004-0000-0100-000011000000}"/>
    <hyperlink ref="C16" location="'D) Estimación Costos'!A7" display="TABLA 1. COSTOS DIRECTOS POR CENTRO DE COSTO" xr:uid="{00000000-0004-0000-0100-000012000000}"/>
    <hyperlink ref="C17" location="'D) Estimación Costos'!A1096" display="TABLA 2. COSTOS INDIRECTOS EN REMUNERACIONES DE UNIDADES DE APOYO ADMINISTRATIVO" xr:uid="{00000000-0004-0000-0100-000013000000}"/>
    <hyperlink ref="C18" location="'D) Estimación Costos'!A1150:L1185" display="TABLA 3. COSTOS DE OPERACIÓN PISCINAS POR CENTRO DE COSTO" xr:uid="{00000000-0004-0000-0100-000014000000}"/>
    <hyperlink ref="C18:K18" location="'D) Costos Indirectos '!U9" display="TABLA 8: COSTOS DE OPERACION ADMINISTRACIÓN CENTRAL Y  APOYO ADMINISTRATIVO ASISTENCIA RECREATIVA" xr:uid="{00000000-0004-0000-0100-000015000000}"/>
    <hyperlink ref="C16:K16" location="'D) Costos Indirectos '!B9" display="TABLA 6: REMUNERACIONES DEL PERSONAL LEY 18.712 ADMINISTRACION CENTRAL Y APOYO ADMINISTRATIVO ASISTENCIA RECREATIVA" xr:uid="{00000000-0004-0000-0100-000016000000}"/>
    <hyperlink ref="C9:K9" location="'B) Reajuste Tarifas y Ocupación'!A8" display="TABLA 3: REAJUSTE DE TARIFAS POR PRESTACIÓN Y SEGMENTO" xr:uid="{00000000-0004-0000-0100-000017000000}"/>
    <hyperlink ref="C10" location="'B) Reajuste Tarifas y Ocupación'!A1" display="TABLA 4: METAS DE OCUPACIÓN POR PRESTACIÓN Y SEGMENTO" xr:uid="{00000000-0004-0000-0100-000018000000}"/>
    <hyperlink ref="B12:F12" location="'C) Estimación Costos Directos'!A1" display="C) Estimación Costos Directos" xr:uid="{00000000-0004-0000-0100-000019000000}"/>
    <hyperlink ref="C19" location="'D) Estimación Costos'!A1150:L1185" display="TABLA 3. COSTOS DE OPERACIÓN PISCINAS POR CENTRO DE COSTO" xr:uid="{00000000-0004-0000-0100-00001A000000}"/>
    <hyperlink ref="C19:K19" location="'D) Costos Indirectos '!Z9" display="TABLA 9: RESUMEN DISTRIBUCION COSTOS REMUNERACIONES ADMINISTRACION CENTRAL Y APOYO ADMINISTRATIVO A. RECREATIVA" xr:uid="{00000000-0004-0000-0100-00001B000000}"/>
    <hyperlink ref="C20" location="'D) Estimación Costos'!A1150:L1185" display="TABLA 3. COSTOS DE OPERACIÓN PISCINAS POR CENTRO DE COSTO" xr:uid="{00000000-0004-0000-0100-00001C000000}"/>
    <hyperlink ref="C20:K20" location="'D) Costos Indirectos '!AG9" display="TABLA 10: RESUMEN DISTRIBUCION COSTOS OPERACIÓN ADMINISTRACION CENTRAL  Y APOYO ADMINISTRATIVO A. RECREATIVA" xr:uid="{00000000-0004-0000-0100-00001D000000}"/>
    <hyperlink ref="C21" location="'D) Estimación Costos'!A1150:L1185" display="TABLA 3. COSTOS DE OPERACIÓN PISCINAS POR CENTRO DE COSTO" xr:uid="{00000000-0004-0000-0100-00001E000000}"/>
    <hyperlink ref="C21:K21" location="'D) Costos Indirectos '!AN9" display="'D) Costos Indirectos '!AN9" xr:uid="{00000000-0004-0000-0100-00001F000000}"/>
    <hyperlink ref="B23" location="'F) Resumen Tarifado '!A1" display="F) Resumen Tarifado" xr:uid="{00000000-0004-0000-0100-000020000000}"/>
    <hyperlink ref="C24" location="'F) Resumen Tarifado '!A7:R40" display="TABLA 1. RESUMEN DE TARIFADO POR CENTRO DE COSTO" xr:uid="{00000000-0004-0000-0100-000021000000}"/>
    <hyperlink ref="C24:K24" location="'E) Resumen Tarifado '!A6" display="TABLA 12: RESUMEN DE TARIFADO" xr:uid="{00000000-0004-0000-0100-000022000000}"/>
    <hyperlink ref="B4:E4" location="'A) Resumen Ingresos y Egresos'!A1" display="A) Resumen Ingresos y Egresos" xr:uid="{00000000-0004-0000-0100-000023000000}"/>
    <hyperlink ref="B15:F15" location="'D) Costos Indirectos '!A1" display="D) Costos Indirectos" xr:uid="{00000000-0004-0000-0100-000024000000}"/>
    <hyperlink ref="B23:E23" location="'E) Resumen Tarifado '!A1" display="E) Resumen Tarifado" xr:uid="{00000000-0004-0000-0100-000025000000}"/>
    <hyperlink ref="B26:E26" location="'F) Remuneraciones'!A1" display="F) Remuneraciones" xr:uid="{00000000-0004-0000-0100-000026000000}"/>
    <hyperlink ref="B29:E29" location="'G) Comparación Mercado'!A1" display="G) Comparación Mercado" xr:uid="{00000000-0004-0000-0100-000027000000}"/>
    <hyperlink ref="B32:E32" location="'H) Detalle Datos'!A1" display="G) Detalle Datos" xr:uid="{00000000-0004-0000-0100-000028000000}"/>
    <hyperlink ref="B8:E8" location="'B) Reajuste Tarifas y Ocupación'!A1" display="B) Reajuste Tarifa y Ocupación" xr:uid="{00000000-0004-0000-0100-000029000000}"/>
    <hyperlink ref="C17:K17" location="'D) Costos Indirectos '!M9" display="TABLA 7: DISTRIBUCION COSTOS REMUNERACIONES ADMINISTRACION CENTRAL Y APOYO ADMINISTRATIVO A. RECREATIVA" xr:uid="{00000000-0004-0000-0100-00002A000000}"/>
    <hyperlink ref="C10:H10" location="'B) Reajuste Tarifas y Ocupación'!P8" display="TABLA 4: METAS DE OCUPACIÓN POR PRESTACIÓN Y SEGMENTO" xr:uid="{00000000-0004-0000-0100-00002B000000}"/>
    <hyperlink ref="B33" location="'I) Costo Desayuno'!B12" display="I) Costo Desayuno" xr:uid="{00000000-0004-0000-0100-00002C000000}"/>
    <hyperlink ref="A37" location="'I) Costo Desayuno'!B12" display="I) Costo Desayuno" xr:uid="{00000000-0004-0000-0100-00002D000000}"/>
    <hyperlink ref="C38:L38" location="'J) Estructura Económica Mensual'!B6" display="TABLA N°16:  RESULTADO OPERACIONAL MENSUAL" xr:uid="{00000000-0004-0000-0100-00002E000000}"/>
    <hyperlink ref="A37:D37" location="'J) Estructura Económica Mensual'!B12" display="J) Estructura Económica Mensual" xr:uid="{00000000-0004-0000-0100-00002F000000}"/>
    <hyperlink ref="C35:E35" location="'I) Costo Desayuno'!B12" display="TABLA 15: Costo desayuno" xr:uid="{00000000-0004-0000-0100-00003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A76"/>
  <sheetViews>
    <sheetView showGridLines="0" zoomScale="80" zoomScaleNormal="80" workbookViewId="0">
      <selection activeCell="M7" sqref="M7"/>
    </sheetView>
  </sheetViews>
  <sheetFormatPr baseColWidth="10" defaultColWidth="11.42578125" defaultRowHeight="15" x14ac:dyDescent="0.25"/>
  <cols>
    <col min="1" max="1" width="11.42578125" style="179"/>
    <col min="2" max="2" width="21.28515625" style="179" bestFit="1" customWidth="1"/>
    <col min="3" max="3" width="11.85546875" style="179" bestFit="1" customWidth="1"/>
    <col min="4" max="4" width="13.28515625" style="179" bestFit="1" customWidth="1"/>
    <col min="5" max="7" width="11.42578125" style="179"/>
    <col min="8" max="8" width="13" style="179" bestFit="1" customWidth="1"/>
    <col min="9" max="9" width="14" style="179" bestFit="1" customWidth="1"/>
    <col min="10" max="10" width="16.85546875" style="179" bestFit="1" customWidth="1"/>
    <col min="11" max="11" width="13.5703125" style="179" customWidth="1"/>
    <col min="12" max="12" width="13.5703125" style="179" bestFit="1" customWidth="1"/>
    <col min="13" max="13" width="20" style="179" bestFit="1" customWidth="1"/>
    <col min="14" max="14" width="12.42578125" style="179" bestFit="1" customWidth="1"/>
    <col min="15" max="15" width="12.7109375" style="179" bestFit="1" customWidth="1"/>
    <col min="16" max="19" width="11.42578125" style="179"/>
    <col min="20" max="20" width="11.85546875" style="179" bestFit="1" customWidth="1"/>
    <col min="21" max="21" width="11.42578125" style="179"/>
    <col min="22" max="22" width="11.85546875" style="179" bestFit="1" customWidth="1"/>
    <col min="23" max="25" width="13" style="179" bestFit="1" customWidth="1"/>
    <col min="26" max="26" width="14.5703125" style="179" bestFit="1" customWidth="1"/>
    <col min="27" max="27" width="13" style="179" bestFit="1" customWidth="1"/>
    <col min="28" max="16384" width="11.42578125" style="179"/>
  </cols>
  <sheetData>
    <row r="3" spans="2:15" x14ac:dyDescent="0.25">
      <c r="F3" s="179" t="s">
        <v>247</v>
      </c>
    </row>
    <row r="4" spans="2:15" x14ac:dyDescent="0.25">
      <c r="K4" s="977"/>
      <c r="L4" s="978"/>
      <c r="M4" s="412" t="s">
        <v>279</v>
      </c>
      <c r="N4" s="412" t="s">
        <v>245</v>
      </c>
    </row>
    <row r="5" spans="2:15" x14ac:dyDescent="0.25">
      <c r="B5" s="977" t="s">
        <v>245</v>
      </c>
      <c r="C5" s="978"/>
      <c r="D5" s="412" t="s">
        <v>246</v>
      </c>
      <c r="G5" s="444" t="s">
        <v>273</v>
      </c>
      <c r="H5" s="444" t="s">
        <v>274</v>
      </c>
      <c r="K5" s="976" t="s">
        <v>277</v>
      </c>
      <c r="L5" s="976"/>
      <c r="M5" s="443">
        <f>O23</f>
        <v>30653615.343119994</v>
      </c>
      <c r="N5" s="447">
        <v>0.1</v>
      </c>
      <c r="O5" s="421">
        <v>30650265</v>
      </c>
    </row>
    <row r="6" spans="2:15" x14ac:dyDescent="0.25">
      <c r="B6" s="979" t="s">
        <v>40</v>
      </c>
      <c r="C6" s="980"/>
      <c r="D6" s="413">
        <f>'A) Resumen Ingresos y Egresos'!N9/'A) Resumen Ingresos y Egresos'!D9</f>
        <v>0.43712365021994343</v>
      </c>
      <c r="G6" s="442">
        <v>2017</v>
      </c>
      <c r="H6" s="443">
        <v>24379640</v>
      </c>
      <c r="K6" s="976" t="s">
        <v>276</v>
      </c>
      <c r="L6" s="976"/>
      <c r="M6" s="443">
        <v>40345236</v>
      </c>
      <c r="N6" s="448">
        <f>15283743/H11</f>
        <v>0.69471559090909096</v>
      </c>
    </row>
    <row r="7" spans="2:15" x14ac:dyDescent="0.25">
      <c r="B7" s="438" t="s">
        <v>46</v>
      </c>
      <c r="C7" s="439"/>
      <c r="D7" s="414">
        <f>'A) Resumen Ingresos y Egresos'!N10/'A) Resumen Ingresos y Egresos'!D10</f>
        <v>-3.654793064567599</v>
      </c>
      <c r="G7" s="442">
        <v>2018</v>
      </c>
      <c r="H7" s="443">
        <v>19949157</v>
      </c>
      <c r="K7" s="976" t="s">
        <v>278</v>
      </c>
      <c r="L7" s="976"/>
      <c r="M7" s="443">
        <v>38353675</v>
      </c>
      <c r="N7" s="447">
        <v>0.5</v>
      </c>
    </row>
    <row r="8" spans="2:15" x14ac:dyDescent="0.25">
      <c r="B8" s="438" t="s">
        <v>50</v>
      </c>
      <c r="C8" s="439"/>
      <c r="D8" s="414">
        <f>'A) Resumen Ingresos y Egresos'!N11/'A) Resumen Ingresos y Egresos'!D11</f>
        <v>0.59647941106798597</v>
      </c>
      <c r="G8" s="442">
        <v>2019</v>
      </c>
      <c r="H8" s="443">
        <v>24191000</v>
      </c>
    </row>
    <row r="9" spans="2:15" x14ac:dyDescent="0.25">
      <c r="B9" s="440" t="s">
        <v>52</v>
      </c>
      <c r="C9" s="441"/>
      <c r="D9" s="415">
        <f>'A) Resumen Ingresos y Egresos'!N12/'A) Resumen Ingresos y Egresos'!D12</f>
        <v>1</v>
      </c>
      <c r="G9" s="442">
        <v>2020</v>
      </c>
      <c r="H9" s="443">
        <v>22799500</v>
      </c>
    </row>
    <row r="10" spans="2:15" x14ac:dyDescent="0.25">
      <c r="B10" s="436" t="s">
        <v>271</v>
      </c>
      <c r="C10" s="437"/>
      <c r="D10" s="416">
        <f>'A) Resumen Ingresos y Egresos'!N14/'A) Resumen Ingresos y Egresos'!D14</f>
        <v>0.53218126556749468</v>
      </c>
      <c r="G10" s="442">
        <v>2021</v>
      </c>
      <c r="H10" s="443">
        <v>23017200</v>
      </c>
    </row>
    <row r="11" spans="2:15" x14ac:dyDescent="0.25">
      <c r="G11" s="442">
        <v>2022</v>
      </c>
      <c r="H11" s="443">
        <v>22000000</v>
      </c>
      <c r="I11" s="179" t="s">
        <v>275</v>
      </c>
      <c r="J11" s="179">
        <v>15283743</v>
      </c>
    </row>
    <row r="12" spans="2:15" ht="15.75" thickBot="1" x14ac:dyDescent="0.3"/>
    <row r="13" spans="2:15" ht="15.75" thickBot="1" x14ac:dyDescent="0.3">
      <c r="B13" s="179">
        <v>2019</v>
      </c>
      <c r="C13" s="434">
        <v>1748000</v>
      </c>
      <c r="D13" s="434">
        <v>1831200</v>
      </c>
      <c r="E13" s="434">
        <v>1509200</v>
      </c>
      <c r="F13" s="434">
        <v>1210100</v>
      </c>
      <c r="G13" s="434">
        <v>2085500</v>
      </c>
      <c r="H13" s="434">
        <v>1417500</v>
      </c>
      <c r="I13" s="434">
        <v>1356500</v>
      </c>
      <c r="J13" s="434">
        <v>1066900</v>
      </c>
      <c r="K13" s="434">
        <v>1254800</v>
      </c>
      <c r="L13" s="434">
        <v>3943900</v>
      </c>
      <c r="M13" s="434">
        <v>2145300</v>
      </c>
      <c r="N13" s="434">
        <v>4622100</v>
      </c>
      <c r="O13" s="435">
        <v>24191000</v>
      </c>
    </row>
    <row r="14" spans="2:15" x14ac:dyDescent="0.25">
      <c r="B14" s="418">
        <v>0.03</v>
      </c>
      <c r="C14" s="419">
        <f>C13*$B$14+C13</f>
        <v>1800440</v>
      </c>
      <c r="D14" s="419">
        <f t="shared" ref="D14:O14" si="0">D13*$B$14+D13</f>
        <v>1886136</v>
      </c>
      <c r="E14" s="419">
        <f t="shared" si="0"/>
        <v>1554476</v>
      </c>
      <c r="F14" s="419">
        <f t="shared" si="0"/>
        <v>1246403</v>
      </c>
      <c r="G14" s="419">
        <f t="shared" si="0"/>
        <v>2148065</v>
      </c>
      <c r="H14" s="419">
        <f t="shared" si="0"/>
        <v>1460025</v>
      </c>
      <c r="I14" s="419">
        <f t="shared" si="0"/>
        <v>1397195</v>
      </c>
      <c r="J14" s="419">
        <f t="shared" si="0"/>
        <v>1098907</v>
      </c>
      <c r="K14" s="419">
        <f t="shared" si="0"/>
        <v>1292444</v>
      </c>
      <c r="L14" s="419">
        <f t="shared" si="0"/>
        <v>4062217</v>
      </c>
      <c r="M14" s="419">
        <f t="shared" si="0"/>
        <v>2209659</v>
      </c>
      <c r="N14" s="419">
        <f t="shared" si="0"/>
        <v>4760763</v>
      </c>
      <c r="O14" s="419">
        <f t="shared" si="0"/>
        <v>24916730</v>
      </c>
    </row>
    <row r="15" spans="2:15" ht="15.75" thickBot="1" x14ac:dyDescent="0.3"/>
    <row r="16" spans="2:15" ht="15.75" thickBot="1" x14ac:dyDescent="0.3">
      <c r="B16" s="179">
        <v>2020</v>
      </c>
      <c r="C16" s="434">
        <v>1800440</v>
      </c>
      <c r="D16" s="434">
        <v>1886136</v>
      </c>
      <c r="E16" s="434">
        <v>1554476</v>
      </c>
      <c r="F16" s="434">
        <v>1246403</v>
      </c>
      <c r="G16" s="434">
        <v>2148065</v>
      </c>
      <c r="H16" s="434">
        <v>1460025</v>
      </c>
      <c r="I16" s="434">
        <v>1397195</v>
      </c>
      <c r="J16" s="434">
        <v>1098907</v>
      </c>
      <c r="K16" s="434">
        <v>1292444</v>
      </c>
      <c r="L16" s="434">
        <v>4062217</v>
      </c>
      <c r="M16" s="434">
        <v>2209659</v>
      </c>
      <c r="N16" s="434">
        <v>4760763</v>
      </c>
      <c r="O16" s="435">
        <f>SUM(C16:N16)</f>
        <v>24916730</v>
      </c>
    </row>
    <row r="17" spans="2:27" x14ac:dyDescent="0.25">
      <c r="B17" s="418">
        <v>0.03</v>
      </c>
      <c r="C17" s="419">
        <f>C16*$B$17+C16</f>
        <v>1854453.2</v>
      </c>
      <c r="D17" s="419">
        <f t="shared" ref="D17:O17" si="1">D16*$B$17+D16</f>
        <v>1942720.08</v>
      </c>
      <c r="E17" s="419">
        <f t="shared" si="1"/>
        <v>1601110.28</v>
      </c>
      <c r="F17" s="419">
        <f t="shared" si="1"/>
        <v>1283795.0900000001</v>
      </c>
      <c r="G17" s="419">
        <f t="shared" si="1"/>
        <v>2212506.9500000002</v>
      </c>
      <c r="H17" s="419">
        <f t="shared" si="1"/>
        <v>1503825.75</v>
      </c>
      <c r="I17" s="419">
        <f t="shared" si="1"/>
        <v>1439110.85</v>
      </c>
      <c r="J17" s="419">
        <f t="shared" si="1"/>
        <v>1131874.21</v>
      </c>
      <c r="K17" s="419">
        <f t="shared" si="1"/>
        <v>1331217.32</v>
      </c>
      <c r="L17" s="419">
        <f t="shared" si="1"/>
        <v>4184083.51</v>
      </c>
      <c r="M17" s="419">
        <f t="shared" si="1"/>
        <v>2275948.77</v>
      </c>
      <c r="N17" s="419">
        <f t="shared" si="1"/>
        <v>4903585.8899999997</v>
      </c>
      <c r="O17" s="419">
        <f t="shared" si="1"/>
        <v>25664231.899999999</v>
      </c>
    </row>
    <row r="18" spans="2:27" ht="15.75" thickBot="1" x14ac:dyDescent="0.3"/>
    <row r="19" spans="2:27" ht="15.75" thickBot="1" x14ac:dyDescent="0.3">
      <c r="B19" s="179">
        <v>2021</v>
      </c>
      <c r="C19" s="434">
        <v>1854453</v>
      </c>
      <c r="D19" s="434">
        <v>1942720</v>
      </c>
      <c r="E19" s="434">
        <v>1601110</v>
      </c>
      <c r="F19" s="434">
        <v>1283795</v>
      </c>
      <c r="G19" s="434">
        <v>2212507</v>
      </c>
      <c r="H19" s="434">
        <v>1503826</v>
      </c>
      <c r="I19" s="434">
        <v>1439111</v>
      </c>
      <c r="J19" s="434">
        <v>1131874</v>
      </c>
      <c r="K19" s="434">
        <v>1331217</v>
      </c>
      <c r="L19" s="434">
        <v>4184084</v>
      </c>
      <c r="M19" s="434">
        <v>2275949</v>
      </c>
      <c r="N19" s="434">
        <v>4903586</v>
      </c>
      <c r="O19" s="435">
        <f>SUM(C19:N19)</f>
        <v>25664232</v>
      </c>
    </row>
    <row r="20" spans="2:27" x14ac:dyDescent="0.25">
      <c r="B20" s="451">
        <v>5.7000000000000002E-2</v>
      </c>
      <c r="C20" s="419">
        <f>C19*$B$20+C19</f>
        <v>1960156.821</v>
      </c>
      <c r="D20" s="419">
        <f t="shared" ref="D20:N20" si="2">D19*$B$20+D19</f>
        <v>2053455.04</v>
      </c>
      <c r="E20" s="419">
        <f t="shared" si="2"/>
        <v>1692373.27</v>
      </c>
      <c r="F20" s="419">
        <f t="shared" si="2"/>
        <v>1356971.3149999999</v>
      </c>
      <c r="G20" s="419">
        <f t="shared" si="2"/>
        <v>2338619.8990000002</v>
      </c>
      <c r="H20" s="419">
        <f t="shared" si="2"/>
        <v>1589544.0819999999</v>
      </c>
      <c r="I20" s="419">
        <f t="shared" si="2"/>
        <v>1521140.327</v>
      </c>
      <c r="J20" s="419">
        <f t="shared" si="2"/>
        <v>1196390.818</v>
      </c>
      <c r="K20" s="419">
        <f t="shared" si="2"/>
        <v>1407096.3689999999</v>
      </c>
      <c r="L20" s="419">
        <f t="shared" si="2"/>
        <v>4422576.7879999997</v>
      </c>
      <c r="M20" s="419">
        <f t="shared" si="2"/>
        <v>2405678.0929999999</v>
      </c>
      <c r="N20" s="419">
        <f t="shared" si="2"/>
        <v>5183090.4019999998</v>
      </c>
      <c r="O20" s="419">
        <f>O19*$B$20+O19</f>
        <v>27127093.223999999</v>
      </c>
    </row>
    <row r="21" spans="2:27" ht="15.75" thickBot="1" x14ac:dyDescent="0.3"/>
    <row r="22" spans="2:27" ht="15.75" thickBot="1" x14ac:dyDescent="0.3">
      <c r="B22" s="179">
        <v>2022</v>
      </c>
      <c r="C22" s="434">
        <f>C20</f>
        <v>1960156.821</v>
      </c>
      <c r="D22" s="434">
        <f t="shared" ref="D22:N22" si="3">D20</f>
        <v>2053455.04</v>
      </c>
      <c r="E22" s="434">
        <f t="shared" si="3"/>
        <v>1692373.27</v>
      </c>
      <c r="F22" s="434">
        <f t="shared" si="3"/>
        <v>1356971.3149999999</v>
      </c>
      <c r="G22" s="434">
        <f t="shared" si="3"/>
        <v>2338619.8990000002</v>
      </c>
      <c r="H22" s="434">
        <f t="shared" si="3"/>
        <v>1589544.0819999999</v>
      </c>
      <c r="I22" s="434">
        <f t="shared" si="3"/>
        <v>1521140.327</v>
      </c>
      <c r="J22" s="434">
        <f t="shared" si="3"/>
        <v>1196390.818</v>
      </c>
      <c r="K22" s="434">
        <f t="shared" si="3"/>
        <v>1407096.3689999999</v>
      </c>
      <c r="L22" s="434">
        <f t="shared" si="3"/>
        <v>4422576.7879999997</v>
      </c>
      <c r="M22" s="434">
        <f t="shared" si="3"/>
        <v>2405678.0929999999</v>
      </c>
      <c r="N22" s="434">
        <f t="shared" si="3"/>
        <v>5183090.4019999998</v>
      </c>
      <c r="O22" s="417">
        <f>SUM(C22:N22)</f>
        <v>27127093.223999996</v>
      </c>
    </row>
    <row r="23" spans="2:27" x14ac:dyDescent="0.25">
      <c r="B23" s="418">
        <v>0.13</v>
      </c>
      <c r="C23" s="445">
        <f>C22*$B$23+C22</f>
        <v>2214977.2077299999</v>
      </c>
      <c r="D23" s="445">
        <f t="shared" ref="D23:O23" si="4">D22*$B$23+D22</f>
        <v>2320404.1952</v>
      </c>
      <c r="E23" s="445">
        <f t="shared" si="4"/>
        <v>1912381.7951</v>
      </c>
      <c r="F23" s="445">
        <f t="shared" si="4"/>
        <v>1533377.58595</v>
      </c>
      <c r="G23" s="445">
        <f t="shared" si="4"/>
        <v>2642640.4858700004</v>
      </c>
      <c r="H23" s="445">
        <f t="shared" si="4"/>
        <v>1796184.8126599998</v>
      </c>
      <c r="I23" s="445">
        <f t="shared" si="4"/>
        <v>1718888.5695100001</v>
      </c>
      <c r="J23" s="445">
        <f t="shared" si="4"/>
        <v>1351921.6243400001</v>
      </c>
      <c r="K23" s="445">
        <f t="shared" si="4"/>
        <v>1590018.8969699999</v>
      </c>
      <c r="L23" s="445">
        <f t="shared" si="4"/>
        <v>4997511.7704399992</v>
      </c>
      <c r="M23" s="445">
        <f t="shared" si="4"/>
        <v>2718416.2450899999</v>
      </c>
      <c r="N23" s="445">
        <f t="shared" si="4"/>
        <v>5856892.1542600002</v>
      </c>
      <c r="O23" s="445">
        <f t="shared" si="4"/>
        <v>30653615.343119994</v>
      </c>
      <c r="P23" s="179" t="s">
        <v>272</v>
      </c>
    </row>
    <row r="26" spans="2:27" ht="15.75" thickBot="1" x14ac:dyDescent="0.3">
      <c r="B26" s="179" t="s">
        <v>8</v>
      </c>
    </row>
    <row r="27" spans="2:27" ht="15.75" thickBot="1" x14ac:dyDescent="0.3">
      <c r="J27" s="420">
        <v>2019</v>
      </c>
      <c r="X27" s="446">
        <v>0.03</v>
      </c>
      <c r="Y27" s="418">
        <v>0.03</v>
      </c>
      <c r="Z27" s="449">
        <v>5.7000000000000002E-2</v>
      </c>
      <c r="AA27" s="446">
        <v>0.13</v>
      </c>
    </row>
    <row r="28" spans="2:27" x14ac:dyDescent="0.25">
      <c r="B28" s="179">
        <v>2019</v>
      </c>
      <c r="C28" s="421">
        <v>3800093</v>
      </c>
      <c r="J28" s="422" t="s">
        <v>265</v>
      </c>
      <c r="K28" s="179" t="s">
        <v>250</v>
      </c>
      <c r="L28" s="179" t="s">
        <v>251</v>
      </c>
      <c r="M28" s="179" t="s">
        <v>252</v>
      </c>
      <c r="N28" s="179" t="s">
        <v>253</v>
      </c>
      <c r="O28" s="179" t="s">
        <v>254</v>
      </c>
      <c r="P28" s="179" t="s">
        <v>255</v>
      </c>
      <c r="Q28" s="179" t="s">
        <v>256</v>
      </c>
      <c r="R28" s="179" t="s">
        <v>257</v>
      </c>
      <c r="S28" s="179" t="s">
        <v>258</v>
      </c>
      <c r="T28" s="179" t="s">
        <v>259</v>
      </c>
      <c r="U28" s="179" t="s">
        <v>260</v>
      </c>
      <c r="V28" s="179" t="s">
        <v>261</v>
      </c>
      <c r="W28" s="422" t="s">
        <v>262</v>
      </c>
    </row>
    <row r="29" spans="2:27" x14ac:dyDescent="0.25">
      <c r="B29" s="179">
        <v>2020</v>
      </c>
      <c r="C29" s="421">
        <v>3932601</v>
      </c>
      <c r="J29" s="179" t="s">
        <v>263</v>
      </c>
      <c r="K29" s="421">
        <v>483700</v>
      </c>
      <c r="L29" s="421">
        <v>807200</v>
      </c>
      <c r="M29" s="421">
        <v>245200</v>
      </c>
      <c r="N29" s="421">
        <v>277600</v>
      </c>
      <c r="O29" s="421">
        <v>423300</v>
      </c>
      <c r="P29" s="421">
        <v>388000</v>
      </c>
      <c r="Q29" s="421">
        <v>274800</v>
      </c>
      <c r="R29" s="421">
        <v>52800</v>
      </c>
      <c r="S29" s="421">
        <v>123000</v>
      </c>
      <c r="T29" s="423">
        <v>1266800</v>
      </c>
      <c r="U29" s="421">
        <v>712700</v>
      </c>
      <c r="V29" s="421">
        <v>898200</v>
      </c>
      <c r="W29" s="424">
        <v>5953300</v>
      </c>
      <c r="X29" s="429">
        <f>W29+(W29*X27)</f>
        <v>6131899</v>
      </c>
      <c r="Y29" s="429">
        <f>X29+(X29*Y27)</f>
        <v>6315855.9699999997</v>
      </c>
      <c r="Z29" s="450">
        <f>Y29+(Y29*Z27)</f>
        <v>6675859.7602899997</v>
      </c>
      <c r="AA29" s="450">
        <f>Z29+(Z29*AA27)</f>
        <v>7543721.5291276993</v>
      </c>
    </row>
    <row r="30" spans="2:27" x14ac:dyDescent="0.25">
      <c r="B30" s="179">
        <v>2021</v>
      </c>
      <c r="C30" s="421">
        <v>4281179</v>
      </c>
      <c r="J30" s="179" t="s">
        <v>264</v>
      </c>
      <c r="K30" s="421">
        <v>453300</v>
      </c>
      <c r="L30" s="421">
        <v>753720</v>
      </c>
      <c r="M30" s="421">
        <v>121730</v>
      </c>
      <c r="N30" s="425">
        <v>-155230</v>
      </c>
      <c r="O30" s="425">
        <v>-108298</v>
      </c>
      <c r="P30" s="421">
        <v>69223</v>
      </c>
      <c r="Q30" s="421">
        <v>116073</v>
      </c>
      <c r="R30" s="425">
        <v>-230870</v>
      </c>
      <c r="S30" s="425">
        <v>-375244</v>
      </c>
      <c r="T30" s="421">
        <v>913960</v>
      </c>
      <c r="U30" s="421">
        <v>248633</v>
      </c>
      <c r="V30" s="421">
        <v>503728</v>
      </c>
      <c r="W30" s="424">
        <v>2310725</v>
      </c>
    </row>
    <row r="31" spans="2:27" x14ac:dyDescent="0.25">
      <c r="B31" s="179">
        <v>2022</v>
      </c>
      <c r="C31" s="421">
        <v>2795690</v>
      </c>
      <c r="D31" s="179" t="s">
        <v>248</v>
      </c>
      <c r="K31" s="426">
        <f>K30/K29</f>
        <v>0.93715112673144507</v>
      </c>
      <c r="L31" s="426">
        <f t="shared" ref="L31:W31" si="5">L30/L29</f>
        <v>0.93374628344895938</v>
      </c>
      <c r="M31" s="426">
        <f t="shared" si="5"/>
        <v>0.49645187601957586</v>
      </c>
      <c r="N31" s="427">
        <f t="shared" si="5"/>
        <v>-0.55918587896253602</v>
      </c>
      <c r="O31" s="427">
        <f t="shared" si="5"/>
        <v>-0.25584219229860616</v>
      </c>
      <c r="P31" s="426">
        <f t="shared" si="5"/>
        <v>0.17840979381443298</v>
      </c>
      <c r="Q31" s="426">
        <f t="shared" si="5"/>
        <v>0.42239082969432312</v>
      </c>
      <c r="R31" s="427">
        <f t="shared" si="5"/>
        <v>-4.3725378787878784</v>
      </c>
      <c r="S31" s="427">
        <f t="shared" si="5"/>
        <v>-3.0507642276422766</v>
      </c>
      <c r="T31" s="426">
        <f t="shared" si="5"/>
        <v>0.72147142406062514</v>
      </c>
      <c r="U31" s="426">
        <f t="shared" si="5"/>
        <v>0.3488606706889294</v>
      </c>
      <c r="V31" s="426">
        <f t="shared" si="5"/>
        <v>0.56081941661099977</v>
      </c>
      <c r="W31" s="428">
        <f t="shared" si="5"/>
        <v>0.3881418708951338</v>
      </c>
    </row>
    <row r="32" spans="2:27" ht="15.75" thickBot="1" x14ac:dyDescent="0.3">
      <c r="B32" s="179">
        <v>2023</v>
      </c>
      <c r="C32" s="429">
        <f>C31/7*12</f>
        <v>4792611.4285714291</v>
      </c>
      <c r="D32" s="179" t="s">
        <v>249</v>
      </c>
    </row>
    <row r="33" spans="10:27" ht="15.75" thickBot="1" x14ac:dyDescent="0.3">
      <c r="J33" s="430">
        <v>2022</v>
      </c>
    </row>
    <row r="34" spans="10:27" x14ac:dyDescent="0.25">
      <c r="J34" s="422" t="s">
        <v>265</v>
      </c>
      <c r="K34" s="179" t="s">
        <v>267</v>
      </c>
      <c r="L34" s="431" t="s">
        <v>268</v>
      </c>
    </row>
    <row r="35" spans="10:27" x14ac:dyDescent="0.25">
      <c r="J35" s="179" t="s">
        <v>263</v>
      </c>
      <c r="K35" s="421">
        <v>8708190</v>
      </c>
      <c r="L35" s="429">
        <f>K35/7*12</f>
        <v>14928325.714285716</v>
      </c>
    </row>
    <row r="36" spans="10:27" x14ac:dyDescent="0.25">
      <c r="J36" s="179" t="s">
        <v>264</v>
      </c>
      <c r="K36" s="425">
        <v>-33085258</v>
      </c>
      <c r="L36" s="432">
        <f>K36/7*12</f>
        <v>-56717585.142857134</v>
      </c>
    </row>
    <row r="37" spans="10:27" x14ac:dyDescent="0.25">
      <c r="J37" s="433" t="s">
        <v>269</v>
      </c>
      <c r="K37" s="427">
        <f>K36/K35</f>
        <v>-3.7993266109260362</v>
      </c>
      <c r="L37" s="427">
        <f>L36/L35</f>
        <v>-3.7993266109260353</v>
      </c>
    </row>
    <row r="38" spans="10:27" ht="15.75" thickBot="1" x14ac:dyDescent="0.3"/>
    <row r="39" spans="10:27" ht="15.75" thickBot="1" x14ac:dyDescent="0.3">
      <c r="J39" s="420">
        <v>2019</v>
      </c>
      <c r="X39" s="446">
        <v>0.03</v>
      </c>
      <c r="Y39" s="418">
        <v>0.03</v>
      </c>
      <c r="Z39" s="449">
        <v>5.7000000000000002E-2</v>
      </c>
      <c r="AA39" s="446">
        <v>0.13</v>
      </c>
    </row>
    <row r="40" spans="10:27" x14ac:dyDescent="0.25">
      <c r="J40" s="422" t="s">
        <v>46</v>
      </c>
      <c r="K40" s="179" t="s">
        <v>250</v>
      </c>
      <c r="L40" s="179" t="s">
        <v>251</v>
      </c>
      <c r="M40" s="179" t="s">
        <v>252</v>
      </c>
      <c r="N40" s="179" t="s">
        <v>253</v>
      </c>
      <c r="O40" s="179" t="s">
        <v>254</v>
      </c>
      <c r="P40" s="179" t="s">
        <v>255</v>
      </c>
      <c r="Q40" s="179" t="s">
        <v>256</v>
      </c>
      <c r="R40" s="179" t="s">
        <v>257</v>
      </c>
      <c r="S40" s="179" t="s">
        <v>258</v>
      </c>
      <c r="T40" s="179" t="s">
        <v>259</v>
      </c>
      <c r="U40" s="179" t="s">
        <v>260</v>
      </c>
      <c r="V40" s="179" t="s">
        <v>261</v>
      </c>
      <c r="W40" s="422" t="s">
        <v>262</v>
      </c>
    </row>
    <row r="41" spans="10:27" x14ac:dyDescent="0.25">
      <c r="J41" s="179" t="s">
        <v>263</v>
      </c>
      <c r="K41" s="421">
        <v>37500</v>
      </c>
      <c r="L41" s="421">
        <v>0</v>
      </c>
      <c r="M41" s="421">
        <v>219900</v>
      </c>
      <c r="N41" s="421">
        <v>262500</v>
      </c>
      <c r="O41" s="421">
        <v>536400</v>
      </c>
      <c r="P41" s="421">
        <v>436300</v>
      </c>
      <c r="Q41" s="421">
        <v>96600</v>
      </c>
      <c r="R41" s="421">
        <v>302200</v>
      </c>
      <c r="S41" s="421">
        <v>268200</v>
      </c>
      <c r="T41" s="421">
        <v>436200</v>
      </c>
      <c r="U41" s="421">
        <v>391000</v>
      </c>
      <c r="V41" s="421">
        <v>348800</v>
      </c>
      <c r="W41" s="424">
        <v>3335600</v>
      </c>
      <c r="X41" s="429">
        <f>W41+(W41*X39)</f>
        <v>3435668</v>
      </c>
      <c r="Y41" s="429">
        <f>X41+(X41*Y39)</f>
        <v>3538738.04</v>
      </c>
      <c r="Z41" s="450">
        <f>Y41+(Y41*Z39)</f>
        <v>3740446.1082800003</v>
      </c>
      <c r="AA41" s="450">
        <f>Z41+(Z41*AA39)</f>
        <v>4226704.1023564003</v>
      </c>
    </row>
    <row r="42" spans="10:27" x14ac:dyDescent="0.25">
      <c r="J42" s="179" t="s">
        <v>266</v>
      </c>
      <c r="K42" s="421">
        <v>37500</v>
      </c>
      <c r="L42" s="421">
        <v>0</v>
      </c>
      <c r="M42" s="421">
        <v>153936</v>
      </c>
      <c r="N42" s="421">
        <v>230740</v>
      </c>
      <c r="O42" s="421">
        <v>454596</v>
      </c>
      <c r="P42" s="421">
        <v>397250</v>
      </c>
      <c r="Q42" s="421">
        <v>61791</v>
      </c>
      <c r="R42" s="421">
        <v>261067</v>
      </c>
      <c r="S42" s="421">
        <v>228770</v>
      </c>
      <c r="T42" s="421">
        <v>377440</v>
      </c>
      <c r="U42" s="421">
        <v>304468</v>
      </c>
      <c r="V42" s="421">
        <v>141369</v>
      </c>
      <c r="W42" s="424">
        <v>2648927</v>
      </c>
    </row>
    <row r="43" spans="10:27" x14ac:dyDescent="0.25">
      <c r="K43" s="426">
        <f>K42/K41</f>
        <v>1</v>
      </c>
      <c r="L43" s="426" t="e">
        <f t="shared" ref="L43:W43" si="6">L42/L41</f>
        <v>#DIV/0!</v>
      </c>
      <c r="M43" s="426">
        <f t="shared" si="6"/>
        <v>0.70002728512960433</v>
      </c>
      <c r="N43" s="426">
        <f t="shared" si="6"/>
        <v>0.8790095238095238</v>
      </c>
      <c r="O43" s="426">
        <f t="shared" si="6"/>
        <v>0.84749440715883673</v>
      </c>
      <c r="P43" s="426">
        <f t="shared" si="6"/>
        <v>0.91049736419894567</v>
      </c>
      <c r="Q43" s="426">
        <f t="shared" si="6"/>
        <v>0.63965838509316775</v>
      </c>
      <c r="R43" s="426">
        <f t="shared" si="6"/>
        <v>0.86388815354070148</v>
      </c>
      <c r="S43" s="426">
        <f t="shared" si="6"/>
        <v>0.8529828486204325</v>
      </c>
      <c r="T43" s="426">
        <f t="shared" si="6"/>
        <v>0.86529115084823471</v>
      </c>
      <c r="U43" s="426">
        <f t="shared" si="6"/>
        <v>0.77869053708439895</v>
      </c>
      <c r="V43" s="426">
        <f t="shared" si="6"/>
        <v>0.40530103211009172</v>
      </c>
      <c r="W43" s="428">
        <f t="shared" si="6"/>
        <v>0.79413808610145098</v>
      </c>
    </row>
    <row r="44" spans="10:27" ht="15.75" thickBot="1" x14ac:dyDescent="0.3"/>
    <row r="45" spans="10:27" ht="15.75" thickBot="1" x14ac:dyDescent="0.3">
      <c r="J45" s="420">
        <v>2022</v>
      </c>
    </row>
    <row r="46" spans="10:27" x14ac:dyDescent="0.25">
      <c r="J46" s="422" t="s">
        <v>46</v>
      </c>
      <c r="K46" s="179" t="s">
        <v>267</v>
      </c>
      <c r="L46" s="431" t="s">
        <v>268</v>
      </c>
    </row>
    <row r="47" spans="10:27" x14ac:dyDescent="0.25">
      <c r="J47" s="179" t="s">
        <v>263</v>
      </c>
      <c r="K47" s="421">
        <v>1978780</v>
      </c>
      <c r="L47" s="429">
        <f>K47/7*12</f>
        <v>3392194.2857142859</v>
      </c>
    </row>
    <row r="48" spans="10:27" x14ac:dyDescent="0.25">
      <c r="J48" s="179" t="s">
        <v>266</v>
      </c>
      <c r="K48" s="421">
        <v>941211</v>
      </c>
      <c r="L48" s="429">
        <f>K48/7*12</f>
        <v>1613504.5714285714</v>
      </c>
    </row>
    <row r="49" spans="10:27" x14ac:dyDescent="0.25">
      <c r="J49" s="431" t="s">
        <v>269</v>
      </c>
      <c r="K49" s="426">
        <f>K48/K47</f>
        <v>0.47565216951859224</v>
      </c>
      <c r="L49" s="426">
        <f>L48/L47</f>
        <v>0.47565216951859224</v>
      </c>
    </row>
    <row r="50" spans="10:27" ht="15.75" thickBot="1" x14ac:dyDescent="0.3"/>
    <row r="51" spans="10:27" ht="15.75" thickBot="1" x14ac:dyDescent="0.3">
      <c r="J51" s="420">
        <v>2019</v>
      </c>
      <c r="X51" s="446">
        <v>0.03</v>
      </c>
      <c r="Y51" s="418">
        <v>0.03</v>
      </c>
      <c r="Z51" s="449">
        <v>5.7000000000000002E-2</v>
      </c>
      <c r="AA51" s="446">
        <v>0.13</v>
      </c>
    </row>
    <row r="52" spans="10:27" x14ac:dyDescent="0.25">
      <c r="J52" s="422" t="s">
        <v>50</v>
      </c>
      <c r="K52" s="179" t="s">
        <v>250</v>
      </c>
      <c r="L52" s="179" t="s">
        <v>251</v>
      </c>
      <c r="M52" s="179" t="s">
        <v>252</v>
      </c>
      <c r="N52" s="179" t="s">
        <v>253</v>
      </c>
      <c r="O52" s="179" t="s">
        <v>254</v>
      </c>
      <c r="P52" s="179" t="s">
        <v>255</v>
      </c>
      <c r="Q52" s="179" t="s">
        <v>256</v>
      </c>
      <c r="R52" s="179" t="s">
        <v>257</v>
      </c>
      <c r="S52" s="179" t="s">
        <v>258</v>
      </c>
      <c r="T52" s="179" t="s">
        <v>259</v>
      </c>
      <c r="U52" s="179" t="s">
        <v>260</v>
      </c>
      <c r="V52" s="179" t="s">
        <v>261</v>
      </c>
      <c r="W52" s="422" t="s">
        <v>262</v>
      </c>
    </row>
    <row r="53" spans="10:27" x14ac:dyDescent="0.25">
      <c r="J53" s="179" t="s">
        <v>263</v>
      </c>
      <c r="K53" s="421">
        <v>1226800</v>
      </c>
      <c r="L53" s="421">
        <v>1024000</v>
      </c>
      <c r="M53" s="421">
        <v>1044100</v>
      </c>
      <c r="N53" s="421">
        <v>649000</v>
      </c>
      <c r="O53" s="421">
        <v>565800</v>
      </c>
      <c r="P53" s="421">
        <v>313200</v>
      </c>
      <c r="Q53" s="421">
        <v>719100</v>
      </c>
      <c r="R53" s="421">
        <v>431900</v>
      </c>
      <c r="S53" s="421">
        <v>569600</v>
      </c>
      <c r="T53" s="421">
        <v>1974900</v>
      </c>
      <c r="U53" s="421">
        <v>768600</v>
      </c>
      <c r="V53" s="421">
        <v>3368100</v>
      </c>
      <c r="W53" s="424">
        <v>12655100</v>
      </c>
      <c r="X53" s="429">
        <f>W53+(W53*X51)</f>
        <v>13034753</v>
      </c>
      <c r="Y53" s="429">
        <f>X53+(X53*Y51)</f>
        <v>13425795.59</v>
      </c>
      <c r="Z53" s="450">
        <f>Y53+(Y53*Z51)</f>
        <v>14191065.93863</v>
      </c>
      <c r="AA53" s="450">
        <f>Z53+(Z53*AA51)</f>
        <v>16035904.5106519</v>
      </c>
    </row>
    <row r="54" spans="10:27" x14ac:dyDescent="0.25">
      <c r="J54" s="179" t="s">
        <v>266</v>
      </c>
      <c r="K54" s="421">
        <v>837477</v>
      </c>
      <c r="L54" s="421">
        <v>625955</v>
      </c>
      <c r="M54" s="421">
        <v>901034</v>
      </c>
      <c r="N54" s="421">
        <v>272289</v>
      </c>
      <c r="O54" s="425">
        <v>-22235</v>
      </c>
      <c r="P54" s="421">
        <v>23563</v>
      </c>
      <c r="Q54" s="421">
        <v>537655</v>
      </c>
      <c r="R54" s="421">
        <v>16964</v>
      </c>
      <c r="S54" s="425">
        <v>-63187</v>
      </c>
      <c r="T54" s="421">
        <v>1630550</v>
      </c>
      <c r="U54" s="421">
        <v>11769</v>
      </c>
      <c r="V54" s="421">
        <v>2617684</v>
      </c>
      <c r="W54" s="424">
        <v>7389518</v>
      </c>
    </row>
    <row r="55" spans="10:27" x14ac:dyDescent="0.25">
      <c r="J55" s="431" t="s">
        <v>269</v>
      </c>
      <c r="K55" s="426">
        <f>K54/K53</f>
        <v>0.68265161395500484</v>
      </c>
      <c r="L55" s="426">
        <f t="shared" ref="L55:W55" si="7">L54/L53</f>
        <v>0.61128417968750004</v>
      </c>
      <c r="M55" s="426">
        <f t="shared" si="7"/>
        <v>0.86297672636720624</v>
      </c>
      <c r="N55" s="426">
        <f t="shared" si="7"/>
        <v>0.41955161787365175</v>
      </c>
      <c r="O55" s="427">
        <f t="shared" si="7"/>
        <v>-3.9298338635560266E-2</v>
      </c>
      <c r="P55" s="426">
        <f t="shared" si="7"/>
        <v>7.5233077905491705E-2</v>
      </c>
      <c r="Q55" s="426">
        <f t="shared" si="7"/>
        <v>0.74767765262133223</v>
      </c>
      <c r="R55" s="426">
        <f t="shared" si="7"/>
        <v>3.927761055799954E-2</v>
      </c>
      <c r="S55" s="427">
        <f t="shared" si="7"/>
        <v>-0.11093223314606741</v>
      </c>
      <c r="T55" s="426">
        <f t="shared" si="7"/>
        <v>0.8256367411008152</v>
      </c>
      <c r="U55" s="426">
        <f t="shared" si="7"/>
        <v>1.5312256049960967E-2</v>
      </c>
      <c r="V55" s="426">
        <f t="shared" si="7"/>
        <v>0.77719901428104865</v>
      </c>
      <c r="W55" s="428">
        <f t="shared" si="7"/>
        <v>0.58391620769492136</v>
      </c>
    </row>
    <row r="56" spans="10:27" ht="15.75" thickBot="1" x14ac:dyDescent="0.3"/>
    <row r="57" spans="10:27" ht="15.75" thickBot="1" x14ac:dyDescent="0.3">
      <c r="J57" s="420">
        <v>2022</v>
      </c>
    </row>
    <row r="58" spans="10:27" x14ac:dyDescent="0.25">
      <c r="J58" s="422" t="s">
        <v>50</v>
      </c>
      <c r="K58" s="179" t="s">
        <v>262</v>
      </c>
      <c r="L58" s="179" t="s">
        <v>268</v>
      </c>
    </row>
    <row r="59" spans="10:27" x14ac:dyDescent="0.25">
      <c r="J59" s="179" t="s">
        <v>263</v>
      </c>
      <c r="K59" s="421">
        <v>11996751</v>
      </c>
      <c r="L59" s="429">
        <f>(K59/7)*12</f>
        <v>20565858.857142858</v>
      </c>
    </row>
    <row r="60" spans="10:27" x14ac:dyDescent="0.25">
      <c r="J60" s="179" t="s">
        <v>266</v>
      </c>
      <c r="K60" s="421">
        <v>6414083</v>
      </c>
      <c r="L60" s="429">
        <f>K60/7*12</f>
        <v>10995570.857142858</v>
      </c>
    </row>
    <row r="61" spans="10:27" x14ac:dyDescent="0.25">
      <c r="J61" s="431" t="s">
        <v>269</v>
      </c>
      <c r="K61" s="426">
        <f>K60/K59</f>
        <v>0.53465167360729582</v>
      </c>
      <c r="L61" s="426">
        <f>L60/L59</f>
        <v>0.53465167360729582</v>
      </c>
    </row>
    <row r="62" spans="10:27" ht="15.75" thickBot="1" x14ac:dyDescent="0.3"/>
    <row r="63" spans="10:27" ht="15.75" thickBot="1" x14ac:dyDescent="0.3">
      <c r="J63" s="420">
        <v>2019</v>
      </c>
      <c r="X63" s="446">
        <v>0.03</v>
      </c>
      <c r="Y63" s="418">
        <v>0.03</v>
      </c>
      <c r="Z63" s="449">
        <v>5.7000000000000002E-2</v>
      </c>
      <c r="AA63" s="446">
        <v>0.13</v>
      </c>
    </row>
    <row r="64" spans="10:27" x14ac:dyDescent="0.25">
      <c r="J64" s="422" t="s">
        <v>52</v>
      </c>
      <c r="K64" s="179" t="s">
        <v>250</v>
      </c>
      <c r="L64" s="179" t="s">
        <v>251</v>
      </c>
      <c r="M64" s="179" t="s">
        <v>252</v>
      </c>
      <c r="N64" s="179" t="s">
        <v>253</v>
      </c>
      <c r="O64" s="179" t="s">
        <v>254</v>
      </c>
      <c r="P64" s="179" t="s">
        <v>255</v>
      </c>
      <c r="Q64" s="179" t="s">
        <v>256</v>
      </c>
      <c r="R64" s="179" t="s">
        <v>257</v>
      </c>
      <c r="S64" s="179" t="s">
        <v>258</v>
      </c>
      <c r="T64" s="179" t="s">
        <v>259</v>
      </c>
      <c r="U64" s="179" t="s">
        <v>260</v>
      </c>
      <c r="V64" s="179" t="s">
        <v>261</v>
      </c>
      <c r="W64" s="422" t="s">
        <v>262</v>
      </c>
    </row>
    <row r="65" spans="10:27" x14ac:dyDescent="0.25">
      <c r="J65" s="179" t="s">
        <v>263</v>
      </c>
      <c r="K65" s="421">
        <v>0</v>
      </c>
      <c r="L65" s="421">
        <v>0</v>
      </c>
      <c r="M65" s="421">
        <v>0</v>
      </c>
      <c r="N65" s="421">
        <v>21000</v>
      </c>
      <c r="O65" s="421">
        <v>560000</v>
      </c>
      <c r="P65" s="421">
        <v>280000</v>
      </c>
      <c r="Q65" s="421">
        <v>266000</v>
      </c>
      <c r="R65" s="421">
        <v>280000</v>
      </c>
      <c r="S65" s="421">
        <v>294000</v>
      </c>
      <c r="T65" s="421">
        <v>266000</v>
      </c>
      <c r="U65" s="421">
        <v>273000</v>
      </c>
      <c r="V65" s="421">
        <v>7000</v>
      </c>
      <c r="W65" s="424">
        <v>2247000</v>
      </c>
      <c r="X65" s="429">
        <f>W65+(W65*X63)</f>
        <v>2314410</v>
      </c>
      <c r="Y65" s="429">
        <f>X65+(X65*Y63)</f>
        <v>2383842.2999999998</v>
      </c>
      <c r="Z65" s="450">
        <f>Y65+(Y65*Z63)</f>
        <v>2519721.3110999996</v>
      </c>
      <c r="AA65" s="450">
        <f>Z65+(Z65*AA63)</f>
        <v>2847285.0815429995</v>
      </c>
    </row>
    <row r="66" spans="10:27" x14ac:dyDescent="0.25">
      <c r="J66" s="179" t="s">
        <v>266</v>
      </c>
      <c r="K66" s="421">
        <v>0</v>
      </c>
      <c r="L66" s="421">
        <v>0</v>
      </c>
      <c r="M66" s="421">
        <v>-26017</v>
      </c>
      <c r="N66" s="421">
        <v>21000</v>
      </c>
      <c r="O66" s="421">
        <v>321785</v>
      </c>
      <c r="P66" s="421">
        <v>280000</v>
      </c>
      <c r="Q66" s="421">
        <v>266000</v>
      </c>
      <c r="R66" s="421">
        <v>280000</v>
      </c>
      <c r="S66" s="421">
        <v>294000</v>
      </c>
      <c r="T66" s="421">
        <v>243830</v>
      </c>
      <c r="U66" s="421">
        <v>273000</v>
      </c>
      <c r="V66" s="421">
        <v>-24512</v>
      </c>
      <c r="W66" s="424">
        <v>1929086</v>
      </c>
    </row>
    <row r="67" spans="10:27" x14ac:dyDescent="0.25">
      <c r="K67" s="426" t="e">
        <f>K66/K65</f>
        <v>#DIV/0!</v>
      </c>
      <c r="L67" s="426" t="e">
        <f t="shared" ref="L67:W67" si="8">L66/L65</f>
        <v>#DIV/0!</v>
      </c>
      <c r="M67" s="426" t="e">
        <f t="shared" si="8"/>
        <v>#DIV/0!</v>
      </c>
      <c r="N67" s="426">
        <f t="shared" si="8"/>
        <v>1</v>
      </c>
      <c r="O67" s="426">
        <f t="shared" si="8"/>
        <v>0.57461607142857141</v>
      </c>
      <c r="P67" s="426">
        <f t="shared" si="8"/>
        <v>1</v>
      </c>
      <c r="Q67" s="426">
        <f t="shared" si="8"/>
        <v>1</v>
      </c>
      <c r="R67" s="426">
        <f t="shared" si="8"/>
        <v>1</v>
      </c>
      <c r="S67" s="426">
        <f t="shared" si="8"/>
        <v>1</v>
      </c>
      <c r="T67" s="426">
        <f t="shared" si="8"/>
        <v>0.91665413533834583</v>
      </c>
      <c r="U67" s="426">
        <f t="shared" si="8"/>
        <v>1</v>
      </c>
      <c r="V67" s="427">
        <f t="shared" si="8"/>
        <v>-3.5017142857142858</v>
      </c>
      <c r="W67" s="428">
        <f t="shared" si="8"/>
        <v>0.85851624388072989</v>
      </c>
    </row>
    <row r="68" spans="10:27" ht="15.75" thickBot="1" x14ac:dyDescent="0.3"/>
    <row r="69" spans="10:27" ht="15.75" thickBot="1" x14ac:dyDescent="0.3">
      <c r="J69" s="420">
        <v>2022</v>
      </c>
    </row>
    <row r="70" spans="10:27" x14ac:dyDescent="0.25">
      <c r="J70" s="179" t="s">
        <v>52</v>
      </c>
      <c r="K70" s="179" t="s">
        <v>262</v>
      </c>
      <c r="L70" s="179" t="s">
        <v>268</v>
      </c>
    </row>
    <row r="71" spans="10:27" x14ac:dyDescent="0.25">
      <c r="J71" s="179" t="s">
        <v>263</v>
      </c>
      <c r="K71" s="421">
        <v>851000</v>
      </c>
      <c r="L71" s="429">
        <f>K71/7*12</f>
        <v>1458857.1428571427</v>
      </c>
    </row>
    <row r="72" spans="10:27" x14ac:dyDescent="0.25">
      <c r="J72" s="179" t="s">
        <v>266</v>
      </c>
      <c r="K72" s="421">
        <v>703465</v>
      </c>
      <c r="L72" s="429">
        <f>K72/7*12</f>
        <v>1205940</v>
      </c>
    </row>
    <row r="73" spans="10:27" x14ac:dyDescent="0.25">
      <c r="K73" s="426">
        <f>K72/K71</f>
        <v>0.82663337250293767</v>
      </c>
      <c r="L73" s="426">
        <f>L72/L71</f>
        <v>0.82663337250293778</v>
      </c>
    </row>
    <row r="76" spans="10:27" x14ac:dyDescent="0.25">
      <c r="J76" s="179" t="s">
        <v>270</v>
      </c>
      <c r="K76" s="429">
        <f>SUM(L35,L47,L59,L71)</f>
        <v>40345236.000000007</v>
      </c>
    </row>
  </sheetData>
  <sheetProtection sheet="1" objects="1" scenarios="1"/>
  <mergeCells count="6">
    <mergeCell ref="K5:L5"/>
    <mergeCell ref="K6:L6"/>
    <mergeCell ref="K7:L7"/>
    <mergeCell ref="K4:L4"/>
    <mergeCell ref="B5:C5"/>
    <mergeCell ref="B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O82"/>
  <sheetViews>
    <sheetView showGridLines="0" zoomScale="80" zoomScaleNormal="80" workbookViewId="0">
      <selection activeCell="M14" sqref="M14"/>
    </sheetView>
  </sheetViews>
  <sheetFormatPr baseColWidth="10" defaultColWidth="11.42578125" defaultRowHeight="15" x14ac:dyDescent="0.25"/>
  <cols>
    <col min="1" max="1" width="31.5703125" style="5" customWidth="1"/>
    <col min="2" max="2" width="23.5703125" style="5" customWidth="1"/>
    <col min="3" max="3" width="20.85546875" style="5" bestFit="1" customWidth="1"/>
    <col min="4" max="4" width="19.28515625" style="5" customWidth="1"/>
    <col min="5" max="5" width="21.42578125" style="5" customWidth="1"/>
    <col min="6" max="6" width="28" style="5" bestFit="1" customWidth="1"/>
    <col min="7" max="7" width="17.7109375" style="5" customWidth="1"/>
    <col min="8" max="8" width="20" style="5" customWidth="1"/>
    <col min="9" max="9" width="24.140625" style="5" bestFit="1" customWidth="1"/>
    <col min="10" max="10" width="21.140625" style="5" bestFit="1" customWidth="1"/>
    <col min="11" max="11" width="21.85546875" style="5" bestFit="1" customWidth="1"/>
    <col min="12" max="12" width="19.85546875" style="5" bestFit="1" customWidth="1"/>
    <col min="13" max="13" width="16.5703125" style="5" bestFit="1" customWidth="1"/>
    <col min="14" max="14" width="18" style="5" bestFit="1" customWidth="1"/>
    <col min="15" max="15" width="15.85546875" style="5" customWidth="1"/>
    <col min="16" max="16384" width="11.42578125" style="179"/>
  </cols>
  <sheetData>
    <row r="1" spans="1:15" x14ac:dyDescent="0.25">
      <c r="A1" s="1"/>
      <c r="B1" s="2"/>
      <c r="C1" s="2"/>
      <c r="D1" s="2"/>
      <c r="E1" s="3"/>
      <c r="F1" s="2"/>
      <c r="G1" s="2"/>
      <c r="H1" s="2"/>
      <c r="I1" s="2"/>
      <c r="J1" s="2"/>
      <c r="K1" s="2"/>
      <c r="L1" s="2"/>
      <c r="M1" s="2"/>
      <c r="N1" s="2"/>
      <c r="O1" s="2"/>
    </row>
    <row r="2" spans="1:15" x14ac:dyDescent="0.25">
      <c r="A2" s="4"/>
      <c r="B2" s="2"/>
      <c r="C2" s="2"/>
      <c r="D2" s="2"/>
      <c r="E2" s="3" t="s">
        <v>0</v>
      </c>
      <c r="F2" s="2"/>
      <c r="G2" s="2"/>
      <c r="H2" s="2"/>
      <c r="I2" s="2"/>
      <c r="J2" s="2"/>
      <c r="K2" s="2"/>
      <c r="L2" s="2"/>
      <c r="M2" s="2"/>
      <c r="N2" s="2"/>
      <c r="O2" s="2"/>
    </row>
    <row r="3" spans="1:15" x14ac:dyDescent="0.25">
      <c r="B3" s="2"/>
      <c r="C3" s="2"/>
      <c r="D3" s="2"/>
      <c r="E3" s="2"/>
      <c r="F3" s="2"/>
      <c r="G3" s="2"/>
      <c r="H3" s="2"/>
      <c r="I3" s="2"/>
      <c r="J3" s="2"/>
      <c r="K3" s="2"/>
      <c r="L3" s="2"/>
      <c r="M3" s="2"/>
      <c r="N3" s="2"/>
      <c r="O3" s="2"/>
    </row>
    <row r="4" spans="1:15" ht="15.75" x14ac:dyDescent="0.25">
      <c r="B4" s="6"/>
      <c r="C4" s="997" t="s">
        <v>1</v>
      </c>
      <c r="D4" s="997"/>
      <c r="E4" s="998" t="s">
        <v>2</v>
      </c>
      <c r="F4" s="999"/>
      <c r="G4" s="2"/>
      <c r="H4" s="2"/>
      <c r="I4" s="2"/>
      <c r="J4" s="7"/>
      <c r="K4" s="2"/>
      <c r="L4" s="2"/>
      <c r="M4" s="2"/>
      <c r="N4" s="2"/>
      <c r="O4" s="2"/>
    </row>
    <row r="5" spans="1:15" x14ac:dyDescent="0.25">
      <c r="F5" s="8"/>
      <c r="G5" s="8"/>
      <c r="H5" s="2"/>
      <c r="I5" s="2"/>
      <c r="J5" s="7"/>
      <c r="K5" s="2"/>
      <c r="L5" s="2"/>
      <c r="M5" s="2"/>
      <c r="N5" s="2"/>
      <c r="O5" s="2"/>
    </row>
    <row r="6" spans="1:15" x14ac:dyDescent="0.25">
      <c r="A6" s="1000" t="s">
        <v>3</v>
      </c>
      <c r="B6" s="1000"/>
      <c r="C6" s="1000"/>
      <c r="D6" s="1000"/>
      <c r="F6" s="8"/>
      <c r="G6" s="8"/>
      <c r="H6" s="2"/>
      <c r="I6" s="2"/>
      <c r="J6" s="7"/>
      <c r="K6" s="2"/>
      <c r="L6" s="2"/>
      <c r="M6" s="2"/>
      <c r="N6" s="2"/>
      <c r="O6" s="2"/>
    </row>
    <row r="7" spans="1:15" ht="15.75" thickBot="1" x14ac:dyDescent="0.3">
      <c r="B7" s="2"/>
      <c r="C7" s="2"/>
      <c r="E7" s="2"/>
      <c r="F7" s="2"/>
      <c r="G7" s="2"/>
      <c r="H7" s="2"/>
      <c r="K7" s="9"/>
    </row>
    <row r="8" spans="1:15" ht="25.5" x14ac:dyDescent="0.25">
      <c r="A8" s="10" t="s">
        <v>4</v>
      </c>
      <c r="B8" s="11" t="s">
        <v>5</v>
      </c>
      <c r="C8" s="12" t="s">
        <v>6</v>
      </c>
      <c r="D8" s="13" t="s">
        <v>7</v>
      </c>
      <c r="E8" s="14" t="s">
        <v>8</v>
      </c>
      <c r="F8" s="14" t="s">
        <v>9</v>
      </c>
      <c r="G8" s="15" t="s">
        <v>10</v>
      </c>
      <c r="H8" s="15" t="s">
        <v>11</v>
      </c>
      <c r="I8" s="15" t="s">
        <v>12</v>
      </c>
      <c r="J8" s="16" t="s">
        <v>13</v>
      </c>
      <c r="K8" s="17" t="s">
        <v>14</v>
      </c>
      <c r="L8" s="17" t="s">
        <v>15</v>
      </c>
      <c r="M8" s="599" t="s">
        <v>16</v>
      </c>
      <c r="N8" s="229" t="s">
        <v>17</v>
      </c>
      <c r="O8" s="596" t="s">
        <v>18</v>
      </c>
    </row>
    <row r="9" spans="1:15" x14ac:dyDescent="0.25">
      <c r="A9" s="18" t="str">
        <f>+'B) Reajuste Tarifas y Ocupación'!A12</f>
        <v>Casa de Huespedes</v>
      </c>
      <c r="B9" s="19">
        <f>+I51</f>
        <v>18973100</v>
      </c>
      <c r="C9" s="20">
        <f>+H51</f>
        <v>2441500</v>
      </c>
      <c r="D9" s="21">
        <f>SUM(B9:C9)</f>
        <v>21414600</v>
      </c>
      <c r="E9" s="22">
        <f>'C) Estimación Costos Directos'!H12</f>
        <v>3403761.88</v>
      </c>
      <c r="F9" s="22">
        <f>+'C) Estimación Costos Directos'!H27+'C) Estimación Costos Directos'!H28+'C) Estimación Costos Directos'!H29+'C) Estimación Costos Directos'!D30+'C) Estimación Costos Directos'!D31+'C) Estimación Costos Directos'!D32+'C) Estimación Costos Directos'!H33+'C) Estimación Costos Directos'!H46+'C) Estimación Costos Directos'!H47+'C) Estimación Costos Directos'!H53+'C) Estimación Costos Directos'!H23</f>
        <v>2459688</v>
      </c>
      <c r="G9" s="22">
        <f>+'C) Estimación Costos Directos'!H68</f>
        <v>0</v>
      </c>
      <c r="H9" s="22">
        <f>+'C) Estimación Costos Directos'!H74+'C) Estimación Costos Directos'!H25+'C) Estimación Costos Directos'!H70+'C) Estimación Costos Directos'!H72</f>
        <v>3675000</v>
      </c>
      <c r="I9" s="22">
        <f>+'C) Estimación Costos Directos'!H80-E9-F9-G9-H9</f>
        <v>2515322</v>
      </c>
      <c r="J9" s="23">
        <f>SUM(E9:I9)</f>
        <v>12053771.879999999</v>
      </c>
      <c r="K9" s="24">
        <f>+IFERROR('D) Costos Indirectos '!$AN$15*(J9/$J$14),0)</f>
        <v>8082563.1834956789</v>
      </c>
      <c r="L9" s="25">
        <f>SUM(J9:K9)</f>
        <v>20136335.063495677</v>
      </c>
      <c r="M9" s="600">
        <f>D9-L9</f>
        <v>1278264.936504323</v>
      </c>
      <c r="N9" s="571">
        <f>D9-J9</f>
        <v>9360828.120000001</v>
      </c>
      <c r="O9" s="604">
        <f>+IFERROR(K9/$K$14,0)</f>
        <v>0.38895568278472681</v>
      </c>
    </row>
    <row r="10" spans="1:15" x14ac:dyDescent="0.25">
      <c r="A10" s="18" t="str">
        <f>+'B) Reajuste Tarifas y Ocupación'!A21</f>
        <v>Sala de Juegos</v>
      </c>
      <c r="B10" s="19">
        <f>+I58</f>
        <v>940100</v>
      </c>
      <c r="C10" s="26"/>
      <c r="D10" s="21">
        <f>SUM(B10:C10)</f>
        <v>940100</v>
      </c>
      <c r="E10" s="27">
        <f>+'C) Estimación Costos Directos'!H84</f>
        <v>1083290.96</v>
      </c>
      <c r="F10" s="27">
        <f>+'C) Estimación Costos Directos'!H99+'C) Estimación Costos Directos'!H100+'C) Estimación Costos Directos'!H101+'C) Estimación Costos Directos'!H102+'C) Estimación Costos Directos'!H103+'C) Estimación Costos Directos'!H104+'C) Estimación Costos Directos'!H105+'C) Estimación Costos Directos'!H118+'C) Estimación Costos Directos'!H119+'C) Estimación Costos Directos'!H125+'C) Estimación Costos Directos'!H95</f>
        <v>60000</v>
      </c>
      <c r="G10" s="27">
        <f>+'C) Estimación Costos Directos'!H140</f>
        <v>0</v>
      </c>
      <c r="H10" s="27">
        <f>+'C) Estimación Costos Directos'!H97+'C) Estimación Costos Directos'!H146+'C) Estimación Costos Directos'!H142+'C) Estimación Costos Directos'!H144</f>
        <v>600000</v>
      </c>
      <c r="I10" s="27">
        <f>+'C) Estimación Costos Directos'!H152-E10-F10-G10-H10</f>
        <v>2632680</v>
      </c>
      <c r="J10" s="23">
        <f>SUM(E10:I10)</f>
        <v>4375970.96</v>
      </c>
      <c r="K10" s="28">
        <f>+IFERROR('D) Costos Indirectos '!$AN$15*(J10/$J$14),0)</f>
        <v>2934273.3648400721</v>
      </c>
      <c r="L10" s="25">
        <f>SUM(J10:K10)</f>
        <v>7310244.3248400725</v>
      </c>
      <c r="M10" s="600">
        <f>D10-L10</f>
        <v>-6370144.3248400725</v>
      </c>
      <c r="N10" s="602">
        <f>D10-J10</f>
        <v>-3435870.96</v>
      </c>
      <c r="O10" s="604">
        <f>+IFERROR(K10/$K$14,0)</f>
        <v>0.14120549065782856</v>
      </c>
    </row>
    <row r="11" spans="1:15" x14ac:dyDescent="0.25">
      <c r="A11" s="18" t="str">
        <f>+'B) Reajuste Tarifas y Ocupación'!A25</f>
        <v>Cabañas</v>
      </c>
      <c r="B11" s="19">
        <f>+I72</f>
        <v>25986700</v>
      </c>
      <c r="C11" s="20">
        <f>+H72</f>
        <v>6940700</v>
      </c>
      <c r="D11" s="21">
        <f>SUM(B11:C11)</f>
        <v>32927400</v>
      </c>
      <c r="E11" s="27">
        <f>+'C) Estimación Costos Directos'!H156</f>
        <v>4487053.84</v>
      </c>
      <c r="F11" s="27">
        <f>+'C) Estimación Costos Directos'!H167+'C) Estimación Costos Directos'!H171+'C) Estimación Costos Directos'!H172+'C) Estimación Costos Directos'!H173+'C) Estimación Costos Directos'!H174+'C) Estimación Costos Directos'!H175+'C) Estimación Costos Directos'!H176+'C) Estimación Costos Directos'!H190+'C) Estimación Costos Directos'!H191+'C) Estimación Costos Directos'!H177+'C) Estimación Costos Directos'!H197</f>
        <v>5912968</v>
      </c>
      <c r="G11" s="27">
        <f>+'C) Estimación Costos Directos'!H212</f>
        <v>0</v>
      </c>
      <c r="H11" s="27">
        <f>+'C) Estimación Costos Directos'!H218+'C) Estimación Costos Directos'!H169+'C) Estimación Costos Directos'!H214+'C) Estimación Costos Directos'!H216</f>
        <v>639351</v>
      </c>
      <c r="I11" s="27">
        <f>'C) Estimación Costos Directos'!H224-'A) Resumen Ingresos y Egresos'!E11-'A) Resumen Ingresos y Egresos'!F11-'A) Resumen Ingresos y Egresos'!G11-'A) Resumen Ingresos y Egresos'!H11</f>
        <v>2247511</v>
      </c>
      <c r="J11" s="23">
        <f>SUM(E11:I11)</f>
        <v>13286883.84</v>
      </c>
      <c r="K11" s="28">
        <f>+IFERROR('D) Costos Indirectos '!$AN$15*(J11/$J$14),0)</f>
        <v>8909416.8379572574</v>
      </c>
      <c r="L11" s="25">
        <f>SUM(J11:K11)</f>
        <v>22196300.677957259</v>
      </c>
      <c r="M11" s="600">
        <f>D11-L11</f>
        <v>10731099.322042741</v>
      </c>
      <c r="N11" s="602">
        <f>D11-J11</f>
        <v>19640516.16</v>
      </c>
      <c r="O11" s="604">
        <f>+IFERROR(K11/$K$14,0)</f>
        <v>0.42874620720535433</v>
      </c>
    </row>
    <row r="12" spans="1:15" x14ac:dyDescent="0.25">
      <c r="A12" s="18" t="str">
        <f>+'B) Reajuste Tarifas y Ocupación'!A27</f>
        <v>Sala de Maquinas</v>
      </c>
      <c r="B12" s="19">
        <f>+I82</f>
        <v>6200400</v>
      </c>
      <c r="C12" s="26"/>
      <c r="D12" s="21">
        <f>SUM(B12:C12)</f>
        <v>6200400</v>
      </c>
      <c r="E12" s="27">
        <f>+'C) Estimación Costos Directos'!H228</f>
        <v>0</v>
      </c>
      <c r="F12" s="27">
        <f>+'C) Estimación Costos Directos'!H269+'C) Estimación Costos Directos'!H239+'C) Estimación Costos Directos'!H243+'C) Estimación Costos Directos'!H244+'C) Estimación Costos Directos'!H245+'C) Estimación Costos Directos'!H246+'C) Estimación Costos Directos'!H247+'C) Estimación Costos Directos'!H248+'C) Estimación Costos Directos'!H249+'C) Estimación Costos Directos'!H262+'C) Estimación Costos Directos'!H263</f>
        <v>0</v>
      </c>
      <c r="G12" s="27">
        <f>+'C) Estimación Costos Directos'!H284</f>
        <v>0</v>
      </c>
      <c r="H12" s="27">
        <f>+'C) Estimación Costos Directos'!H288+'C) Estimación Costos Directos'!H241+'C) Estimación Costos Directos'!H286+'C) Estimación Costos Directos'!H288</f>
        <v>0</v>
      </c>
      <c r="I12" s="694">
        <f>+'C) Estimación Costos Directos'!H296-E12-F12-G12-H12</f>
        <v>0</v>
      </c>
      <c r="J12" s="23">
        <f>SUM(E12:I12)</f>
        <v>0</v>
      </c>
      <c r="K12" s="28">
        <f>+IFERROR('D) Costos Indirectos '!$AN$15*(J12/$J$14),0)</f>
        <v>0</v>
      </c>
      <c r="L12" s="25">
        <f>SUM(J12:K12)</f>
        <v>0</v>
      </c>
      <c r="M12" s="600">
        <f>D12-L12</f>
        <v>6200400</v>
      </c>
      <c r="N12" s="602">
        <f>D12-J12</f>
        <v>6200400</v>
      </c>
      <c r="O12" s="604">
        <f>+IFERROR(K12/$K$14,0)</f>
        <v>0</v>
      </c>
    </row>
    <row r="13" spans="1:15" x14ac:dyDescent="0.25">
      <c r="A13" s="18" t="s">
        <v>241</v>
      </c>
      <c r="B13" s="19">
        <f>+I65</f>
        <v>4761300</v>
      </c>
      <c r="C13" s="26"/>
      <c r="D13" s="693">
        <f>SUM(B13:C13)</f>
        <v>4761300</v>
      </c>
      <c r="E13" s="27">
        <f>+'C) Estimación Costos Directos'!H298</f>
        <v>0</v>
      </c>
      <c r="F13" s="27">
        <f>'C) Estimación Costos Directos'!H313+'C) Estimación Costos Directos'!H314+'C) Estimación Costos Directos'!H315+'C) Estimación Costos Directos'!H339+'C) Estimación Costos Directos'!H309+'C) Estimación Costos Directos'!H316+'C) Estimación Costos Directos'!H317+'C) Estimación Costos Directos'!H318+'C) Estimación Costos Directos'!H319+'C) Estimación Costos Directos'!H332+'C) Estimación Costos Directos'!H333</f>
        <v>953912</v>
      </c>
      <c r="G13" s="27">
        <f>'C) Estimación Costos Directos'!H354</f>
        <v>0</v>
      </c>
      <c r="H13" s="27">
        <f>'C) Estimación Costos Directos'!H311+'C) Estimación Costos Directos'!H360+'C) Estimación Costos Directos'!H356+'C) Estimación Costos Directos'!H358</f>
        <v>0</v>
      </c>
      <c r="I13" s="27">
        <f>'C) Estimación Costos Directos'!H366-E13-F13-G13-H13</f>
        <v>319552</v>
      </c>
      <c r="J13" s="27">
        <f>SUM(E13:I13)</f>
        <v>1273464</v>
      </c>
      <c r="K13" s="27">
        <f>+IFERROR('D) Costos Indirectos '!$AN$15*(J13/$J$14),0)</f>
        <v>853911.40170699358</v>
      </c>
      <c r="L13" s="27">
        <f>SUM(J13:K13)</f>
        <v>2127375.4017069936</v>
      </c>
      <c r="M13" s="600">
        <f>D13-L13</f>
        <v>2633924.5982930064</v>
      </c>
      <c r="N13" s="602">
        <f>D13-J13</f>
        <v>3487836</v>
      </c>
      <c r="O13" s="604">
        <f>+IFERROR(K13/$K$14,0)</f>
        <v>4.1092619352090264E-2</v>
      </c>
    </row>
    <row r="14" spans="1:15" ht="15.75" thickBot="1" x14ac:dyDescent="0.3">
      <c r="A14" s="29" t="s">
        <v>19</v>
      </c>
      <c r="B14" s="30">
        <f t="shared" ref="B14:I14" si="0">SUM(B9:B13)</f>
        <v>56861600</v>
      </c>
      <c r="C14" s="30">
        <f t="shared" si="0"/>
        <v>9382200</v>
      </c>
      <c r="D14" s="30">
        <f t="shared" si="0"/>
        <v>66243800</v>
      </c>
      <c r="E14" s="30">
        <f>SUM(E9:E13)</f>
        <v>8974106.6799999997</v>
      </c>
      <c r="F14" s="30">
        <f>SUM(F9:F13)</f>
        <v>9386568</v>
      </c>
      <c r="G14" s="30">
        <f t="shared" si="0"/>
        <v>0</v>
      </c>
      <c r="H14" s="30">
        <f t="shared" si="0"/>
        <v>4914351</v>
      </c>
      <c r="I14" s="30">
        <f t="shared" si="0"/>
        <v>7715065</v>
      </c>
      <c r="J14" s="30">
        <f t="shared" ref="J14:O14" si="1">SUM(J9:J13)</f>
        <v>30990090.68</v>
      </c>
      <c r="K14" s="30">
        <f t="shared" si="1"/>
        <v>20780164.788000003</v>
      </c>
      <c r="L14" s="30">
        <f t="shared" si="1"/>
        <v>51770255.468000002</v>
      </c>
      <c r="M14" s="601">
        <f t="shared" si="1"/>
        <v>14473544.531999998</v>
      </c>
      <c r="N14" s="603">
        <f t="shared" si="1"/>
        <v>35253709.32</v>
      </c>
      <c r="O14" s="657">
        <f t="shared" si="1"/>
        <v>0.99999999999999989</v>
      </c>
    </row>
    <row r="15" spans="1:15" x14ac:dyDescent="0.25">
      <c r="A15" s="31"/>
      <c r="B15" s="31"/>
      <c r="C15" s="32"/>
      <c r="D15" s="570"/>
      <c r="E15" s="32"/>
      <c r="F15" s="32"/>
      <c r="G15" s="32"/>
      <c r="H15" s="32"/>
      <c r="I15" s="32"/>
      <c r="J15" s="32"/>
      <c r="K15" s="33"/>
      <c r="O15" s="2"/>
    </row>
    <row r="16" spans="1:15" ht="15.75" thickBot="1" x14ac:dyDescent="0.3">
      <c r="D16" s="570"/>
      <c r="E16" s="671"/>
    </row>
    <row r="17" spans="1:15" ht="15.75" thickBot="1" x14ac:dyDescent="0.3">
      <c r="A17" s="2"/>
      <c r="B17" s="2"/>
      <c r="C17" s="2"/>
      <c r="D17" s="570"/>
      <c r="E17" s="2"/>
      <c r="F17" s="2"/>
      <c r="G17" s="2"/>
      <c r="H17" s="35"/>
      <c r="I17" s="35"/>
      <c r="J17" s="7"/>
      <c r="K17" s="7"/>
      <c r="L17" s="665" t="s">
        <v>292</v>
      </c>
      <c r="M17" s="932">
        <f>M14</f>
        <v>14473544.531999998</v>
      </c>
      <c r="N17" s="932">
        <f>N14</f>
        <v>35253709.32</v>
      </c>
      <c r="O17" s="2"/>
    </row>
    <row r="18" spans="1:15" ht="15.75" customHeight="1" x14ac:dyDescent="0.25">
      <c r="D18" s="570"/>
      <c r="K18" s="36"/>
      <c r="M18" s="37"/>
      <c r="N18" s="37"/>
      <c r="O18" s="37"/>
    </row>
    <row r="19" spans="1:15" x14ac:dyDescent="0.25">
      <c r="D19" s="570"/>
      <c r="K19" s="39"/>
      <c r="L19" s="37"/>
      <c r="M19" s="37"/>
      <c r="N19" s="37"/>
      <c r="O19" s="37"/>
    </row>
    <row r="20" spans="1:15" ht="15" customHeight="1" x14ac:dyDescent="0.25">
      <c r="A20" s="186" t="s">
        <v>20</v>
      </c>
      <c r="B20" s="186"/>
      <c r="C20" s="186"/>
      <c r="D20" s="186"/>
      <c r="K20" s="40"/>
    </row>
    <row r="21" spans="1:15" ht="15" customHeight="1" x14ac:dyDescent="0.25">
      <c r="K21" s="41"/>
    </row>
    <row r="22" spans="1:15" ht="15.75" customHeight="1" x14ac:dyDescent="0.25">
      <c r="A22" s="1001" t="s">
        <v>21</v>
      </c>
      <c r="B22" s="1001" t="s">
        <v>22</v>
      </c>
      <c r="C22" s="992" t="s">
        <v>23</v>
      </c>
      <c r="D22" s="994" t="s">
        <v>326</v>
      </c>
      <c r="E22" s="995"/>
      <c r="F22" s="995"/>
      <c r="G22" s="996"/>
      <c r="H22" s="990" t="s">
        <v>24</v>
      </c>
      <c r="I22" s="990" t="s">
        <v>5</v>
      </c>
      <c r="J22" s="990" t="s">
        <v>25</v>
      </c>
      <c r="K22" s="42"/>
    </row>
    <row r="23" spans="1:15" ht="15" customHeight="1" thickBot="1" x14ac:dyDescent="0.3">
      <c r="A23" s="1002"/>
      <c r="B23" s="1002"/>
      <c r="C23" s="993"/>
      <c r="D23" s="38" t="s">
        <v>26</v>
      </c>
      <c r="E23" s="38" t="s">
        <v>27</v>
      </c>
      <c r="F23" s="38" t="s">
        <v>28</v>
      </c>
      <c r="G23" s="38" t="s">
        <v>29</v>
      </c>
      <c r="H23" s="991"/>
      <c r="I23" s="991"/>
      <c r="J23" s="991"/>
      <c r="K23" s="40"/>
    </row>
    <row r="24" spans="1:15" ht="15" customHeight="1" x14ac:dyDescent="0.25">
      <c r="A24" s="984" t="str">
        <f>+'B) Reajuste Tarifas y Ocupación'!A12</f>
        <v>Casa de Huespedes</v>
      </c>
      <c r="B24" s="981" t="str">
        <f>+'B) Reajuste Tarifas y Ocupación'!B12</f>
        <v>Matrimonial</v>
      </c>
      <c r="C24" s="199" t="s">
        <v>327</v>
      </c>
      <c r="D24" s="200">
        <f>+'B) Reajuste Tarifas y Ocupación'!J12</f>
        <v>32700</v>
      </c>
      <c r="E24" s="200">
        <f>+'B) Reajuste Tarifas y Ocupación'!K12</f>
        <v>50200</v>
      </c>
      <c r="F24" s="200">
        <f>+'B) Reajuste Tarifas y Ocupación'!L12</f>
        <v>68300</v>
      </c>
      <c r="G24" s="200">
        <f>+'B) Reajuste Tarifas y Ocupación'!M12</f>
        <v>73900</v>
      </c>
      <c r="H24" s="480"/>
      <c r="I24" s="480"/>
      <c r="J24" s="456"/>
      <c r="K24" s="41"/>
    </row>
    <row r="25" spans="1:15" ht="15.75" customHeight="1" x14ac:dyDescent="0.25">
      <c r="A25" s="985"/>
      <c r="B25" s="982"/>
      <c r="C25" s="201" t="s">
        <v>30</v>
      </c>
      <c r="D25" s="202">
        <f>+'B) Reajuste Tarifas y Ocupación'!U12</f>
        <v>60</v>
      </c>
      <c r="E25" s="202">
        <f>+'B) Reajuste Tarifas y Ocupación'!V12</f>
        <v>23</v>
      </c>
      <c r="F25" s="202">
        <f>+'B) Reajuste Tarifas y Ocupación'!W12</f>
        <v>12</v>
      </c>
      <c r="G25" s="202">
        <f>+'B) Reajuste Tarifas y Ocupación'!X12</f>
        <v>30</v>
      </c>
      <c r="H25" s="481"/>
      <c r="I25" s="481"/>
      <c r="J25" s="461"/>
      <c r="K25" s="42"/>
    </row>
    <row r="26" spans="1:15" ht="15" customHeight="1" thickBot="1" x14ac:dyDescent="0.3">
      <c r="A26" s="985"/>
      <c r="B26" s="983"/>
      <c r="C26" s="203" t="s">
        <v>31</v>
      </c>
      <c r="D26" s="204">
        <f>D25*D24</f>
        <v>1962000</v>
      </c>
      <c r="E26" s="204">
        <f>E25*E24</f>
        <v>1154600</v>
      </c>
      <c r="F26" s="204">
        <f>F25*F24</f>
        <v>819600</v>
      </c>
      <c r="G26" s="204">
        <f>G25*G24</f>
        <v>2217000</v>
      </c>
      <c r="H26" s="205">
        <f>(E24-D24)*D25</f>
        <v>1050000</v>
      </c>
      <c r="I26" s="205">
        <f>SUM(D26:G26)</f>
        <v>6153200</v>
      </c>
      <c r="J26" s="206">
        <f>H26+I26</f>
        <v>7203200</v>
      </c>
      <c r="K26" s="40"/>
    </row>
    <row r="27" spans="1:15" ht="15" customHeight="1" x14ac:dyDescent="0.25">
      <c r="A27" s="985"/>
      <c r="B27" s="981" t="str">
        <f>+'B) Reajuste Tarifas y Ocupación'!B13</f>
        <v>Doble</v>
      </c>
      <c r="C27" s="199" t="s">
        <v>327</v>
      </c>
      <c r="D27" s="207">
        <f>+'B) Reajuste Tarifas y Ocupación'!J13</f>
        <v>32700</v>
      </c>
      <c r="E27" s="207">
        <f>+'B) Reajuste Tarifas y Ocupación'!K13</f>
        <v>50200</v>
      </c>
      <c r="F27" s="207">
        <f>+'B) Reajuste Tarifas y Ocupación'!L13</f>
        <v>68300</v>
      </c>
      <c r="G27" s="207">
        <f>+'B) Reajuste Tarifas y Ocupación'!M13</f>
        <v>73900</v>
      </c>
      <c r="H27" s="480"/>
      <c r="I27" s="480"/>
      <c r="J27" s="456"/>
      <c r="K27" s="41"/>
    </row>
    <row r="28" spans="1:15" ht="15.75" customHeight="1" x14ac:dyDescent="0.25">
      <c r="A28" s="985"/>
      <c r="B28" s="982"/>
      <c r="C28" s="201" t="s">
        <v>30</v>
      </c>
      <c r="D28" s="208">
        <f>+'B) Reajuste Tarifas y Ocupación'!U13</f>
        <v>35</v>
      </c>
      <c r="E28" s="208">
        <f>+'B) Reajuste Tarifas y Ocupación'!V13</f>
        <v>16</v>
      </c>
      <c r="F28" s="208">
        <f>+'B) Reajuste Tarifas y Ocupación'!W13</f>
        <v>17</v>
      </c>
      <c r="G28" s="208">
        <f>+'B) Reajuste Tarifas y Ocupación'!X13</f>
        <v>28</v>
      </c>
      <c r="H28" s="481"/>
      <c r="I28" s="481"/>
      <c r="J28" s="461"/>
      <c r="K28" s="42"/>
    </row>
    <row r="29" spans="1:15" ht="15" customHeight="1" thickBot="1" x14ac:dyDescent="0.3">
      <c r="A29" s="985"/>
      <c r="B29" s="983"/>
      <c r="C29" s="203" t="s">
        <v>31</v>
      </c>
      <c r="D29" s="204">
        <f>D28*D27</f>
        <v>1144500</v>
      </c>
      <c r="E29" s="204">
        <f>E28*E27</f>
        <v>803200</v>
      </c>
      <c r="F29" s="204">
        <f>F28*F27</f>
        <v>1161100</v>
      </c>
      <c r="G29" s="204">
        <f>G28*G27</f>
        <v>2069200</v>
      </c>
      <c r="H29" s="205">
        <f>(E27-D27)*D28</f>
        <v>612500</v>
      </c>
      <c r="I29" s="205">
        <f>SUM(D29:G29)</f>
        <v>5178000</v>
      </c>
      <c r="J29" s="206">
        <f>H29+I29</f>
        <v>5790500</v>
      </c>
      <c r="K29" s="40"/>
    </row>
    <row r="30" spans="1:15" ht="15" customHeight="1" x14ac:dyDescent="0.25">
      <c r="A30" s="985"/>
      <c r="B30" s="981" t="str">
        <f>+'B) Reajuste Tarifas y Ocupación'!B14</f>
        <v>Triple</v>
      </c>
      <c r="C30" s="199" t="s">
        <v>327</v>
      </c>
      <c r="D30" s="207">
        <f>+'B) Reajuste Tarifas y Ocupación'!J14</f>
        <v>35400</v>
      </c>
      <c r="E30" s="207">
        <f>+'B) Reajuste Tarifas y Ocupación'!K14</f>
        <v>54400</v>
      </c>
      <c r="F30" s="207">
        <f>+'B) Reajuste Tarifas y Ocupación'!L14</f>
        <v>73900</v>
      </c>
      <c r="G30" s="207">
        <f>+'B) Reajuste Tarifas y Ocupación'!M14</f>
        <v>80100</v>
      </c>
      <c r="H30" s="480"/>
      <c r="I30" s="480"/>
      <c r="J30" s="456"/>
      <c r="K30" s="41"/>
    </row>
    <row r="31" spans="1:15" ht="15.75" customHeight="1" x14ac:dyDescent="0.25">
      <c r="A31" s="985"/>
      <c r="B31" s="982"/>
      <c r="C31" s="201" t="s">
        <v>30</v>
      </c>
      <c r="D31" s="208">
        <f>+'B) Reajuste Tarifas y Ocupación'!U14</f>
        <v>41</v>
      </c>
      <c r="E31" s="208">
        <f>+'B) Reajuste Tarifas y Ocupación'!V14</f>
        <v>36</v>
      </c>
      <c r="F31" s="208">
        <f>+'B) Reajuste Tarifas y Ocupación'!W14</f>
        <v>6</v>
      </c>
      <c r="G31" s="208">
        <f>+'B) Reajuste Tarifas y Ocupación'!X14</f>
        <v>32</v>
      </c>
      <c r="H31" s="481"/>
      <c r="I31" s="481"/>
      <c r="J31" s="461"/>
      <c r="K31" s="42"/>
    </row>
    <row r="32" spans="1:15" ht="15" customHeight="1" thickBot="1" x14ac:dyDescent="0.3">
      <c r="A32" s="985"/>
      <c r="B32" s="983"/>
      <c r="C32" s="203" t="s">
        <v>31</v>
      </c>
      <c r="D32" s="204">
        <f>D31*D30</f>
        <v>1451400</v>
      </c>
      <c r="E32" s="204">
        <f>E31*E30</f>
        <v>1958400</v>
      </c>
      <c r="F32" s="204">
        <f>F31*F30</f>
        <v>443400</v>
      </c>
      <c r="G32" s="204">
        <f>G31*G30</f>
        <v>2563200</v>
      </c>
      <c r="H32" s="205">
        <f>(E30-D30)*D31</f>
        <v>779000</v>
      </c>
      <c r="I32" s="205">
        <f>SUM(D32:G32)</f>
        <v>6416400</v>
      </c>
      <c r="J32" s="206">
        <f>H32+I32</f>
        <v>7195400</v>
      </c>
      <c r="K32" s="40"/>
    </row>
    <row r="33" spans="1:11" ht="15" customHeight="1" x14ac:dyDescent="0.25">
      <c r="A33" s="985"/>
      <c r="B33" s="981" t="str">
        <f>+'B) Reajuste Tarifas y Ocupación'!B15</f>
        <v>Single</v>
      </c>
      <c r="C33" s="199" t="s">
        <v>327</v>
      </c>
      <c r="D33" s="207">
        <f>+'B) Reajuste Tarifas y Ocupación'!J15</f>
        <v>19400</v>
      </c>
      <c r="E33" s="207">
        <f>+'B) Reajuste Tarifas y Ocupación'!K15</f>
        <v>29700</v>
      </c>
      <c r="F33" s="207">
        <f>+'B) Reajuste Tarifas y Ocupación'!L15</f>
        <v>40400</v>
      </c>
      <c r="G33" s="207">
        <f>+'B) Reajuste Tarifas y Ocupación'!M15</f>
        <v>43700</v>
      </c>
      <c r="H33" s="480"/>
      <c r="I33" s="480"/>
      <c r="J33" s="456"/>
      <c r="K33" s="41"/>
    </row>
    <row r="34" spans="1:11" ht="15.75" customHeight="1" x14ac:dyDescent="0.25">
      <c r="A34" s="985"/>
      <c r="B34" s="982"/>
      <c r="C34" s="201" t="s">
        <v>30</v>
      </c>
      <c r="D34" s="208"/>
      <c r="E34" s="208">
        <f>+'B) Reajuste Tarifas y Ocupación'!V15</f>
        <v>15</v>
      </c>
      <c r="F34" s="208">
        <f>+'B) Reajuste Tarifas y Ocupación'!W15</f>
        <v>2</v>
      </c>
      <c r="G34" s="208">
        <f>+'B) Reajuste Tarifas y Ocupación'!X15</f>
        <v>16</v>
      </c>
      <c r="H34" s="481"/>
      <c r="I34" s="481"/>
      <c r="J34" s="461"/>
      <c r="K34" s="42"/>
    </row>
    <row r="35" spans="1:11" ht="15" customHeight="1" thickBot="1" x14ac:dyDescent="0.3">
      <c r="A35" s="985"/>
      <c r="B35" s="983"/>
      <c r="C35" s="203" t="s">
        <v>31</v>
      </c>
      <c r="D35" s="204">
        <f>D34*D33</f>
        <v>0</v>
      </c>
      <c r="E35" s="204">
        <f>E34*E33</f>
        <v>445500</v>
      </c>
      <c r="F35" s="204">
        <f>F34*F33</f>
        <v>80800</v>
      </c>
      <c r="G35" s="204">
        <f>G34*G33</f>
        <v>699200</v>
      </c>
      <c r="H35" s="205">
        <f>(E33-D33)*D34</f>
        <v>0</v>
      </c>
      <c r="I35" s="205">
        <f>SUM(D35:G35)</f>
        <v>1225500</v>
      </c>
      <c r="J35" s="206">
        <f>H35+I35</f>
        <v>1225500</v>
      </c>
      <c r="K35" s="40"/>
    </row>
    <row r="36" spans="1:11" ht="15" customHeight="1" x14ac:dyDescent="0.25">
      <c r="A36" s="985"/>
      <c r="B36" s="981" t="str">
        <f>+'B) Reajuste Tarifas y Ocupación'!B16</f>
        <v>Early check-in/Late check-out</v>
      </c>
      <c r="C36" s="478"/>
      <c r="D36" s="478"/>
      <c r="E36" s="478"/>
      <c r="F36" s="478"/>
      <c r="G36" s="478"/>
      <c r="H36" s="478"/>
      <c r="I36" s="478"/>
      <c r="J36" s="482"/>
      <c r="K36" s="41"/>
    </row>
    <row r="37" spans="1:11" ht="15.75" customHeight="1" x14ac:dyDescent="0.25">
      <c r="A37" s="985"/>
      <c r="B37" s="982"/>
      <c r="C37" s="479"/>
      <c r="D37" s="479"/>
      <c r="E37" s="479"/>
      <c r="F37" s="479"/>
      <c r="G37" s="479"/>
      <c r="H37" s="479"/>
      <c r="I37" s="479"/>
      <c r="J37" s="483"/>
      <c r="K37" s="42"/>
    </row>
    <row r="38" spans="1:11" ht="15" customHeight="1" thickBot="1" x14ac:dyDescent="0.3">
      <c r="A38" s="985"/>
      <c r="B38" s="983"/>
      <c r="C38" s="209"/>
      <c r="D38" s="210">
        <f>D37*D36</f>
        <v>0</v>
      </c>
      <c r="E38" s="210">
        <f>E37*E36</f>
        <v>0</v>
      </c>
      <c r="F38" s="210">
        <f>F37*F36</f>
        <v>0</v>
      </c>
      <c r="G38" s="210">
        <f>G37*G36</f>
        <v>0</v>
      </c>
      <c r="H38" s="211">
        <f>(E36-D36)*D37</f>
        <v>0</v>
      </c>
      <c r="I38" s="211">
        <f>SUM(D38:G38)</f>
        <v>0</v>
      </c>
      <c r="J38" s="212">
        <f>H38+I38</f>
        <v>0</v>
      </c>
      <c r="K38" s="40"/>
    </row>
    <row r="39" spans="1:11" ht="15" customHeight="1" x14ac:dyDescent="0.25">
      <c r="A39" s="985"/>
      <c r="B39" s="981" t="str">
        <f>+'B) Reajuste Tarifas y Ocupación'!B17</f>
        <v>Matrimonial</v>
      </c>
      <c r="C39" s="199" t="s">
        <v>327</v>
      </c>
      <c r="D39" s="478"/>
      <c r="E39" s="200">
        <f>+'B) Reajuste Tarifas y Ocupación'!K17</f>
        <v>15100</v>
      </c>
      <c r="F39" s="200">
        <f>+'B) Reajuste Tarifas y Ocupación'!L17</f>
        <v>20500</v>
      </c>
      <c r="G39" s="200">
        <f>+'B) Reajuste Tarifas y Ocupación'!M17</f>
        <v>22200</v>
      </c>
      <c r="H39" s="478"/>
      <c r="I39" s="480"/>
      <c r="J39" s="456"/>
      <c r="K39" s="41"/>
    </row>
    <row r="40" spans="1:11" ht="15.75" customHeight="1" x14ac:dyDescent="0.25">
      <c r="A40" s="985"/>
      <c r="B40" s="982"/>
      <c r="C40" s="201" t="s">
        <v>30</v>
      </c>
      <c r="D40" s="479"/>
      <c r="E40" s="202">
        <v>0</v>
      </c>
      <c r="F40" s="202">
        <f>+'B) Reajuste Tarifas y Ocupación'!W17</f>
        <v>0</v>
      </c>
      <c r="G40" s="202">
        <f>+'B) Reajuste Tarifas y Ocupación'!X17</f>
        <v>0</v>
      </c>
      <c r="H40" s="479"/>
      <c r="I40" s="481"/>
      <c r="J40" s="461"/>
      <c r="K40" s="42"/>
    </row>
    <row r="41" spans="1:11" ht="15" customHeight="1" thickBot="1" x14ac:dyDescent="0.3">
      <c r="A41" s="985"/>
      <c r="B41" s="983"/>
      <c r="C41" s="203" t="s">
        <v>31</v>
      </c>
      <c r="D41" s="210">
        <f>D40*D39</f>
        <v>0</v>
      </c>
      <c r="E41" s="204">
        <f>E40*E39</f>
        <v>0</v>
      </c>
      <c r="F41" s="204">
        <f>F40*F39</f>
        <v>0</v>
      </c>
      <c r="G41" s="204">
        <f>G40*G39</f>
        <v>0</v>
      </c>
      <c r="H41" s="211">
        <f>(E39-D39)*D40</f>
        <v>0</v>
      </c>
      <c r="I41" s="205">
        <f>SUM(D41:G41)</f>
        <v>0</v>
      </c>
      <c r="J41" s="206">
        <f>H41+I41</f>
        <v>0</v>
      </c>
      <c r="K41" s="40"/>
    </row>
    <row r="42" spans="1:11" ht="15" customHeight="1" x14ac:dyDescent="0.25">
      <c r="A42" s="985"/>
      <c r="B42" s="981" t="str">
        <f>+'B) Reajuste Tarifas y Ocupación'!B18</f>
        <v>Doble</v>
      </c>
      <c r="C42" s="199" t="s">
        <v>327</v>
      </c>
      <c r="D42" s="478"/>
      <c r="E42" s="200">
        <f>+'B) Reajuste Tarifas y Ocupación'!K18</f>
        <v>15100</v>
      </c>
      <c r="F42" s="200">
        <f>+'B) Reajuste Tarifas y Ocupación'!L18</f>
        <v>20500</v>
      </c>
      <c r="G42" s="200">
        <f>+'B) Reajuste Tarifas y Ocupación'!M18</f>
        <v>22200</v>
      </c>
      <c r="H42" s="478"/>
      <c r="I42" s="480"/>
      <c r="J42" s="456"/>
      <c r="K42" s="41"/>
    </row>
    <row r="43" spans="1:11" ht="15.75" customHeight="1" x14ac:dyDescent="0.25">
      <c r="A43" s="985"/>
      <c r="B43" s="982"/>
      <c r="C43" s="201" t="s">
        <v>30</v>
      </c>
      <c r="D43" s="479"/>
      <c r="E43" s="202">
        <f>+'B) Reajuste Tarifas y Ocupación'!V18</f>
        <v>0</v>
      </c>
      <c r="F43" s="202">
        <f>+'B) Reajuste Tarifas y Ocupación'!W18</f>
        <v>0</v>
      </c>
      <c r="G43" s="202">
        <f>+'B) Reajuste Tarifas y Ocupación'!X18</f>
        <v>0</v>
      </c>
      <c r="H43" s="479"/>
      <c r="I43" s="481"/>
      <c r="J43" s="461"/>
      <c r="K43" s="42"/>
    </row>
    <row r="44" spans="1:11" ht="15" customHeight="1" thickBot="1" x14ac:dyDescent="0.3">
      <c r="A44" s="985"/>
      <c r="B44" s="983"/>
      <c r="C44" s="203" t="s">
        <v>31</v>
      </c>
      <c r="D44" s="210">
        <f>D43*D42</f>
        <v>0</v>
      </c>
      <c r="E44" s="204">
        <f>E43*E42</f>
        <v>0</v>
      </c>
      <c r="F44" s="204">
        <f>F43*F42</f>
        <v>0</v>
      </c>
      <c r="G44" s="204">
        <f>G43*G42</f>
        <v>0</v>
      </c>
      <c r="H44" s="211">
        <f>(E42-D42)*D43</f>
        <v>0</v>
      </c>
      <c r="I44" s="205">
        <f>SUM(D44:G44)</f>
        <v>0</v>
      </c>
      <c r="J44" s="206">
        <f>H44+I44</f>
        <v>0</v>
      </c>
      <c r="K44" s="40"/>
    </row>
    <row r="45" spans="1:11" ht="15" customHeight="1" x14ac:dyDescent="0.25">
      <c r="A45" s="985"/>
      <c r="B45" s="981" t="str">
        <f>+'B) Reajuste Tarifas y Ocupación'!B19</f>
        <v>Triple</v>
      </c>
      <c r="C45" s="199" t="s">
        <v>327</v>
      </c>
      <c r="D45" s="478"/>
      <c r="E45" s="200">
        <f>+'B) Reajuste Tarifas y Ocupación'!K19</f>
        <v>16400</v>
      </c>
      <c r="F45" s="200">
        <f>+'B) Reajuste Tarifas y Ocupación'!L19</f>
        <v>22200</v>
      </c>
      <c r="G45" s="200">
        <f>+'B) Reajuste Tarifas y Ocupación'!M19</f>
        <v>24100</v>
      </c>
      <c r="H45" s="478"/>
      <c r="I45" s="480"/>
      <c r="J45" s="456"/>
      <c r="K45" s="41"/>
    </row>
    <row r="46" spans="1:11" ht="15.75" customHeight="1" x14ac:dyDescent="0.25">
      <c r="A46" s="985"/>
      <c r="B46" s="982"/>
      <c r="C46" s="201" t="s">
        <v>30</v>
      </c>
      <c r="D46" s="479"/>
      <c r="E46" s="202">
        <f>+'B) Reajuste Tarifas y Ocupación'!V19</f>
        <v>0</v>
      </c>
      <c r="F46" s="202">
        <f>+'B) Reajuste Tarifas y Ocupación'!W19</f>
        <v>0</v>
      </c>
      <c r="G46" s="202">
        <f>+'B) Reajuste Tarifas y Ocupación'!X19</f>
        <v>0</v>
      </c>
      <c r="H46" s="479"/>
      <c r="I46" s="481"/>
      <c r="J46" s="461"/>
      <c r="K46" s="42"/>
    </row>
    <row r="47" spans="1:11" ht="15.75" customHeight="1" thickBot="1" x14ac:dyDescent="0.3">
      <c r="A47" s="985"/>
      <c r="B47" s="983"/>
      <c r="C47" s="203" t="s">
        <v>31</v>
      </c>
      <c r="D47" s="210">
        <f>D46*D45</f>
        <v>0</v>
      </c>
      <c r="E47" s="204">
        <f>E46*E45</f>
        <v>0</v>
      </c>
      <c r="F47" s="204">
        <f>F46*F45</f>
        <v>0</v>
      </c>
      <c r="G47" s="204">
        <f>G46*G45</f>
        <v>0</v>
      </c>
      <c r="H47" s="211">
        <f>(E45-D45)*D46</f>
        <v>0</v>
      </c>
      <c r="I47" s="205">
        <f>SUM(D47:G47)</f>
        <v>0</v>
      </c>
      <c r="J47" s="206">
        <f>H47+I47</f>
        <v>0</v>
      </c>
      <c r="K47" s="43"/>
    </row>
    <row r="48" spans="1:11" ht="15" customHeight="1" x14ac:dyDescent="0.25">
      <c r="A48" s="985"/>
      <c r="B48" s="981" t="str">
        <f>+'B) Reajuste Tarifas y Ocupación'!B20</f>
        <v>Single</v>
      </c>
      <c r="C48" s="199" t="s">
        <v>327</v>
      </c>
      <c r="D48" s="478"/>
      <c r="E48" s="200">
        <f>+'B) Reajuste Tarifas y Ocupación'!K20</f>
        <v>9000</v>
      </c>
      <c r="F48" s="200">
        <f>+'B) Reajuste Tarifas y Ocupación'!L20</f>
        <v>12200</v>
      </c>
      <c r="G48" s="200">
        <f>+'B) Reajuste Tarifas y Ocupación'!M20</f>
        <v>13200</v>
      </c>
      <c r="H48" s="478"/>
      <c r="I48" s="480"/>
      <c r="J48" s="456"/>
    </row>
    <row r="49" spans="1:10" ht="15" customHeight="1" x14ac:dyDescent="0.25">
      <c r="A49" s="985"/>
      <c r="B49" s="982"/>
      <c r="C49" s="201" t="s">
        <v>30</v>
      </c>
      <c r="D49" s="479"/>
      <c r="E49" s="202">
        <f>+'B) Reajuste Tarifas y Ocupación'!V20</f>
        <v>0</v>
      </c>
      <c r="F49" s="202">
        <f>+'B) Reajuste Tarifas y Ocupación'!W20</f>
        <v>0</v>
      </c>
      <c r="G49" s="202">
        <f>+'B) Reajuste Tarifas y Ocupación'!X20</f>
        <v>0</v>
      </c>
      <c r="H49" s="479"/>
      <c r="I49" s="481"/>
      <c r="J49" s="461"/>
    </row>
    <row r="50" spans="1:10" ht="15.75" customHeight="1" thickBot="1" x14ac:dyDescent="0.3">
      <c r="A50" s="985"/>
      <c r="B50" s="983"/>
      <c r="C50" s="203" t="s">
        <v>31</v>
      </c>
      <c r="D50" s="210">
        <f>D49*D48</f>
        <v>0</v>
      </c>
      <c r="E50" s="204">
        <v>0</v>
      </c>
      <c r="F50" s="204">
        <v>0</v>
      </c>
      <c r="G50" s="204">
        <v>0</v>
      </c>
      <c r="H50" s="211">
        <f>H49*H48</f>
        <v>0</v>
      </c>
      <c r="I50" s="204">
        <f>I49*I48</f>
        <v>0</v>
      </c>
      <c r="J50" s="214">
        <f>J49*J48</f>
        <v>0</v>
      </c>
    </row>
    <row r="51" spans="1:10" ht="15" customHeight="1" thickBot="1" x14ac:dyDescent="0.3">
      <c r="A51" s="986"/>
      <c r="B51" s="474" t="s">
        <v>32</v>
      </c>
      <c r="C51" s="475"/>
      <c r="D51" s="218">
        <f t="shared" ref="D51:J51" si="2">+D26+D29+D32+D35+D38+D41+D44+D47+D50</f>
        <v>4557900</v>
      </c>
      <c r="E51" s="215">
        <f t="shared" si="2"/>
        <v>4361700</v>
      </c>
      <c r="F51" s="215">
        <f t="shared" si="2"/>
        <v>2504900</v>
      </c>
      <c r="G51" s="215">
        <f t="shared" si="2"/>
        <v>7548600</v>
      </c>
      <c r="H51" s="215">
        <f t="shared" si="2"/>
        <v>2441500</v>
      </c>
      <c r="I51" s="215">
        <f t="shared" si="2"/>
        <v>18973100</v>
      </c>
      <c r="J51" s="215">
        <f t="shared" si="2"/>
        <v>21414600</v>
      </c>
    </row>
    <row r="52" spans="1:10" ht="15" customHeight="1" x14ac:dyDescent="0.25">
      <c r="A52" s="984" t="str">
        <f>+'B) Reajuste Tarifas y Ocupación'!A21</f>
        <v>Sala de Juegos</v>
      </c>
      <c r="B52" s="987" t="str">
        <f>+'B) Reajuste Tarifas y Ocupación'!B21</f>
        <v>Sala de juegos</v>
      </c>
      <c r="C52" s="199" t="s">
        <v>327</v>
      </c>
      <c r="D52" s="466"/>
      <c r="E52" s="225">
        <f>+'B) Reajuste Tarifas y Ocupación'!K21</f>
        <v>68000</v>
      </c>
      <c r="F52" s="225">
        <f>+'B) Reajuste Tarifas y Ocupación'!L21</f>
        <v>92400</v>
      </c>
      <c r="G52" s="225">
        <f>+'B) Reajuste Tarifas y Ocupación'!M21</f>
        <v>100200</v>
      </c>
      <c r="H52" s="468"/>
      <c r="I52" s="468"/>
      <c r="J52" s="470"/>
    </row>
    <row r="53" spans="1:10" ht="15.75" customHeight="1" x14ac:dyDescent="0.25">
      <c r="A53" s="985"/>
      <c r="B53" s="988"/>
      <c r="C53" s="226" t="s">
        <v>30</v>
      </c>
      <c r="D53" s="467"/>
      <c r="E53" s="227">
        <f>+'B) Reajuste Tarifas y Ocupación'!V21</f>
        <v>0</v>
      </c>
      <c r="F53" s="227">
        <f>+'B) Reajuste Tarifas y Ocupación'!W21</f>
        <v>0</v>
      </c>
      <c r="G53" s="227">
        <f>+'B) Reajuste Tarifas y Ocupación'!X21</f>
        <v>0</v>
      </c>
      <c r="H53" s="469"/>
      <c r="I53" s="469"/>
      <c r="J53" s="471"/>
    </row>
    <row r="54" spans="1:10" ht="15" customHeight="1" thickBot="1" x14ac:dyDescent="0.3">
      <c r="A54" s="985"/>
      <c r="B54" s="989"/>
      <c r="C54" s="203" t="s">
        <v>31</v>
      </c>
      <c r="D54" s="210">
        <f>D53*D52</f>
        <v>0</v>
      </c>
      <c r="E54" s="204">
        <f>E53*E52</f>
        <v>0</v>
      </c>
      <c r="F54" s="204">
        <f>F53*F52</f>
        <v>0</v>
      </c>
      <c r="G54" s="204">
        <f>G53*G52</f>
        <v>0</v>
      </c>
      <c r="H54" s="211">
        <f>H53*H52</f>
        <v>0</v>
      </c>
      <c r="I54" s="205">
        <f>SUM(D54:G54)</f>
        <v>0</v>
      </c>
      <c r="J54" s="206">
        <f>H54+I54</f>
        <v>0</v>
      </c>
    </row>
    <row r="55" spans="1:10" ht="15" customHeight="1" x14ac:dyDescent="0.25">
      <c r="A55" s="985"/>
      <c r="B55" s="987" t="str">
        <f>+'B) Reajuste Tarifas y Ocupación'!B22</f>
        <v>Sala de juegos Lunes a Jueves</v>
      </c>
      <c r="C55" s="199" t="s">
        <v>327</v>
      </c>
      <c r="D55" s="466"/>
      <c r="E55" s="225">
        <f>+'B) Reajuste Tarifas y Ocupación'!K22</f>
        <v>27400</v>
      </c>
      <c r="F55" s="225">
        <f>+'B) Reajuste Tarifas y Ocupación'!L22</f>
        <v>37300</v>
      </c>
      <c r="G55" s="225">
        <f>+'B) Reajuste Tarifas y Ocupación'!M22</f>
        <v>40400</v>
      </c>
      <c r="H55" s="472"/>
      <c r="I55" s="472"/>
      <c r="J55" s="476"/>
    </row>
    <row r="56" spans="1:10" ht="15.75" customHeight="1" x14ac:dyDescent="0.25">
      <c r="A56" s="985"/>
      <c r="B56" s="988"/>
      <c r="C56" s="226" t="s">
        <v>30</v>
      </c>
      <c r="D56" s="467"/>
      <c r="E56" s="227">
        <f>+'B) Reajuste Tarifas y Ocupación'!V22</f>
        <v>30</v>
      </c>
      <c r="F56" s="227">
        <f>+'B) Reajuste Tarifas y Ocupación'!W22</f>
        <v>1</v>
      </c>
      <c r="G56" s="227">
        <f>+'B) Reajuste Tarifas y Ocupación'!X22</f>
        <v>2</v>
      </c>
      <c r="H56" s="473"/>
      <c r="I56" s="473"/>
      <c r="J56" s="477"/>
    </row>
    <row r="57" spans="1:10" ht="15" customHeight="1" thickBot="1" x14ac:dyDescent="0.3">
      <c r="A57" s="985"/>
      <c r="B57" s="989"/>
      <c r="C57" s="203" t="s">
        <v>31</v>
      </c>
      <c r="D57" s="210">
        <f>D56*D55</f>
        <v>0</v>
      </c>
      <c r="E57" s="204">
        <f>E56*E55</f>
        <v>822000</v>
      </c>
      <c r="F57" s="204">
        <f>F56*F55</f>
        <v>37300</v>
      </c>
      <c r="G57" s="204">
        <f>G56*G55</f>
        <v>80800</v>
      </c>
      <c r="H57" s="211">
        <f>H56*H55</f>
        <v>0</v>
      </c>
      <c r="I57" s="205">
        <f>SUM(D57:G57)</f>
        <v>940100</v>
      </c>
      <c r="J57" s="206">
        <f>H57+I57</f>
        <v>940100</v>
      </c>
    </row>
    <row r="58" spans="1:10" ht="15" customHeight="1" thickBot="1" x14ac:dyDescent="0.3">
      <c r="B58" s="474" t="s">
        <v>32</v>
      </c>
      <c r="C58" s="475"/>
      <c r="D58" s="217">
        <f>+D54+D57</f>
        <v>0</v>
      </c>
      <c r="E58" s="213">
        <f>+E54+E57</f>
        <v>822000</v>
      </c>
      <c r="F58" s="213">
        <f>+F54+F57</f>
        <v>37300</v>
      </c>
      <c r="G58" s="213">
        <f>G54+G57</f>
        <v>80800</v>
      </c>
      <c r="H58" s="213">
        <f>H54+H57</f>
        <v>0</v>
      </c>
      <c r="I58" s="213">
        <f>I54+I57</f>
        <v>940100</v>
      </c>
      <c r="J58" s="216">
        <f>J54+J57</f>
        <v>940100</v>
      </c>
    </row>
    <row r="59" spans="1:10" ht="15.75" customHeight="1" x14ac:dyDescent="0.25">
      <c r="A59" s="984" t="s">
        <v>241</v>
      </c>
      <c r="B59" s="987" t="str">
        <f>+'B) Reajuste Tarifas y Ocupación'!B23</f>
        <v>Quincho Cabo de Hornos</v>
      </c>
      <c r="C59" s="199" t="s">
        <v>327</v>
      </c>
      <c r="D59" s="466"/>
      <c r="E59" s="225">
        <f>+'B) Reajuste Tarifas y Ocupación'!K23</f>
        <v>55400</v>
      </c>
      <c r="F59" s="225">
        <f>+'B) Reajuste Tarifas y Ocupación'!L23</f>
        <v>75300</v>
      </c>
      <c r="G59" s="225">
        <f>+'B) Reajuste Tarifas y Ocupación'!M23</f>
        <v>81600</v>
      </c>
      <c r="H59" s="472"/>
      <c r="I59" s="472"/>
      <c r="J59" s="476"/>
    </row>
    <row r="60" spans="1:10" ht="15.75" customHeight="1" x14ac:dyDescent="0.25">
      <c r="A60" s="985"/>
      <c r="B60" s="988"/>
      <c r="C60" s="226" t="s">
        <v>30</v>
      </c>
      <c r="D60" s="467"/>
      <c r="E60" s="227">
        <f>+'B) Reajuste Tarifas y Ocupación'!V23</f>
        <v>60</v>
      </c>
      <c r="F60" s="227">
        <f>+'B) Reajuste Tarifas y Ocupación'!W23</f>
        <v>5</v>
      </c>
      <c r="G60" s="227">
        <f>+'B) Reajuste Tarifas y Ocupación'!X23</f>
        <v>13</v>
      </c>
      <c r="H60" s="473"/>
      <c r="I60" s="473"/>
      <c r="J60" s="477"/>
    </row>
    <row r="61" spans="1:10" ht="15" customHeight="1" thickBot="1" x14ac:dyDescent="0.3">
      <c r="A61" s="985"/>
      <c r="B61" s="989"/>
      <c r="C61" s="203" t="s">
        <v>31</v>
      </c>
      <c r="D61" s="210">
        <f>D60*D59</f>
        <v>0</v>
      </c>
      <c r="E61" s="204">
        <f>E60*E59</f>
        <v>3324000</v>
      </c>
      <c r="F61" s="204">
        <f>F60*F59</f>
        <v>376500</v>
      </c>
      <c r="G61" s="204">
        <f>G60*G59</f>
        <v>1060800</v>
      </c>
      <c r="H61" s="211">
        <f>H60*H59</f>
        <v>0</v>
      </c>
      <c r="I61" s="205">
        <f>SUM(D61:G61)</f>
        <v>4761300</v>
      </c>
      <c r="J61" s="206">
        <f>H61+I61</f>
        <v>4761300</v>
      </c>
    </row>
    <row r="62" spans="1:10" ht="15" customHeight="1" x14ac:dyDescent="0.25">
      <c r="A62" s="985"/>
      <c r="B62" s="987" t="str">
        <f>+'B) Reajuste Tarifas y Ocupación'!B24</f>
        <v>Quincho Cabo de Hornos Lunes a Jueves</v>
      </c>
      <c r="C62" s="199" t="s">
        <v>327</v>
      </c>
      <c r="D62" s="466"/>
      <c r="E62" s="225">
        <f>+'B) Reajuste Tarifas y Ocupación'!K24</f>
        <v>38900</v>
      </c>
      <c r="F62" s="225">
        <f>+'B) Reajuste Tarifas y Ocupación'!L24</f>
        <v>52900</v>
      </c>
      <c r="G62" s="225">
        <f>+'B) Reajuste Tarifas y Ocupación'!M24</f>
        <v>57300</v>
      </c>
      <c r="H62" s="472"/>
      <c r="I62" s="472"/>
      <c r="J62" s="476"/>
    </row>
    <row r="63" spans="1:10" ht="15.75" customHeight="1" x14ac:dyDescent="0.25">
      <c r="A63" s="985"/>
      <c r="B63" s="988"/>
      <c r="C63" s="226" t="s">
        <v>30</v>
      </c>
      <c r="D63" s="467"/>
      <c r="E63" s="228">
        <f>+'B) Reajuste Tarifas y Ocupación'!V24</f>
        <v>0</v>
      </c>
      <c r="F63" s="228">
        <f>+'B) Reajuste Tarifas y Ocupación'!W24</f>
        <v>0</v>
      </c>
      <c r="G63" s="228">
        <f>+'B) Reajuste Tarifas y Ocupación'!X24</f>
        <v>0</v>
      </c>
      <c r="H63" s="473"/>
      <c r="I63" s="473"/>
      <c r="J63" s="477"/>
    </row>
    <row r="64" spans="1:10" ht="15" customHeight="1" thickBot="1" x14ac:dyDescent="0.3">
      <c r="A64" s="985"/>
      <c r="B64" s="989"/>
      <c r="C64" s="203" t="s">
        <v>31</v>
      </c>
      <c r="D64" s="210">
        <f>D63*D62</f>
        <v>0</v>
      </c>
      <c r="E64" s="204">
        <f>E63*E62</f>
        <v>0</v>
      </c>
      <c r="F64" s="204">
        <f>F63*F62</f>
        <v>0</v>
      </c>
      <c r="G64" s="204">
        <f>G63*G62</f>
        <v>0</v>
      </c>
      <c r="H64" s="211">
        <f>H63*H62</f>
        <v>0</v>
      </c>
      <c r="I64" s="205">
        <f>SUM(D64:G64)</f>
        <v>0</v>
      </c>
      <c r="J64" s="206">
        <f>H64+I64</f>
        <v>0</v>
      </c>
    </row>
    <row r="65" spans="1:10" ht="15" customHeight="1" thickBot="1" x14ac:dyDescent="0.3">
      <c r="A65" s="986"/>
      <c r="B65" s="474" t="s">
        <v>32</v>
      </c>
      <c r="C65" s="475"/>
      <c r="D65" s="217">
        <f t="shared" ref="D65:J65" si="3">+D61+D64</f>
        <v>0</v>
      </c>
      <c r="E65" s="213">
        <f t="shared" si="3"/>
        <v>3324000</v>
      </c>
      <c r="F65" s="213">
        <f t="shared" si="3"/>
        <v>376500</v>
      </c>
      <c r="G65" s="213">
        <f t="shared" si="3"/>
        <v>1060800</v>
      </c>
      <c r="H65" s="213">
        <f t="shared" si="3"/>
        <v>0</v>
      </c>
      <c r="I65" s="213">
        <f t="shared" si="3"/>
        <v>4761300</v>
      </c>
      <c r="J65" s="216">
        <f t="shared" si="3"/>
        <v>4761300</v>
      </c>
    </row>
    <row r="66" spans="1:10" ht="15.75" customHeight="1" x14ac:dyDescent="0.25">
      <c r="A66" s="984" t="str">
        <f>+'B) Reajuste Tarifas y Ocupación'!A25</f>
        <v>Cabañas</v>
      </c>
      <c r="B66" s="981" t="str">
        <f>+'B) Reajuste Tarifas y Ocupación'!B25</f>
        <v>Cabaña 6 personas</v>
      </c>
      <c r="C66" s="199" t="s">
        <v>327</v>
      </c>
      <c r="D66" s="207">
        <f>+'B) Reajuste Tarifas y Ocupación'!J25</f>
        <v>46100</v>
      </c>
      <c r="E66" s="207">
        <f>+'B) Reajuste Tarifas y Ocupación'!K25</f>
        <v>70800</v>
      </c>
      <c r="F66" s="207">
        <f>+'B) Reajuste Tarifas y Ocupación'!L25</f>
        <v>101100</v>
      </c>
      <c r="G66" s="207">
        <f>+'B) Reajuste Tarifas y Ocupación'!M25</f>
        <v>109600</v>
      </c>
      <c r="H66" s="454"/>
      <c r="I66" s="454"/>
      <c r="J66" s="456"/>
    </row>
    <row r="67" spans="1:10" ht="15.75" customHeight="1" x14ac:dyDescent="0.25">
      <c r="A67" s="985"/>
      <c r="B67" s="982"/>
      <c r="C67" s="201" t="s">
        <v>30</v>
      </c>
      <c r="D67" s="202">
        <f>+'B) Reajuste Tarifas y Ocupación'!U25</f>
        <v>281</v>
      </c>
      <c r="E67" s="202">
        <f>+'B) Reajuste Tarifas y Ocupación'!V25</f>
        <v>53</v>
      </c>
      <c r="F67" s="202">
        <f>+'B) Reajuste Tarifas y Ocupación'!W25</f>
        <v>30</v>
      </c>
      <c r="G67" s="202">
        <f>+'B) Reajuste Tarifas y Ocupación'!X25</f>
        <v>57</v>
      </c>
      <c r="H67" s="460"/>
      <c r="I67" s="460"/>
      <c r="J67" s="461"/>
    </row>
    <row r="68" spans="1:10" ht="15" customHeight="1" thickBot="1" x14ac:dyDescent="0.3">
      <c r="A68" s="985"/>
      <c r="B68" s="983"/>
      <c r="C68" s="203" t="s">
        <v>31</v>
      </c>
      <c r="D68" s="204">
        <f>D67*D66</f>
        <v>12954100</v>
      </c>
      <c r="E68" s="204">
        <f>E67*E66</f>
        <v>3752400</v>
      </c>
      <c r="F68" s="204">
        <f>F67*F66</f>
        <v>3033000</v>
      </c>
      <c r="G68" s="204">
        <f>G67*G66</f>
        <v>6247200</v>
      </c>
      <c r="H68" s="205">
        <f>(E66-D66)*D67</f>
        <v>6940700</v>
      </c>
      <c r="I68" s="205">
        <f>SUM(D68:G68)</f>
        <v>25986700</v>
      </c>
      <c r="J68" s="206">
        <f>H68+I68</f>
        <v>32927400</v>
      </c>
    </row>
    <row r="69" spans="1:10" ht="15" customHeight="1" x14ac:dyDescent="0.25">
      <c r="A69" s="985"/>
      <c r="B69" s="981" t="str">
        <f>+'B) Reajuste Tarifas y Ocupación'!B26</f>
        <v>Early check-in/Late check-out Cabañas</v>
      </c>
      <c r="C69" s="199" t="s">
        <v>327</v>
      </c>
      <c r="D69" s="207">
        <f>+'B) Reajuste Tarifas y Ocupación'!J30</f>
        <v>0</v>
      </c>
      <c r="E69" s="207">
        <f>+'B) Reajuste Tarifas y Ocupación'!K26</f>
        <v>21300</v>
      </c>
      <c r="F69" s="207">
        <f>+'B) Reajuste Tarifas y Ocupación'!L26</f>
        <v>30400</v>
      </c>
      <c r="G69" s="207">
        <f>+'B) Reajuste Tarifas y Ocupación'!M26</f>
        <v>32900</v>
      </c>
      <c r="H69" s="462"/>
      <c r="I69" s="462"/>
      <c r="J69" s="464"/>
    </row>
    <row r="70" spans="1:10" ht="15.75" customHeight="1" x14ac:dyDescent="0.25">
      <c r="A70" s="985"/>
      <c r="B70" s="982"/>
      <c r="C70" s="201" t="s">
        <v>30</v>
      </c>
      <c r="D70" s="202">
        <f>+'B) Reajuste Tarifas y Ocupación'!U30</f>
        <v>0</v>
      </c>
      <c r="E70" s="208">
        <f>+'B) Reajuste Tarifas y Ocupación'!V26</f>
        <v>0</v>
      </c>
      <c r="F70" s="208">
        <f>+'B) Reajuste Tarifas y Ocupación'!W26</f>
        <v>0</v>
      </c>
      <c r="G70" s="208">
        <f>+'B) Reajuste Tarifas y Ocupación'!X26</f>
        <v>0</v>
      </c>
      <c r="H70" s="463"/>
      <c r="I70" s="463"/>
      <c r="J70" s="465"/>
    </row>
    <row r="71" spans="1:10" ht="15" customHeight="1" thickBot="1" x14ac:dyDescent="0.3">
      <c r="A71" s="985"/>
      <c r="B71" s="983"/>
      <c r="C71" s="203" t="s">
        <v>31</v>
      </c>
      <c r="D71" s="210">
        <f>D70*D69</f>
        <v>0</v>
      </c>
      <c r="E71" s="204">
        <f>E70*E69</f>
        <v>0</v>
      </c>
      <c r="F71" s="204">
        <f>F70*F69</f>
        <v>0</v>
      </c>
      <c r="G71" s="204">
        <f>G70*G69</f>
        <v>0</v>
      </c>
      <c r="H71" s="219">
        <f>(E69-D69)*D70</f>
        <v>0</v>
      </c>
      <c r="I71" s="205">
        <f>SUM(D71:G71)</f>
        <v>0</v>
      </c>
      <c r="J71" s="206">
        <f>H71+I71</f>
        <v>0</v>
      </c>
    </row>
    <row r="72" spans="1:10" ht="15" customHeight="1" thickBot="1" x14ac:dyDescent="0.3">
      <c r="A72" s="986"/>
      <c r="B72" s="458" t="s">
        <v>32</v>
      </c>
      <c r="C72" s="459"/>
      <c r="D72" s="213">
        <f>+D68+D71</f>
        <v>12954100</v>
      </c>
      <c r="E72" s="213">
        <f t="shared" ref="E72:J72" si="4">+E68+E71</f>
        <v>3752400</v>
      </c>
      <c r="F72" s="213">
        <f t="shared" si="4"/>
        <v>3033000</v>
      </c>
      <c r="G72" s="213">
        <f t="shared" si="4"/>
        <v>6247200</v>
      </c>
      <c r="H72" s="213">
        <f>+H68+H71</f>
        <v>6940700</v>
      </c>
      <c r="I72" s="213">
        <f t="shared" si="4"/>
        <v>25986700</v>
      </c>
      <c r="J72" s="216">
        <f t="shared" si="4"/>
        <v>32927400</v>
      </c>
    </row>
    <row r="73" spans="1:10" ht="15.75" customHeight="1" x14ac:dyDescent="0.25">
      <c r="A73" s="984" t="str">
        <f>+'B) Reajuste Tarifas y Ocupación'!A27</f>
        <v>Sala de Maquinas</v>
      </c>
      <c r="B73" s="981" t="str">
        <f>+'B) Reajuste Tarifas y Ocupación'!B27</f>
        <v>Armada</v>
      </c>
      <c r="C73" s="199" t="s">
        <v>327</v>
      </c>
      <c r="D73" s="207">
        <f>+'B) Reajuste Tarifas y Ocupación'!J27</f>
        <v>0</v>
      </c>
      <c r="E73" s="207">
        <f>+'B) Reajuste Tarifas y Ocupación'!K27</f>
        <v>0</v>
      </c>
      <c r="F73" s="207">
        <f>+'B) Reajuste Tarifas y Ocupación'!L27</f>
        <v>0</v>
      </c>
      <c r="G73" s="207">
        <f>+'B) Reajuste Tarifas y Ocupación'!M27</f>
        <v>2000</v>
      </c>
      <c r="H73" s="454"/>
      <c r="I73" s="454"/>
      <c r="J73" s="456"/>
    </row>
    <row r="74" spans="1:10" ht="15" customHeight="1" x14ac:dyDescent="0.25">
      <c r="A74" s="985"/>
      <c r="B74" s="982"/>
      <c r="C74" s="201" t="s">
        <v>30</v>
      </c>
      <c r="D74" s="202">
        <f>+'B) Reajuste Tarifas y Ocupación'!U27</f>
        <v>0</v>
      </c>
      <c r="E74" s="202">
        <f>+'B) Reajuste Tarifas y Ocupación'!V27</f>
        <v>0</v>
      </c>
      <c r="F74" s="202">
        <f>+'B) Reajuste Tarifas y Ocupación'!W27</f>
        <v>0</v>
      </c>
      <c r="G74" s="202">
        <f>+'B) Reajuste Tarifas y Ocupación'!X27</f>
        <v>2560</v>
      </c>
      <c r="H74" s="460"/>
      <c r="I74" s="460"/>
      <c r="J74" s="461"/>
    </row>
    <row r="75" spans="1:10" ht="15" customHeight="1" thickBot="1" x14ac:dyDescent="0.3">
      <c r="A75" s="985"/>
      <c r="B75" s="983"/>
      <c r="C75" s="203" t="s">
        <v>31</v>
      </c>
      <c r="D75" s="204">
        <f>D74*D73</f>
        <v>0</v>
      </c>
      <c r="E75" s="204">
        <f>E74*E73</f>
        <v>0</v>
      </c>
      <c r="F75" s="204">
        <f>F74*F73</f>
        <v>0</v>
      </c>
      <c r="G75" s="204">
        <f>G74*G73</f>
        <v>5120000</v>
      </c>
      <c r="H75" s="211">
        <f>(E73-D73)*D74</f>
        <v>0</v>
      </c>
      <c r="I75" s="205">
        <f>SUM(D75:G75)</f>
        <v>5120000</v>
      </c>
      <c r="J75" s="206">
        <f>H75+I75</f>
        <v>5120000</v>
      </c>
    </row>
    <row r="76" spans="1:10" ht="15.75" customHeight="1" x14ac:dyDescent="0.25">
      <c r="A76" s="985"/>
      <c r="B76" s="981" t="str">
        <f>+'B) Reajuste Tarifas y Ocupación'!B28</f>
        <v>Otras Instituciones de las FFAA, Orden y Seguridad</v>
      </c>
      <c r="C76" s="199" t="s">
        <v>327</v>
      </c>
      <c r="D76" s="207">
        <f>+'B) Reajuste Tarifas y Ocupación'!J29</f>
        <v>0</v>
      </c>
      <c r="E76" s="207">
        <f>+'B) Reajuste Tarifas y Ocupación'!K29</f>
        <v>0</v>
      </c>
      <c r="F76" s="207">
        <f>+'B) Reajuste Tarifas y Ocupación'!L29</f>
        <v>0</v>
      </c>
      <c r="G76" s="207">
        <f>+'B) Reajuste Tarifas y Ocupación'!M28</f>
        <v>14600</v>
      </c>
      <c r="H76" s="454"/>
      <c r="I76" s="454"/>
      <c r="J76" s="456"/>
    </row>
    <row r="77" spans="1:10" ht="15.75" customHeight="1" x14ac:dyDescent="0.25">
      <c r="A77" s="985"/>
      <c r="B77" s="982"/>
      <c r="C77" s="201" t="s">
        <v>30</v>
      </c>
      <c r="D77" s="208">
        <f>+'B) Reajuste Tarifas y Ocupación'!U29</f>
        <v>0</v>
      </c>
      <c r="E77" s="208">
        <f>+'B) Reajuste Tarifas y Ocupación'!V29</f>
        <v>0</v>
      </c>
      <c r="F77" s="208">
        <f>+'B) Reajuste Tarifas y Ocupación'!W29</f>
        <v>0</v>
      </c>
      <c r="G77" s="208">
        <f>+'B) Reajuste Tarifas y Ocupación'!Y28</f>
        <v>74</v>
      </c>
      <c r="H77" s="455"/>
      <c r="I77" s="455"/>
      <c r="J77" s="457"/>
    </row>
    <row r="78" spans="1:10" ht="15.75" thickBot="1" x14ac:dyDescent="0.3">
      <c r="A78" s="985"/>
      <c r="B78" s="983"/>
      <c r="C78" s="203" t="s">
        <v>31</v>
      </c>
      <c r="D78" s="204">
        <f>D77*D76</f>
        <v>0</v>
      </c>
      <c r="E78" s="204">
        <f>E77*E76</f>
        <v>0</v>
      </c>
      <c r="F78" s="204">
        <f>F77*F76</f>
        <v>0</v>
      </c>
      <c r="G78" s="204">
        <f>G77*G76</f>
        <v>1080400</v>
      </c>
      <c r="H78" s="211">
        <f>(E76-D76)*D77</f>
        <v>0</v>
      </c>
      <c r="I78" s="205">
        <f>SUM(D78:G78)</f>
        <v>1080400</v>
      </c>
      <c r="J78" s="206">
        <f>H78+I78</f>
        <v>1080400</v>
      </c>
    </row>
    <row r="79" spans="1:10" x14ac:dyDescent="0.25">
      <c r="A79" s="985"/>
      <c r="B79" s="981" t="str">
        <f>+'B) Reajuste Tarifas y Ocupación'!B29</f>
        <v>Otras instituciones</v>
      </c>
      <c r="C79" s="199" t="s">
        <v>327</v>
      </c>
      <c r="D79" s="207">
        <f>+'B) Reajuste Tarifas y Ocupación'!J32</f>
        <v>0</v>
      </c>
      <c r="E79" s="207">
        <f>+'B) Reajuste Tarifas y Ocupación'!K32</f>
        <v>0</v>
      </c>
      <c r="F79" s="207">
        <f>+'B) Reajuste Tarifas y Ocupación'!L32</f>
        <v>0</v>
      </c>
      <c r="G79" s="207">
        <f>+'B) Reajuste Tarifas y Ocupación'!M29</f>
        <v>43800</v>
      </c>
      <c r="H79" s="454"/>
      <c r="I79" s="454"/>
      <c r="J79" s="456"/>
    </row>
    <row r="80" spans="1:10" x14ac:dyDescent="0.25">
      <c r="A80" s="985"/>
      <c r="B80" s="982"/>
      <c r="C80" s="201" t="s">
        <v>30</v>
      </c>
      <c r="D80" s="208">
        <f>+'B) Reajuste Tarifas y Ocupación'!U32</f>
        <v>0</v>
      </c>
      <c r="E80" s="208">
        <f>+'B) Reajuste Tarifas y Ocupación'!V32</f>
        <v>0</v>
      </c>
      <c r="F80" s="208">
        <f>+'B) Reajuste Tarifas y Ocupación'!W32</f>
        <v>0</v>
      </c>
      <c r="G80" s="208">
        <f>+'B) Reajuste Tarifas y Ocupación'!X29</f>
        <v>0</v>
      </c>
      <c r="H80" s="455"/>
      <c r="I80" s="455"/>
      <c r="J80" s="457"/>
    </row>
    <row r="81" spans="1:10" ht="15.75" thickBot="1" x14ac:dyDescent="0.3">
      <c r="A81" s="985"/>
      <c r="B81" s="983"/>
      <c r="C81" s="203" t="s">
        <v>31</v>
      </c>
      <c r="D81" s="204">
        <f>D80*D79</f>
        <v>0</v>
      </c>
      <c r="E81" s="204">
        <f>E80*E79</f>
        <v>0</v>
      </c>
      <c r="F81" s="204">
        <f>F80*F79</f>
        <v>0</v>
      </c>
      <c r="G81" s="204">
        <f>G80*G79</f>
        <v>0</v>
      </c>
      <c r="H81" s="211">
        <f>(E79-D79)*D80</f>
        <v>0</v>
      </c>
      <c r="I81" s="205">
        <f>SUM(D81:G81)</f>
        <v>0</v>
      </c>
      <c r="J81" s="206">
        <f>H81+I81</f>
        <v>0</v>
      </c>
    </row>
    <row r="82" spans="1:10" ht="15.75" thickBot="1" x14ac:dyDescent="0.3">
      <c r="A82" s="986"/>
      <c r="B82" s="458" t="s">
        <v>32</v>
      </c>
      <c r="C82" s="459"/>
      <c r="D82" s="213">
        <f t="shared" ref="D82:I82" si="5">SUM(D75,D78,D81)</f>
        <v>0</v>
      </c>
      <c r="E82" s="213">
        <f t="shared" si="5"/>
        <v>0</v>
      </c>
      <c r="F82" s="213">
        <f t="shared" si="5"/>
        <v>0</v>
      </c>
      <c r="G82" s="213">
        <f>SUM(G75,G78,G81)</f>
        <v>6200400</v>
      </c>
      <c r="H82" s="220">
        <f t="shared" si="5"/>
        <v>0</v>
      </c>
      <c r="I82" s="213">
        <f t="shared" si="5"/>
        <v>6200400</v>
      </c>
      <c r="J82" s="216">
        <f>SUM(J75,J78,J81)</f>
        <v>6200400</v>
      </c>
    </row>
  </sheetData>
  <mergeCells count="33">
    <mergeCell ref="B48:B50"/>
    <mergeCell ref="A24:A51"/>
    <mergeCell ref="B52:B54"/>
    <mergeCell ref="C4:D4"/>
    <mergeCell ref="E4:F4"/>
    <mergeCell ref="A6:D6"/>
    <mergeCell ref="B36:B38"/>
    <mergeCell ref="B39:B41"/>
    <mergeCell ref="B42:B44"/>
    <mergeCell ref="B45:B47"/>
    <mergeCell ref="A22:A23"/>
    <mergeCell ref="B22:B23"/>
    <mergeCell ref="J22:J23"/>
    <mergeCell ref="B24:B26"/>
    <mergeCell ref="B27:B29"/>
    <mergeCell ref="B30:B32"/>
    <mergeCell ref="B33:B35"/>
    <mergeCell ref="C22:C23"/>
    <mergeCell ref="D22:G22"/>
    <mergeCell ref="H22:H23"/>
    <mergeCell ref="I22:I23"/>
    <mergeCell ref="B55:B57"/>
    <mergeCell ref="A52:A57"/>
    <mergeCell ref="B59:B61"/>
    <mergeCell ref="B62:B64"/>
    <mergeCell ref="A59:A65"/>
    <mergeCell ref="B73:B75"/>
    <mergeCell ref="B76:B78"/>
    <mergeCell ref="B79:B81"/>
    <mergeCell ref="A73:A82"/>
    <mergeCell ref="A66:A72"/>
    <mergeCell ref="B66:B68"/>
    <mergeCell ref="B69:B71"/>
  </mergeCells>
  <conditionalFormatting sqref="B9:M13">
    <cfRule type="cellIs" dxfId="17" priority="3" stopIfTrue="1" operator="lessThan">
      <formula>0</formula>
    </cfRule>
  </conditionalFormatting>
  <conditionalFormatting sqref="B14:O14 D16:D19 L17">
    <cfRule type="cellIs" dxfId="16" priority="22" stopIfTrue="1" operator="lessThan">
      <formula>0</formula>
    </cfRule>
  </conditionalFormatting>
  <conditionalFormatting sqref="C15:K15">
    <cfRule type="cellIs" dxfId="15" priority="18" stopIfTrue="1" operator="lessThan">
      <formula>0</formula>
    </cfRule>
  </conditionalFormatting>
  <conditionalFormatting sqref="M17:N17">
    <cfRule type="cellIs" dxfId="14" priority="1" operator="lessThan">
      <formula>0</formula>
    </cfRule>
  </conditionalFormatting>
  <conditionalFormatting sqref="M17:N17">
    <cfRule type="cellIs" dxfId="13" priority="2" operator="greaterThan">
      <formula>0</formula>
    </cfRule>
  </conditionalFormatting>
  <pageMargins left="0.25" right="0.25" top="0.75" bottom="0.75" header="0.3" footer="0.3"/>
  <pageSetup paperSize="119"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A46"/>
  <sheetViews>
    <sheetView showGridLines="0" zoomScale="80" zoomScaleNormal="80" workbookViewId="0">
      <pane xSplit="2" ySplit="11" topLeftCell="P12" activePane="bottomRight" state="frozen"/>
      <selection pane="topRight" activeCell="C1" sqref="C1"/>
      <selection pane="bottomLeft" activeCell="A12" sqref="A12"/>
      <selection pane="bottomRight" activeCell="X24" sqref="X24"/>
    </sheetView>
  </sheetViews>
  <sheetFormatPr baseColWidth="10" defaultRowHeight="15" x14ac:dyDescent="0.25"/>
  <cols>
    <col min="1" max="1" width="28" customWidth="1"/>
    <col min="2" max="2" width="53" bestFit="1" customWidth="1"/>
    <col min="3" max="3" width="10.85546875" bestFit="1" customWidth="1"/>
    <col min="4" max="4" width="14.85546875" bestFit="1" customWidth="1"/>
    <col min="5" max="5" width="15.42578125" bestFit="1" customWidth="1"/>
    <col min="6" max="6" width="14.140625" customWidth="1"/>
    <col min="7" max="7" width="14.85546875" bestFit="1" customWidth="1"/>
    <col min="8" max="9" width="15.42578125" bestFit="1" customWidth="1"/>
    <col min="10" max="10" width="10.85546875" bestFit="1" customWidth="1"/>
    <col min="11" max="11" width="14.85546875" bestFit="1" customWidth="1"/>
    <col min="12" max="13" width="15.42578125" bestFit="1" customWidth="1"/>
    <col min="14" max="16" width="15.42578125" customWidth="1"/>
    <col min="17" max="18" width="11.85546875" customWidth="1"/>
    <col min="19" max="19" width="33.85546875" customWidth="1"/>
    <col min="20" max="20" width="53" bestFit="1" customWidth="1"/>
    <col min="22" max="22" width="14.85546875" bestFit="1" customWidth="1"/>
    <col min="23" max="24" width="15.42578125" bestFit="1" customWidth="1"/>
    <col min="25" max="25" width="19.42578125" bestFit="1" customWidth="1"/>
  </cols>
  <sheetData>
    <row r="1" spans="1:27" x14ac:dyDescent="0.25">
      <c r="A1" s="878"/>
      <c r="B1" s="879"/>
      <c r="C1" s="879"/>
      <c r="D1" s="879"/>
      <c r="E1" s="879"/>
      <c r="F1" s="880"/>
      <c r="G1" s="879"/>
      <c r="H1" s="879"/>
      <c r="I1" s="879"/>
      <c r="J1" s="879"/>
      <c r="K1" s="878"/>
      <c r="L1" s="879"/>
      <c r="M1" s="879"/>
      <c r="N1" s="879"/>
      <c r="O1" s="879"/>
      <c r="P1" s="879"/>
      <c r="Q1" s="879"/>
      <c r="R1" s="879"/>
      <c r="S1" s="879"/>
      <c r="T1" s="879"/>
      <c r="U1" s="879"/>
      <c r="V1" s="879"/>
      <c r="W1" s="879"/>
      <c r="X1" s="879"/>
      <c r="Y1" s="879"/>
      <c r="Z1" s="879"/>
      <c r="AA1" s="879"/>
    </row>
    <row r="2" spans="1:27" x14ac:dyDescent="0.25">
      <c r="A2" s="881"/>
      <c r="B2" s="879"/>
      <c r="C2" s="879"/>
      <c r="D2" s="879"/>
      <c r="E2" s="879"/>
      <c r="F2" s="880" t="s">
        <v>33</v>
      </c>
      <c r="G2" s="879"/>
      <c r="H2" s="879"/>
      <c r="I2" s="879"/>
      <c r="J2" s="879"/>
      <c r="K2" s="881"/>
      <c r="L2" s="879"/>
      <c r="M2" s="879"/>
      <c r="N2" s="879"/>
      <c r="O2" s="879"/>
      <c r="P2" s="879"/>
      <c r="Q2" s="879"/>
      <c r="R2" s="879"/>
      <c r="S2" s="879"/>
      <c r="T2" s="879"/>
      <c r="U2" s="879"/>
      <c r="V2" s="879"/>
      <c r="W2" s="879"/>
      <c r="X2" s="879"/>
      <c r="Y2" s="879"/>
      <c r="Z2" s="879"/>
      <c r="AA2" s="879"/>
    </row>
    <row r="3" spans="1:27" x14ac:dyDescent="0.25">
      <c r="A3" s="44"/>
      <c r="B3" s="879"/>
      <c r="C3" s="879"/>
      <c r="D3" s="879"/>
      <c r="E3" s="879"/>
      <c r="F3" s="879"/>
      <c r="G3" s="879"/>
      <c r="H3" s="879"/>
      <c r="I3" s="879"/>
      <c r="J3" s="879"/>
      <c r="K3" s="44"/>
      <c r="L3" s="882"/>
      <c r="M3" s="879"/>
      <c r="N3" s="879"/>
      <c r="O3" s="879"/>
      <c r="P3" s="879"/>
      <c r="Q3" s="879"/>
      <c r="R3" s="879"/>
      <c r="S3" s="879"/>
      <c r="T3" s="879"/>
      <c r="U3" s="879"/>
      <c r="V3" s="879"/>
      <c r="W3" s="879"/>
      <c r="X3" s="879"/>
      <c r="Y3" s="879"/>
      <c r="Z3" s="879"/>
      <c r="AA3" s="879"/>
    </row>
    <row r="4" spans="1:27" ht="15.75" thickBot="1" x14ac:dyDescent="0.3">
      <c r="A4" s="44"/>
      <c r="B4" s="883"/>
      <c r="C4" s="883"/>
      <c r="D4" s="879"/>
      <c r="E4" s="879"/>
      <c r="F4" s="879"/>
      <c r="G4" s="879"/>
      <c r="H4" s="879"/>
      <c r="I4" s="879"/>
      <c r="J4" s="879"/>
      <c r="K4" s="44"/>
      <c r="L4" s="883"/>
      <c r="M4" s="879"/>
      <c r="N4" s="879"/>
      <c r="O4" s="879"/>
      <c r="P4" s="879"/>
      <c r="Q4" s="879"/>
      <c r="R4" s="879"/>
      <c r="S4" s="879"/>
      <c r="T4" s="879"/>
      <c r="U4" s="879"/>
      <c r="V4" s="879"/>
      <c r="W4" s="879"/>
      <c r="X4" s="879"/>
      <c r="Y4" s="879"/>
      <c r="Z4" s="879"/>
      <c r="AA4" s="879"/>
    </row>
    <row r="5" spans="1:27" ht="15.75" thickBot="1" x14ac:dyDescent="0.3">
      <c r="A5" s="44"/>
      <c r="B5" s="883"/>
      <c r="C5" s="883"/>
      <c r="D5" s="1072" t="s">
        <v>1</v>
      </c>
      <c r="E5" s="1073"/>
      <c r="F5" s="1074" t="s">
        <v>2</v>
      </c>
      <c r="G5" s="1075"/>
      <c r="H5" s="880"/>
      <c r="I5" s="880"/>
      <c r="J5" s="880"/>
      <c r="K5" s="44"/>
      <c r="L5" s="882"/>
      <c r="M5" s="879"/>
      <c r="N5" s="879"/>
      <c r="O5" s="879"/>
      <c r="P5" s="879"/>
      <c r="Q5" s="879"/>
      <c r="R5" s="879"/>
      <c r="S5" s="49"/>
      <c r="T5" s="879"/>
      <c r="U5" s="879"/>
      <c r="V5" s="879"/>
      <c r="W5" s="879"/>
      <c r="X5" s="879"/>
      <c r="Y5" s="879"/>
      <c r="Z5" s="879"/>
      <c r="AA5" s="879"/>
    </row>
    <row r="6" spans="1:27" x14ac:dyDescent="0.25">
      <c r="A6" s="44"/>
      <c r="B6" s="883"/>
      <c r="C6" s="883"/>
      <c r="D6" s="884"/>
      <c r="E6" s="884"/>
      <c r="F6" s="880"/>
      <c r="G6" s="880"/>
      <c r="H6" s="880"/>
      <c r="I6" s="880"/>
      <c r="J6" s="880"/>
      <c r="K6" s="44"/>
      <c r="L6" s="883"/>
      <c r="M6" s="879"/>
      <c r="N6" s="879"/>
      <c r="O6" s="879"/>
      <c r="P6" s="879"/>
      <c r="Q6" s="879"/>
      <c r="R6" s="879"/>
      <c r="S6" s="49"/>
      <c r="T6" s="879"/>
      <c r="U6" s="879"/>
      <c r="V6" s="879"/>
      <c r="W6" s="879"/>
      <c r="X6" s="879"/>
      <c r="Y6" s="879"/>
      <c r="Z6" s="879"/>
      <c r="AA6" s="879"/>
    </row>
    <row r="7" spans="1:27" x14ac:dyDescent="0.25">
      <c r="A7" s="44"/>
      <c r="B7" s="883"/>
      <c r="C7" s="883"/>
      <c r="D7" s="884"/>
      <c r="E7" s="884"/>
      <c r="F7" s="880"/>
      <c r="G7" s="880"/>
      <c r="H7" s="880"/>
      <c r="I7" s="880"/>
      <c r="J7" s="880"/>
      <c r="K7" s="44"/>
      <c r="L7" s="883"/>
      <c r="M7" s="879"/>
      <c r="N7" s="879"/>
      <c r="O7" s="879"/>
      <c r="P7" s="879"/>
      <c r="Q7" s="879"/>
      <c r="R7" s="879"/>
      <c r="S7" s="51"/>
      <c r="T7" s="879"/>
      <c r="U7" s="879"/>
      <c r="V7" s="879"/>
      <c r="W7" s="879"/>
      <c r="X7" s="879"/>
      <c r="Y7" s="879"/>
      <c r="Z7" s="879"/>
      <c r="AA7" s="879"/>
    </row>
    <row r="8" spans="1:27" x14ac:dyDescent="0.25">
      <c r="A8" s="1076" t="s">
        <v>34</v>
      </c>
      <c r="B8" s="1076"/>
      <c r="C8" s="1076"/>
      <c r="D8" s="885"/>
      <c r="E8" s="880"/>
      <c r="F8" s="880"/>
      <c r="G8" s="879"/>
      <c r="H8" s="879"/>
      <c r="I8" s="879"/>
      <c r="J8" s="879"/>
      <c r="K8" s="879"/>
      <c r="L8" s="879"/>
      <c r="M8" s="879"/>
      <c r="N8" s="879"/>
      <c r="O8" s="879"/>
      <c r="P8" s="879"/>
      <c r="Q8" s="879"/>
      <c r="R8" s="879"/>
      <c r="S8" s="1076" t="s">
        <v>35</v>
      </c>
      <c r="T8" s="1076"/>
      <c r="U8" s="1076"/>
      <c r="V8" s="52"/>
      <c r="W8" s="879"/>
      <c r="X8" s="879"/>
      <c r="Y8" s="879"/>
      <c r="Z8" s="879"/>
      <c r="AA8" s="879"/>
    </row>
    <row r="9" spans="1:27" ht="15.75" thickBot="1" x14ac:dyDescent="0.3"/>
    <row r="10" spans="1:27" ht="15.75" customHeight="1" x14ac:dyDescent="0.25">
      <c r="A10" s="1077" t="s">
        <v>4</v>
      </c>
      <c r="B10" s="1079" t="s">
        <v>22</v>
      </c>
      <c r="C10" s="1081" t="s">
        <v>295</v>
      </c>
      <c r="D10" s="1082"/>
      <c r="E10" s="1082"/>
      <c r="F10" s="1083"/>
      <c r="G10" s="1084" t="s">
        <v>36</v>
      </c>
      <c r="H10" s="1085"/>
      <c r="I10" s="1086"/>
      <c r="J10" s="1081" t="s">
        <v>320</v>
      </c>
      <c r="K10" s="1082"/>
      <c r="L10" s="1082"/>
      <c r="M10" s="1083"/>
      <c r="N10" s="1069" t="s">
        <v>316</v>
      </c>
      <c r="O10" s="1070"/>
      <c r="P10" s="1070"/>
      <c r="Q10" s="1071"/>
      <c r="R10" s="886"/>
      <c r="S10" s="1087" t="s">
        <v>21</v>
      </c>
      <c r="T10" s="1089" t="s">
        <v>22</v>
      </c>
      <c r="U10" s="1091" t="s">
        <v>321</v>
      </c>
      <c r="V10" s="1092"/>
      <c r="W10" s="1092"/>
      <c r="X10" s="1093"/>
      <c r="Y10" s="1045" t="s">
        <v>38</v>
      </c>
    </row>
    <row r="11" spans="1:27" ht="39" customHeight="1" thickBot="1" x14ac:dyDescent="0.3">
      <c r="A11" s="1078"/>
      <c r="B11" s="1080"/>
      <c r="C11" s="887" t="s">
        <v>39</v>
      </c>
      <c r="D11" s="888" t="s">
        <v>27</v>
      </c>
      <c r="E11" s="888" t="s">
        <v>28</v>
      </c>
      <c r="F11" s="889" t="s">
        <v>29</v>
      </c>
      <c r="G11" s="890" t="s">
        <v>27</v>
      </c>
      <c r="H11" s="891" t="s">
        <v>28</v>
      </c>
      <c r="I11" s="892" t="s">
        <v>29</v>
      </c>
      <c r="J11" s="887" t="s">
        <v>39</v>
      </c>
      <c r="K11" s="888" t="s">
        <v>27</v>
      </c>
      <c r="L11" s="888" t="s">
        <v>28</v>
      </c>
      <c r="M11" s="889" t="s">
        <v>29</v>
      </c>
      <c r="N11" s="893" t="s">
        <v>39</v>
      </c>
      <c r="O11" s="894" t="s">
        <v>317</v>
      </c>
      <c r="P11" s="894" t="s">
        <v>318</v>
      </c>
      <c r="Q11" s="895" t="s">
        <v>319</v>
      </c>
      <c r="R11" s="886"/>
      <c r="S11" s="1088"/>
      <c r="T11" s="1090"/>
      <c r="U11" s="896" t="s">
        <v>26</v>
      </c>
      <c r="V11" s="897" t="s">
        <v>27</v>
      </c>
      <c r="W11" s="897" t="s">
        <v>28</v>
      </c>
      <c r="X11" s="898" t="s">
        <v>29</v>
      </c>
      <c r="Y11" s="1046"/>
    </row>
    <row r="12" spans="1:27" x14ac:dyDescent="0.25">
      <c r="A12" s="1017" t="s">
        <v>40</v>
      </c>
      <c r="B12" s="70" t="s">
        <v>41</v>
      </c>
      <c r="C12" s="850">
        <v>31200</v>
      </c>
      <c r="D12" s="839">
        <v>48000</v>
      </c>
      <c r="E12" s="839">
        <v>65300</v>
      </c>
      <c r="F12" s="840">
        <v>70700</v>
      </c>
      <c r="G12" s="933">
        <v>4.4999999999999998E-2</v>
      </c>
      <c r="H12" s="934">
        <v>4.4999999999999998E-2</v>
      </c>
      <c r="I12" s="935">
        <v>4.4999999999999998E-2</v>
      </c>
      <c r="J12" s="838">
        <f>IF(OR(C12=0,C12=""),0,CEILING(K12*0.65,100))</f>
        <v>32700</v>
      </c>
      <c r="K12" s="839">
        <f>CEILING($D12*(1+$G12),100)</f>
        <v>50200</v>
      </c>
      <c r="L12" s="839">
        <f>CEILING($E12*(1+$H12),100)</f>
        <v>68300</v>
      </c>
      <c r="M12" s="840">
        <f>CEILING($F12*(1+$I12),100)</f>
        <v>73900</v>
      </c>
      <c r="N12" s="838">
        <f>J12-C12</f>
        <v>1500</v>
      </c>
      <c r="O12" s="839">
        <f>K12-D12</f>
        <v>2200</v>
      </c>
      <c r="P12" s="839">
        <f>L12-E12</f>
        <v>3000</v>
      </c>
      <c r="Q12" s="840">
        <f>M12-F12</f>
        <v>3200</v>
      </c>
      <c r="R12" s="56"/>
      <c r="S12" s="1039" t="str">
        <f>+A12</f>
        <v>Casa de Huespedes</v>
      </c>
      <c r="T12" s="863" t="str">
        <f>+B12</f>
        <v>Matrimonial</v>
      </c>
      <c r="U12" s="57">
        <v>60</v>
      </c>
      <c r="V12" s="58">
        <v>23</v>
      </c>
      <c r="W12" s="58">
        <v>12</v>
      </c>
      <c r="X12" s="59">
        <v>30</v>
      </c>
      <c r="Y12" s="899">
        <f>SUM(U12:X12)</f>
        <v>125</v>
      </c>
    </row>
    <row r="13" spans="1:27" x14ac:dyDescent="0.25">
      <c r="A13" s="1047"/>
      <c r="B13" s="864" t="s">
        <v>42</v>
      </c>
      <c r="C13" s="851">
        <v>31200</v>
      </c>
      <c r="D13" s="852">
        <v>48000</v>
      </c>
      <c r="E13" s="852">
        <v>65300</v>
      </c>
      <c r="F13" s="853">
        <v>70700</v>
      </c>
      <c r="G13" s="936">
        <v>4.4999999999999998E-2</v>
      </c>
      <c r="H13" s="937">
        <v>4.4999999999999998E-2</v>
      </c>
      <c r="I13" s="938">
        <v>4.4999999999999998E-2</v>
      </c>
      <c r="J13" s="854">
        <f>IF(OR(C13=0,C13=""),0,CEILING(K13*0.65,100))</f>
        <v>32700</v>
      </c>
      <c r="K13" s="852">
        <f t="shared" ref="K13:K24" si="0">CEILING($D13*(1+$G13),100)</f>
        <v>50200</v>
      </c>
      <c r="L13" s="852">
        <f t="shared" ref="L13:L24" si="1">CEILING($E13*(1+$H13),100)</f>
        <v>68300</v>
      </c>
      <c r="M13" s="853">
        <f t="shared" ref="M13:M29" si="2">CEILING($F13*(1+$I13),100)</f>
        <v>73900</v>
      </c>
      <c r="N13" s="854">
        <f t="shared" ref="N13:N24" si="3">J13-C13</f>
        <v>1500</v>
      </c>
      <c r="O13" s="852">
        <f t="shared" ref="O13:O26" si="4">K13-D13</f>
        <v>2200</v>
      </c>
      <c r="P13" s="852">
        <f t="shared" ref="P13:P26" si="5">L13-E13</f>
        <v>3000</v>
      </c>
      <c r="Q13" s="853">
        <f t="shared" ref="Q13:Q29" si="6">M13-F13</f>
        <v>3200</v>
      </c>
      <c r="R13" s="56"/>
      <c r="S13" s="1049"/>
      <c r="T13" s="865" t="str">
        <f>+B13</f>
        <v>Doble</v>
      </c>
      <c r="U13" s="62">
        <v>35</v>
      </c>
      <c r="V13" s="63">
        <v>16</v>
      </c>
      <c r="W13" s="63">
        <v>17</v>
      </c>
      <c r="X13" s="64">
        <v>28</v>
      </c>
      <c r="Y13" s="900">
        <f t="shared" ref="Y13:Y20" si="7">SUM(U13:X13)</f>
        <v>96</v>
      </c>
    </row>
    <row r="14" spans="1:27" x14ac:dyDescent="0.25">
      <c r="A14" s="1048"/>
      <c r="B14" s="578" t="s">
        <v>43</v>
      </c>
      <c r="C14" s="851">
        <v>33800</v>
      </c>
      <c r="D14" s="852">
        <v>52000</v>
      </c>
      <c r="E14" s="852">
        <v>70700</v>
      </c>
      <c r="F14" s="853">
        <v>76600</v>
      </c>
      <c r="G14" s="936">
        <v>4.4999999999999998E-2</v>
      </c>
      <c r="H14" s="937">
        <v>4.4999999999999998E-2</v>
      </c>
      <c r="I14" s="938">
        <v>4.4999999999999998E-2</v>
      </c>
      <c r="J14" s="854">
        <f>IF(OR(C14=0,C14=""),0,CEILING(K14*0.65,100))</f>
        <v>35400</v>
      </c>
      <c r="K14" s="852">
        <f t="shared" si="0"/>
        <v>54400</v>
      </c>
      <c r="L14" s="852">
        <f t="shared" si="1"/>
        <v>73900</v>
      </c>
      <c r="M14" s="853">
        <f t="shared" si="2"/>
        <v>80100</v>
      </c>
      <c r="N14" s="854">
        <f t="shared" si="3"/>
        <v>1600</v>
      </c>
      <c r="O14" s="852">
        <f t="shared" si="4"/>
        <v>2400</v>
      </c>
      <c r="P14" s="852">
        <f t="shared" si="5"/>
        <v>3200</v>
      </c>
      <c r="Q14" s="853">
        <f t="shared" si="6"/>
        <v>3500</v>
      </c>
      <c r="R14" s="56"/>
      <c r="S14" s="1049"/>
      <c r="T14" s="865" t="str">
        <f>+B14</f>
        <v>Triple</v>
      </c>
      <c r="U14" s="62">
        <v>41</v>
      </c>
      <c r="V14" s="63">
        <v>36</v>
      </c>
      <c r="W14" s="63">
        <v>6</v>
      </c>
      <c r="X14" s="64">
        <v>32</v>
      </c>
      <c r="Y14" s="900">
        <f>SUM(U14:X14)</f>
        <v>115</v>
      </c>
    </row>
    <row r="15" spans="1:27" x14ac:dyDescent="0.25">
      <c r="A15" s="1048"/>
      <c r="B15" s="578" t="s">
        <v>44</v>
      </c>
      <c r="C15" s="851">
        <v>18500</v>
      </c>
      <c r="D15" s="852">
        <v>28400</v>
      </c>
      <c r="E15" s="852">
        <v>38600</v>
      </c>
      <c r="F15" s="853">
        <v>41800</v>
      </c>
      <c r="G15" s="936">
        <v>4.4999999999999998E-2</v>
      </c>
      <c r="H15" s="937">
        <v>4.4999999999999998E-2</v>
      </c>
      <c r="I15" s="938">
        <v>4.4999999999999998E-2</v>
      </c>
      <c r="J15" s="854">
        <f>IF(OR(C15=0,C15=""),0,CEILING(K15*0.65,100))</f>
        <v>19400</v>
      </c>
      <c r="K15" s="852">
        <f t="shared" si="0"/>
        <v>29700</v>
      </c>
      <c r="L15" s="852">
        <f t="shared" si="1"/>
        <v>40400</v>
      </c>
      <c r="M15" s="853">
        <f t="shared" si="2"/>
        <v>43700</v>
      </c>
      <c r="N15" s="854">
        <f t="shared" si="3"/>
        <v>900</v>
      </c>
      <c r="O15" s="852">
        <f t="shared" si="4"/>
        <v>1300</v>
      </c>
      <c r="P15" s="852">
        <f t="shared" si="5"/>
        <v>1800</v>
      </c>
      <c r="Q15" s="853">
        <f t="shared" si="6"/>
        <v>1900</v>
      </c>
      <c r="R15" s="56"/>
      <c r="S15" s="1049"/>
      <c r="T15" s="865" t="str">
        <f>+B15</f>
        <v>Single</v>
      </c>
      <c r="U15" s="927">
        <v>20</v>
      </c>
      <c r="V15" s="63">
        <v>15</v>
      </c>
      <c r="W15" s="63">
        <v>2</v>
      </c>
      <c r="X15" s="64">
        <v>16</v>
      </c>
      <c r="Y15" s="900">
        <f t="shared" si="7"/>
        <v>53</v>
      </c>
      <c r="Z15" s="866"/>
    </row>
    <row r="16" spans="1:27" x14ac:dyDescent="0.25">
      <c r="A16" s="1048"/>
      <c r="B16" s="579" t="s">
        <v>45</v>
      </c>
      <c r="C16" s="1050"/>
      <c r="D16" s="1050"/>
      <c r="E16" s="1050"/>
      <c r="F16" s="1051"/>
      <c r="G16" s="1052"/>
      <c r="H16" s="1053"/>
      <c r="I16" s="1054"/>
      <c r="J16" s="1057"/>
      <c r="K16" s="1058"/>
      <c r="L16" s="1058"/>
      <c r="M16" s="1059"/>
      <c r="N16" s="855"/>
      <c r="O16" s="856"/>
      <c r="P16" s="856"/>
      <c r="Q16" s="857"/>
      <c r="R16" s="56"/>
      <c r="S16" s="1049"/>
      <c r="T16" s="582" t="str">
        <f>+B16</f>
        <v>Early check-in/Late check-out</v>
      </c>
      <c r="U16" s="1060"/>
      <c r="V16" s="1061"/>
      <c r="W16" s="1061"/>
      <c r="X16" s="1062"/>
      <c r="Y16" s="901"/>
    </row>
    <row r="17" spans="1:27" x14ac:dyDescent="0.25">
      <c r="A17" s="1047"/>
      <c r="B17" s="580" t="s">
        <v>41</v>
      </c>
      <c r="C17" s="1063"/>
      <c r="D17" s="858">
        <v>14400</v>
      </c>
      <c r="E17" s="858">
        <v>19600</v>
      </c>
      <c r="F17" s="859">
        <v>21300</v>
      </c>
      <c r="G17" s="1036"/>
      <c r="H17" s="1055"/>
      <c r="I17" s="1056"/>
      <c r="J17" s="1064"/>
      <c r="K17" s="858">
        <f>CEILING(K12*0.3,100)</f>
        <v>15100</v>
      </c>
      <c r="L17" s="858">
        <f>CEILING(L12*0.3,100)</f>
        <v>20500</v>
      </c>
      <c r="M17" s="859">
        <f>CEILING(M12*0.3,100)</f>
        <v>22200</v>
      </c>
      <c r="N17" s="860"/>
      <c r="O17" s="858">
        <f t="shared" si="4"/>
        <v>700</v>
      </c>
      <c r="P17" s="858">
        <f t="shared" si="5"/>
        <v>900</v>
      </c>
      <c r="Q17" s="859">
        <f t="shared" si="6"/>
        <v>900</v>
      </c>
      <c r="R17" s="56"/>
      <c r="S17" s="1049"/>
      <c r="T17" s="867" t="s">
        <v>41</v>
      </c>
      <c r="U17" s="1066"/>
      <c r="V17" s="63"/>
      <c r="W17" s="63"/>
      <c r="X17" s="64"/>
      <c r="Y17" s="900">
        <f t="shared" si="7"/>
        <v>0</v>
      </c>
    </row>
    <row r="18" spans="1:27" x14ac:dyDescent="0.25">
      <c r="A18" s="1047"/>
      <c r="B18" s="580" t="s">
        <v>42</v>
      </c>
      <c r="C18" s="1030"/>
      <c r="D18" s="858">
        <v>14400</v>
      </c>
      <c r="E18" s="858">
        <v>19600</v>
      </c>
      <c r="F18" s="859">
        <v>21300</v>
      </c>
      <c r="G18" s="1036"/>
      <c r="H18" s="1055"/>
      <c r="I18" s="1056"/>
      <c r="J18" s="1065"/>
      <c r="K18" s="858">
        <f t="shared" ref="K18:M20" si="8">CEILING(K13*0.3,100)</f>
        <v>15100</v>
      </c>
      <c r="L18" s="858">
        <f t="shared" si="8"/>
        <v>20500</v>
      </c>
      <c r="M18" s="859">
        <f t="shared" si="8"/>
        <v>22200</v>
      </c>
      <c r="N18" s="861"/>
      <c r="O18" s="858">
        <f t="shared" si="4"/>
        <v>700</v>
      </c>
      <c r="P18" s="858">
        <f t="shared" si="5"/>
        <v>900</v>
      </c>
      <c r="Q18" s="859">
        <f t="shared" si="6"/>
        <v>900</v>
      </c>
      <c r="R18" s="56"/>
      <c r="S18" s="1049"/>
      <c r="T18" s="867" t="s">
        <v>42</v>
      </c>
      <c r="U18" s="1067"/>
      <c r="V18" s="63"/>
      <c r="W18" s="63"/>
      <c r="X18" s="64"/>
      <c r="Y18" s="900">
        <f t="shared" si="7"/>
        <v>0</v>
      </c>
    </row>
    <row r="19" spans="1:27" x14ac:dyDescent="0.25">
      <c r="A19" s="1047"/>
      <c r="B19" s="580" t="s">
        <v>43</v>
      </c>
      <c r="C19" s="1030"/>
      <c r="D19" s="858">
        <v>15600</v>
      </c>
      <c r="E19" s="858">
        <v>21300</v>
      </c>
      <c r="F19" s="859">
        <v>23000</v>
      </c>
      <c r="G19" s="1036"/>
      <c r="H19" s="1055"/>
      <c r="I19" s="1056"/>
      <c r="J19" s="1065"/>
      <c r="K19" s="858">
        <f t="shared" si="8"/>
        <v>16400</v>
      </c>
      <c r="L19" s="858">
        <f t="shared" si="8"/>
        <v>22200</v>
      </c>
      <c r="M19" s="859">
        <f t="shared" si="8"/>
        <v>24100</v>
      </c>
      <c r="N19" s="861"/>
      <c r="O19" s="858">
        <f t="shared" si="4"/>
        <v>800</v>
      </c>
      <c r="P19" s="858">
        <f t="shared" si="5"/>
        <v>900</v>
      </c>
      <c r="Q19" s="859">
        <f t="shared" si="6"/>
        <v>1100</v>
      </c>
      <c r="R19" s="56"/>
      <c r="S19" s="1049"/>
      <c r="T19" s="867" t="s">
        <v>43</v>
      </c>
      <c r="U19" s="1067"/>
      <c r="V19" s="63"/>
      <c r="W19" s="63"/>
      <c r="X19" s="64"/>
      <c r="Y19" s="900">
        <f t="shared" si="7"/>
        <v>0</v>
      </c>
    </row>
    <row r="20" spans="1:27" ht="15.75" thickBot="1" x14ac:dyDescent="0.3">
      <c r="A20" s="1018"/>
      <c r="B20" s="581" t="s">
        <v>44</v>
      </c>
      <c r="C20" s="1033"/>
      <c r="D20" s="862">
        <v>8600</v>
      </c>
      <c r="E20" s="862">
        <v>11600</v>
      </c>
      <c r="F20" s="843">
        <v>12600</v>
      </c>
      <c r="G20" s="1021"/>
      <c r="H20" s="1022"/>
      <c r="I20" s="1023"/>
      <c r="J20" s="1044"/>
      <c r="K20" s="862">
        <f t="shared" si="8"/>
        <v>9000</v>
      </c>
      <c r="L20" s="862">
        <f t="shared" si="8"/>
        <v>12200</v>
      </c>
      <c r="M20" s="843">
        <f t="shared" si="8"/>
        <v>13200</v>
      </c>
      <c r="N20" s="848"/>
      <c r="O20" s="862">
        <f t="shared" si="4"/>
        <v>400</v>
      </c>
      <c r="P20" s="862">
        <f t="shared" si="5"/>
        <v>600</v>
      </c>
      <c r="Q20" s="843">
        <f t="shared" si="6"/>
        <v>600</v>
      </c>
      <c r="R20" s="56"/>
      <c r="S20" s="1020"/>
      <c r="T20" s="868" t="s">
        <v>44</v>
      </c>
      <c r="U20" s="1068"/>
      <c r="V20" s="68"/>
      <c r="W20" s="68"/>
      <c r="X20" s="69"/>
      <c r="Y20" s="902">
        <f t="shared" si="7"/>
        <v>0</v>
      </c>
    </row>
    <row r="21" spans="1:27" x14ac:dyDescent="0.25">
      <c r="A21" s="1041" t="s">
        <v>46</v>
      </c>
      <c r="B21" s="70" t="s">
        <v>47</v>
      </c>
      <c r="C21" s="493"/>
      <c r="D21" s="839">
        <v>65000</v>
      </c>
      <c r="E21" s="839">
        <v>88400</v>
      </c>
      <c r="F21" s="840">
        <v>95800</v>
      </c>
      <c r="G21" s="933">
        <v>4.4999999999999998E-2</v>
      </c>
      <c r="H21" s="934">
        <v>4.4999999999999998E-2</v>
      </c>
      <c r="I21" s="935">
        <v>4.4999999999999998E-2</v>
      </c>
      <c r="J21" s="838">
        <f>IF(OR(C21=0,C21=""),0,CEILING(K21*0.65,100))</f>
        <v>0</v>
      </c>
      <c r="K21" s="839">
        <f t="shared" si="0"/>
        <v>68000</v>
      </c>
      <c r="L21" s="839">
        <f t="shared" si="1"/>
        <v>92400</v>
      </c>
      <c r="M21" s="840">
        <f t="shared" si="2"/>
        <v>100200</v>
      </c>
      <c r="N21" s="838">
        <f t="shared" si="3"/>
        <v>0</v>
      </c>
      <c r="O21" s="839">
        <f t="shared" si="4"/>
        <v>3000</v>
      </c>
      <c r="P21" s="839">
        <f t="shared" si="5"/>
        <v>4000</v>
      </c>
      <c r="Q21" s="840">
        <f t="shared" si="6"/>
        <v>4400</v>
      </c>
      <c r="R21" s="56"/>
      <c r="S21" s="1003" t="str">
        <f>+A21</f>
        <v>Sala de Juegos</v>
      </c>
      <c r="T21" s="863" t="str">
        <f t="shared" ref="T21:T26" si="9">+B21</f>
        <v>Sala de juegos</v>
      </c>
      <c r="U21" s="495"/>
      <c r="V21" s="58"/>
      <c r="W21" s="58"/>
      <c r="X21" s="59"/>
      <c r="Y21" s="903">
        <f t="shared" ref="Y21:Y29" si="10">SUM(U21:X21)</f>
        <v>0</v>
      </c>
      <c r="AA21" t="s">
        <v>48</v>
      </c>
    </row>
    <row r="22" spans="1:27" ht="15.75" thickBot="1" x14ac:dyDescent="0.3">
      <c r="A22" s="1042"/>
      <c r="B22" s="486" t="s">
        <v>49</v>
      </c>
      <c r="C22" s="848"/>
      <c r="D22" s="842">
        <v>26200</v>
      </c>
      <c r="E22" s="842">
        <v>35600</v>
      </c>
      <c r="F22" s="843">
        <v>38600</v>
      </c>
      <c r="G22" s="939">
        <v>4.4999999999999998E-2</v>
      </c>
      <c r="H22" s="940">
        <v>4.4999999999999998E-2</v>
      </c>
      <c r="I22" s="941">
        <v>4.4999999999999998E-2</v>
      </c>
      <c r="J22" s="849">
        <f>IF(OR(C22=0,C22=""),0,CEILING(K22*0.65,100))</f>
        <v>0</v>
      </c>
      <c r="K22" s="842">
        <f t="shared" si="0"/>
        <v>27400</v>
      </c>
      <c r="L22" s="842">
        <f t="shared" si="1"/>
        <v>37300</v>
      </c>
      <c r="M22" s="843">
        <f t="shared" si="2"/>
        <v>40400</v>
      </c>
      <c r="N22" s="849">
        <f t="shared" si="3"/>
        <v>0</v>
      </c>
      <c r="O22" s="842">
        <f t="shared" si="4"/>
        <v>1200</v>
      </c>
      <c r="P22" s="842">
        <f t="shared" si="5"/>
        <v>1700</v>
      </c>
      <c r="Q22" s="843">
        <f t="shared" si="6"/>
        <v>1800</v>
      </c>
      <c r="R22" s="56"/>
      <c r="S22" s="1004"/>
      <c r="T22" s="869" t="str">
        <f t="shared" si="9"/>
        <v>Sala de juegos Lunes a Jueves</v>
      </c>
      <c r="U22" s="496"/>
      <c r="V22" s="497">
        <v>30</v>
      </c>
      <c r="W22" s="497">
        <v>1</v>
      </c>
      <c r="X22" s="498">
        <v>2</v>
      </c>
      <c r="Y22" s="904">
        <f t="shared" si="10"/>
        <v>33</v>
      </c>
    </row>
    <row r="23" spans="1:27" x14ac:dyDescent="0.25">
      <c r="A23" s="1041" t="s">
        <v>241</v>
      </c>
      <c r="B23" s="485" t="s">
        <v>241</v>
      </c>
      <c r="C23" s="1043"/>
      <c r="D23" s="586">
        <v>53000</v>
      </c>
      <c r="E23" s="489">
        <v>72000</v>
      </c>
      <c r="F23" s="490">
        <v>78000</v>
      </c>
      <c r="G23" s="942">
        <v>4.4999999999999998E-2</v>
      </c>
      <c r="H23" s="943">
        <v>4.4999999999999998E-2</v>
      </c>
      <c r="I23" s="935">
        <v>4.4999999999999998E-2</v>
      </c>
      <c r="J23" s="905">
        <f>IF(OR(C23=0,C23=""),0,CEILING(K23*0.65,100))</f>
        <v>0</v>
      </c>
      <c r="K23" s="906">
        <f t="shared" si="0"/>
        <v>55400</v>
      </c>
      <c r="L23" s="906">
        <f t="shared" si="1"/>
        <v>75300</v>
      </c>
      <c r="M23" s="907">
        <f t="shared" si="2"/>
        <v>81600</v>
      </c>
      <c r="N23" s="905">
        <f t="shared" si="3"/>
        <v>0</v>
      </c>
      <c r="O23" s="906">
        <f t="shared" si="4"/>
        <v>2400</v>
      </c>
      <c r="P23" s="906">
        <f t="shared" si="5"/>
        <v>3300</v>
      </c>
      <c r="Q23" s="907">
        <f t="shared" si="6"/>
        <v>3600</v>
      </c>
      <c r="R23" s="56"/>
      <c r="S23" s="1005" t="s">
        <v>241</v>
      </c>
      <c r="T23" s="870" t="str">
        <f t="shared" si="9"/>
        <v>Quincho Cabo de Hornos</v>
      </c>
      <c r="U23" s="1006"/>
      <c r="V23" s="638">
        <v>60</v>
      </c>
      <c r="W23" s="638">
        <v>5</v>
      </c>
      <c r="X23" s="639">
        <v>13</v>
      </c>
      <c r="Y23" s="908">
        <f t="shared" si="10"/>
        <v>78</v>
      </c>
    </row>
    <row r="24" spans="1:27" ht="15.75" thickBot="1" x14ac:dyDescent="0.3">
      <c r="A24" s="1042"/>
      <c r="B24" s="486" t="s">
        <v>242</v>
      </c>
      <c r="C24" s="1044"/>
      <c r="D24" s="587">
        <v>37200</v>
      </c>
      <c r="E24" s="491">
        <v>50600</v>
      </c>
      <c r="F24" s="492">
        <v>54800</v>
      </c>
      <c r="G24" s="944">
        <v>4.4999999999999998E-2</v>
      </c>
      <c r="H24" s="945">
        <v>4.4999999999999998E-2</v>
      </c>
      <c r="I24" s="941">
        <v>4.4999999999999998E-2</v>
      </c>
      <c r="J24" s="909">
        <f>IF(OR(C24=0,C24=""),0,CEILING(K24*0.65,100))</f>
        <v>0</v>
      </c>
      <c r="K24" s="910">
        <f t="shared" si="0"/>
        <v>38900</v>
      </c>
      <c r="L24" s="910">
        <f t="shared" si="1"/>
        <v>52900</v>
      </c>
      <c r="M24" s="911">
        <f t="shared" si="2"/>
        <v>57300</v>
      </c>
      <c r="N24" s="909">
        <f t="shared" si="3"/>
        <v>0</v>
      </c>
      <c r="O24" s="910">
        <f t="shared" si="4"/>
        <v>1700</v>
      </c>
      <c r="P24" s="910">
        <f t="shared" si="5"/>
        <v>2300</v>
      </c>
      <c r="Q24" s="911">
        <f t="shared" si="6"/>
        <v>2500</v>
      </c>
      <c r="R24" s="56"/>
      <c r="S24" s="1004"/>
      <c r="T24" s="871" t="str">
        <f t="shared" si="9"/>
        <v>Quincho Cabo de Hornos Lunes a Jueves</v>
      </c>
      <c r="U24" s="1007"/>
      <c r="V24" s="912"/>
      <c r="W24" s="912"/>
      <c r="X24" s="913"/>
      <c r="Y24" s="914">
        <f t="shared" si="10"/>
        <v>0</v>
      </c>
    </row>
    <row r="25" spans="1:27" x14ac:dyDescent="0.25">
      <c r="A25" s="1017" t="s">
        <v>50</v>
      </c>
      <c r="B25" s="919" t="s">
        <v>51</v>
      </c>
      <c r="C25" s="920">
        <v>44100</v>
      </c>
      <c r="D25" s="921">
        <v>67700</v>
      </c>
      <c r="E25" s="921">
        <v>96700</v>
      </c>
      <c r="F25" s="922">
        <v>104800</v>
      </c>
      <c r="G25" s="946">
        <v>4.4999999999999998E-2</v>
      </c>
      <c r="H25" s="947">
        <v>4.4999999999999998E-2</v>
      </c>
      <c r="I25" s="948">
        <v>4.4999999999999998E-2</v>
      </c>
      <c r="J25" s="923">
        <f>IF(OR(C25=0,C25=""),0,CEILING(K25*0.65,100))</f>
        <v>46100</v>
      </c>
      <c r="K25" s="926">
        <f>CEILING($D25*(1+$G25),100)</f>
        <v>70800</v>
      </c>
      <c r="L25" s="926">
        <f>CEILING(E25*(1+H25),100)</f>
        <v>101100</v>
      </c>
      <c r="M25" s="926">
        <f>CEILING(F25*(1+I25),100)</f>
        <v>109600</v>
      </c>
      <c r="N25" s="923">
        <f>J25-C25</f>
        <v>2000</v>
      </c>
      <c r="O25" s="924">
        <f>K25-D25</f>
        <v>3100</v>
      </c>
      <c r="P25" s="924">
        <f>L25-E25</f>
        <v>4400</v>
      </c>
      <c r="Q25" s="925">
        <f t="shared" si="6"/>
        <v>4800</v>
      </c>
      <c r="R25" s="56"/>
      <c r="S25" s="1019" t="str">
        <f>+A25</f>
        <v>Cabañas</v>
      </c>
      <c r="T25" s="872" t="str">
        <f t="shared" si="9"/>
        <v>Cabaña 6 personas</v>
      </c>
      <c r="U25" s="410">
        <v>281</v>
      </c>
      <c r="V25" s="635">
        <v>53</v>
      </c>
      <c r="W25" s="636">
        <v>30</v>
      </c>
      <c r="X25" s="637">
        <v>57</v>
      </c>
      <c r="Y25" s="915">
        <f t="shared" si="10"/>
        <v>421</v>
      </c>
    </row>
    <row r="26" spans="1:27" ht="15.75" thickBot="1" x14ac:dyDescent="0.3">
      <c r="A26" s="1018"/>
      <c r="B26" s="581" t="s">
        <v>244</v>
      </c>
      <c r="C26" s="841"/>
      <c r="D26" s="842">
        <v>20400</v>
      </c>
      <c r="E26" s="842">
        <v>29100</v>
      </c>
      <c r="F26" s="843">
        <v>31500</v>
      </c>
      <c r="G26" s="1021"/>
      <c r="H26" s="1022"/>
      <c r="I26" s="1023"/>
      <c r="J26" s="841"/>
      <c r="K26" s="842">
        <f>CEILING(K25*0.3,100)</f>
        <v>21300</v>
      </c>
      <c r="L26" s="842">
        <f>CEILING(L25*0.3,100)</f>
        <v>30400</v>
      </c>
      <c r="M26" s="843">
        <f>CEILING(M25*0.3,100)</f>
        <v>32900</v>
      </c>
      <c r="N26" s="841"/>
      <c r="O26" s="842">
        <f t="shared" si="4"/>
        <v>900</v>
      </c>
      <c r="P26" s="842">
        <f t="shared" si="5"/>
        <v>1300</v>
      </c>
      <c r="Q26" s="843">
        <f t="shared" si="6"/>
        <v>1400</v>
      </c>
      <c r="R26" s="56"/>
      <c r="S26" s="1020"/>
      <c r="T26" s="873" t="str">
        <f t="shared" si="9"/>
        <v>Early check-in/Late check-out Cabañas</v>
      </c>
      <c r="U26" s="77"/>
      <c r="V26" s="411"/>
      <c r="W26" s="68"/>
      <c r="X26" s="69"/>
      <c r="Y26" s="902">
        <f t="shared" si="10"/>
        <v>0</v>
      </c>
    </row>
    <row r="27" spans="1:27" x14ac:dyDescent="0.25">
      <c r="A27" s="1017" t="s">
        <v>52</v>
      </c>
      <c r="B27" s="70" t="s">
        <v>53</v>
      </c>
      <c r="C27" s="1025"/>
      <c r="D27" s="1026"/>
      <c r="E27" s="1027"/>
      <c r="F27" s="840">
        <v>1900</v>
      </c>
      <c r="G27" s="1034"/>
      <c r="H27" s="1035"/>
      <c r="I27" s="935">
        <v>4.4999999999999998E-2</v>
      </c>
      <c r="J27" s="1025"/>
      <c r="K27" s="1026"/>
      <c r="L27" s="1027"/>
      <c r="M27" s="840">
        <f t="shared" si="2"/>
        <v>2000</v>
      </c>
      <c r="N27" s="844"/>
      <c r="O27" s="845"/>
      <c r="P27" s="846"/>
      <c r="Q27" s="840">
        <f t="shared" si="6"/>
        <v>100</v>
      </c>
      <c r="R27" s="56"/>
      <c r="S27" s="1039" t="str">
        <f>+A27</f>
        <v>Sala de Maquinas</v>
      </c>
      <c r="T27" s="863" t="str">
        <f>+B27</f>
        <v>Armada</v>
      </c>
      <c r="U27" s="1008"/>
      <c r="V27" s="1009"/>
      <c r="W27" s="1010"/>
      <c r="X27" s="59">
        <v>2560</v>
      </c>
      <c r="Y27" s="916">
        <f t="shared" si="10"/>
        <v>2560</v>
      </c>
    </row>
    <row r="28" spans="1:27" x14ac:dyDescent="0.25">
      <c r="A28" s="1024"/>
      <c r="B28" s="221" t="s">
        <v>54</v>
      </c>
      <c r="C28" s="1028"/>
      <c r="D28" s="1029"/>
      <c r="E28" s="1030"/>
      <c r="F28" s="223">
        <v>13900</v>
      </c>
      <c r="G28" s="1036"/>
      <c r="H28" s="1037"/>
      <c r="I28" s="949">
        <v>4.4999999999999998E-2</v>
      </c>
      <c r="J28" s="1028"/>
      <c r="K28" s="1029"/>
      <c r="L28" s="1030"/>
      <c r="M28" s="223">
        <f t="shared" si="2"/>
        <v>14600</v>
      </c>
      <c r="N28" s="833"/>
      <c r="O28" s="834"/>
      <c r="P28" s="835"/>
      <c r="Q28" s="223">
        <f t="shared" si="6"/>
        <v>700</v>
      </c>
      <c r="R28" s="56"/>
      <c r="S28" s="1005"/>
      <c r="T28" s="874" t="str">
        <f>+B28</f>
        <v>Otras Instituciones de las FFAA, Orden y Seguridad</v>
      </c>
      <c r="U28" s="1011"/>
      <c r="V28" s="1012"/>
      <c r="W28" s="1013"/>
      <c r="X28" s="224">
        <v>74</v>
      </c>
      <c r="Y28" s="917">
        <f t="shared" si="10"/>
        <v>74</v>
      </c>
    </row>
    <row r="29" spans="1:27" ht="15.75" thickBot="1" x14ac:dyDescent="0.3">
      <c r="A29" s="1018"/>
      <c r="B29" s="486" t="s">
        <v>243</v>
      </c>
      <c r="C29" s="1031"/>
      <c r="D29" s="1032"/>
      <c r="E29" s="1033"/>
      <c r="F29" s="843">
        <v>41900</v>
      </c>
      <c r="G29" s="1021"/>
      <c r="H29" s="1038"/>
      <c r="I29" s="950">
        <v>4.4999999999999998E-2</v>
      </c>
      <c r="J29" s="1031"/>
      <c r="K29" s="1032"/>
      <c r="L29" s="1033"/>
      <c r="M29" s="843">
        <f t="shared" si="2"/>
        <v>43800</v>
      </c>
      <c r="N29" s="836"/>
      <c r="O29" s="837"/>
      <c r="P29" s="847"/>
      <c r="Q29" s="843">
        <f t="shared" si="6"/>
        <v>1900</v>
      </c>
      <c r="R29" s="56"/>
      <c r="S29" s="1040"/>
      <c r="T29" s="875" t="str">
        <f>+B29</f>
        <v>Otras instituciones</v>
      </c>
      <c r="U29" s="1014"/>
      <c r="V29" s="1015"/>
      <c r="W29" s="1016"/>
      <c r="X29" s="79"/>
      <c r="Y29" s="918">
        <f t="shared" si="10"/>
        <v>0</v>
      </c>
    </row>
    <row r="32" spans="1:27" x14ac:dyDescent="0.25">
      <c r="H32" s="669"/>
      <c r="I32" s="669"/>
    </row>
    <row r="33" spans="8:16" x14ac:dyDescent="0.25">
      <c r="H33" s="669"/>
      <c r="I33" s="669"/>
      <c r="K33" s="876"/>
      <c r="L33" s="876"/>
      <c r="M33" s="876"/>
      <c r="N33" s="876"/>
      <c r="O33" s="876"/>
      <c r="P33" s="876"/>
    </row>
    <row r="34" spans="8:16" x14ac:dyDescent="0.25">
      <c r="H34" s="669"/>
      <c r="I34" s="669"/>
      <c r="J34" s="877"/>
    </row>
    <row r="35" spans="8:16" x14ac:dyDescent="0.25">
      <c r="H35" s="669"/>
      <c r="I35" s="669"/>
      <c r="K35" s="876"/>
      <c r="L35" s="876"/>
      <c r="M35" s="876"/>
      <c r="N35" s="876"/>
      <c r="O35" s="876"/>
      <c r="P35" s="876"/>
    </row>
    <row r="36" spans="8:16" x14ac:dyDescent="0.25">
      <c r="H36" s="669"/>
      <c r="I36" s="669"/>
    </row>
    <row r="37" spans="8:16" x14ac:dyDescent="0.25">
      <c r="H37" s="669"/>
      <c r="I37" s="669"/>
    </row>
    <row r="38" spans="8:16" x14ac:dyDescent="0.25">
      <c r="H38" s="669"/>
      <c r="I38" s="669"/>
    </row>
    <row r="39" spans="8:16" x14ac:dyDescent="0.25">
      <c r="H39" s="669"/>
      <c r="I39" s="669"/>
    </row>
    <row r="40" spans="8:16" x14ac:dyDescent="0.25">
      <c r="H40" s="669"/>
      <c r="I40" s="669"/>
    </row>
    <row r="41" spans="8:16" x14ac:dyDescent="0.25">
      <c r="H41" s="669"/>
      <c r="I41" s="669"/>
    </row>
    <row r="42" spans="8:16" x14ac:dyDescent="0.25">
      <c r="H42" s="669"/>
      <c r="I42" s="669"/>
    </row>
    <row r="43" spans="8:16" x14ac:dyDescent="0.25">
      <c r="H43" s="669"/>
      <c r="I43" s="669"/>
    </row>
    <row r="44" spans="8:16" x14ac:dyDescent="0.25">
      <c r="H44" s="669"/>
      <c r="I44" s="669"/>
    </row>
    <row r="45" spans="8:16" x14ac:dyDescent="0.25">
      <c r="H45" s="669"/>
      <c r="I45" s="669"/>
    </row>
    <row r="46" spans="8:16" x14ac:dyDescent="0.25">
      <c r="H46" s="669"/>
      <c r="I46" s="669"/>
    </row>
  </sheetData>
  <sheetProtection algorithmName="SHA-512" hashValue="jxnJAFSU7rzEZJgqxwx4WAwKfZEuNi1zCuv7QQBfli82WRrlypuKeu56YRTfS4MuZLoS9F2HvpfF4lQZ+Qlb1g==" saltValue="qMQlFwskEH9tOgDEOK2thQ==" spinCount="100000" sheet="1" objects="1" scenarios="1"/>
  <mergeCells count="38">
    <mergeCell ref="D5:E5"/>
    <mergeCell ref="F5:G5"/>
    <mergeCell ref="A8:C8"/>
    <mergeCell ref="S8:U8"/>
    <mergeCell ref="A10:A11"/>
    <mergeCell ref="B10:B11"/>
    <mergeCell ref="C10:F10"/>
    <mergeCell ref="G10:I10"/>
    <mergeCell ref="J10:M10"/>
    <mergeCell ref="S10:S11"/>
    <mergeCell ref="T10:T11"/>
    <mergeCell ref="U10:X10"/>
    <mergeCell ref="Y10:Y11"/>
    <mergeCell ref="A12:A20"/>
    <mergeCell ref="S12:S20"/>
    <mergeCell ref="C16:F16"/>
    <mergeCell ref="G16:I20"/>
    <mergeCell ref="J16:M16"/>
    <mergeCell ref="U16:X16"/>
    <mergeCell ref="C17:C20"/>
    <mergeCell ref="J17:J20"/>
    <mergeCell ref="U17:U20"/>
    <mergeCell ref="N10:Q10"/>
    <mergeCell ref="S21:S22"/>
    <mergeCell ref="S23:S24"/>
    <mergeCell ref="U23:U24"/>
    <mergeCell ref="U27:W29"/>
    <mergeCell ref="A25:A26"/>
    <mergeCell ref="S25:S26"/>
    <mergeCell ref="G26:I26"/>
    <mergeCell ref="A27:A29"/>
    <mergeCell ref="C27:E29"/>
    <mergeCell ref="G27:H29"/>
    <mergeCell ref="J27:L29"/>
    <mergeCell ref="S27:S29"/>
    <mergeCell ref="A21:A22"/>
    <mergeCell ref="A23:A24"/>
    <mergeCell ref="C23:C24"/>
  </mergeCells>
  <pageMargins left="0.7" right="0.7" top="0.75" bottom="0.75" header="0.3" footer="0.3"/>
  <pageSetup paperSize="9" orientation="portrait" r:id="rId1"/>
  <ignoredErrors>
    <ignoredError sqref="M2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54CEB-B6C2-4683-94B7-DE233F6A7316}">
  <dimension ref="A1:K22"/>
  <sheetViews>
    <sheetView workbookViewId="0">
      <selection activeCell="R18" sqref="R18"/>
    </sheetView>
  </sheetViews>
  <sheetFormatPr baseColWidth="10" defaultRowHeight="15" x14ac:dyDescent="0.25"/>
  <cols>
    <col min="1" max="1" width="46.28515625" bestFit="1" customWidth="1"/>
    <col min="2" max="2" width="12.5703125" bestFit="1" customWidth="1"/>
    <col min="9" max="11" width="11.85546875" bestFit="1" customWidth="1"/>
  </cols>
  <sheetData>
    <row r="1" spans="1:11" x14ac:dyDescent="0.25">
      <c r="A1" s="928"/>
      <c r="B1" s="928"/>
      <c r="C1" s="928"/>
      <c r="D1" s="928"/>
      <c r="F1" s="929"/>
      <c r="G1" s="929"/>
    </row>
    <row r="2" spans="1:11" x14ac:dyDescent="0.25">
      <c r="A2" s="928"/>
      <c r="B2" s="928"/>
      <c r="C2" s="928"/>
      <c r="D2" s="928"/>
      <c r="F2" s="929"/>
      <c r="G2" s="929"/>
    </row>
    <row r="3" spans="1:11" x14ac:dyDescent="0.25">
      <c r="A3" s="928" t="s">
        <v>22</v>
      </c>
      <c r="B3" s="1094" t="s">
        <v>325</v>
      </c>
      <c r="C3" s="1094"/>
      <c r="D3" s="1094"/>
      <c r="E3" s="1094"/>
      <c r="F3" s="929"/>
      <c r="G3" s="929"/>
    </row>
    <row r="4" spans="1:11" x14ac:dyDescent="0.25">
      <c r="B4" t="s">
        <v>26</v>
      </c>
      <c r="C4" t="s">
        <v>169</v>
      </c>
      <c r="D4" t="s">
        <v>170</v>
      </c>
      <c r="E4" t="s">
        <v>171</v>
      </c>
      <c r="G4">
        <v>1.19</v>
      </c>
    </row>
    <row r="5" spans="1:11" x14ac:dyDescent="0.25">
      <c r="A5" t="s">
        <v>41</v>
      </c>
      <c r="B5" s="928">
        <v>32700</v>
      </c>
      <c r="C5" s="928">
        <v>50200</v>
      </c>
      <c r="D5" s="928">
        <v>68300</v>
      </c>
      <c r="E5" s="928">
        <v>73900</v>
      </c>
      <c r="G5" s="929">
        <f>D5/$G$4</f>
        <v>57394.957983193279</v>
      </c>
      <c r="H5" s="929">
        <f>E5/$G$4</f>
        <v>62100.840336134454</v>
      </c>
      <c r="J5" t="b">
        <f>G5&gt;C5</f>
        <v>1</v>
      </c>
      <c r="K5" t="b">
        <f>H5&gt;C5</f>
        <v>1</v>
      </c>
    </row>
    <row r="6" spans="1:11" x14ac:dyDescent="0.25">
      <c r="A6" t="s">
        <v>42</v>
      </c>
      <c r="B6" s="928">
        <v>32700</v>
      </c>
      <c r="C6" s="928">
        <v>50200</v>
      </c>
      <c r="D6" s="928">
        <v>68300</v>
      </c>
      <c r="E6" s="928">
        <v>73900</v>
      </c>
      <c r="G6" s="929">
        <f t="shared" ref="G6:G19" si="0">D6/$G$4</f>
        <v>57394.957983193279</v>
      </c>
      <c r="H6" s="929">
        <f t="shared" ref="H6:H19" si="1">E6/$G$4</f>
        <v>62100.840336134454</v>
      </c>
      <c r="J6" t="b">
        <f t="shared" ref="J6:J19" si="2">G6&gt;C6</f>
        <v>1</v>
      </c>
      <c r="K6" t="b">
        <f t="shared" ref="K6:K19" si="3">H6&gt;C6</f>
        <v>1</v>
      </c>
    </row>
    <row r="7" spans="1:11" x14ac:dyDescent="0.25">
      <c r="A7" t="s">
        <v>43</v>
      </c>
      <c r="B7" s="928">
        <v>35400</v>
      </c>
      <c r="C7" s="928">
        <v>54400</v>
      </c>
      <c r="D7" s="928">
        <v>73900</v>
      </c>
      <c r="E7" s="928">
        <v>80100</v>
      </c>
      <c r="G7" s="929">
        <f t="shared" si="0"/>
        <v>62100.840336134454</v>
      </c>
      <c r="H7" s="929">
        <f t="shared" si="1"/>
        <v>67310.924369747896</v>
      </c>
      <c r="J7" t="b">
        <f t="shared" si="2"/>
        <v>1</v>
      </c>
      <c r="K7" t="b">
        <f t="shared" si="3"/>
        <v>1</v>
      </c>
    </row>
    <row r="8" spans="1:11" x14ac:dyDescent="0.25">
      <c r="A8" t="s">
        <v>44</v>
      </c>
      <c r="B8" s="928">
        <v>19400</v>
      </c>
      <c r="C8" s="928">
        <v>29700</v>
      </c>
      <c r="D8" s="928">
        <v>40400</v>
      </c>
      <c r="E8" s="928">
        <v>43700</v>
      </c>
      <c r="G8" s="929">
        <f t="shared" si="0"/>
        <v>33949.579831932773</v>
      </c>
      <c r="H8" s="929">
        <f t="shared" si="1"/>
        <v>36722.689075630253</v>
      </c>
      <c r="J8" t="b">
        <f t="shared" si="2"/>
        <v>1</v>
      </c>
      <c r="K8" t="b">
        <f t="shared" si="3"/>
        <v>1</v>
      </c>
    </row>
    <row r="9" spans="1:11" x14ac:dyDescent="0.25">
      <c r="A9" t="s">
        <v>45</v>
      </c>
      <c r="B9" s="928"/>
      <c r="C9" s="928"/>
      <c r="D9" s="928"/>
      <c r="E9" s="928"/>
      <c r="G9" s="929"/>
      <c r="H9" s="929"/>
    </row>
    <row r="10" spans="1:11" x14ac:dyDescent="0.25">
      <c r="A10" t="s">
        <v>41</v>
      </c>
      <c r="B10" s="928"/>
      <c r="C10" s="928">
        <v>15100</v>
      </c>
      <c r="D10" s="928">
        <v>20500</v>
      </c>
      <c r="E10" s="928">
        <v>22200</v>
      </c>
      <c r="G10" s="929">
        <f t="shared" si="0"/>
        <v>17226.89075630252</v>
      </c>
      <c r="H10" s="929">
        <f t="shared" si="1"/>
        <v>18655.462184873952</v>
      </c>
      <c r="J10" t="b">
        <f t="shared" si="2"/>
        <v>1</v>
      </c>
      <c r="K10" t="b">
        <f t="shared" si="3"/>
        <v>1</v>
      </c>
    </row>
    <row r="11" spans="1:11" x14ac:dyDescent="0.25">
      <c r="A11" t="s">
        <v>42</v>
      </c>
      <c r="B11" s="928"/>
      <c r="C11" s="928">
        <v>15100</v>
      </c>
      <c r="D11" s="928">
        <v>20500</v>
      </c>
      <c r="E11" s="928">
        <v>22200</v>
      </c>
      <c r="G11" s="929">
        <f t="shared" si="0"/>
        <v>17226.89075630252</v>
      </c>
      <c r="H11" s="929">
        <f t="shared" si="1"/>
        <v>18655.462184873952</v>
      </c>
      <c r="J11" t="b">
        <f t="shared" si="2"/>
        <v>1</v>
      </c>
      <c r="K11" t="b">
        <f t="shared" si="3"/>
        <v>1</v>
      </c>
    </row>
    <row r="12" spans="1:11" x14ac:dyDescent="0.25">
      <c r="A12" t="s">
        <v>43</v>
      </c>
      <c r="B12" s="928"/>
      <c r="C12" s="928">
        <v>16400</v>
      </c>
      <c r="D12" s="928">
        <v>22200</v>
      </c>
      <c r="E12" s="928">
        <v>24100</v>
      </c>
      <c r="G12" s="929">
        <f t="shared" si="0"/>
        <v>18655.462184873952</v>
      </c>
      <c r="H12" s="929">
        <f t="shared" si="1"/>
        <v>20252.100840336134</v>
      </c>
      <c r="J12" t="b">
        <f t="shared" si="2"/>
        <v>1</v>
      </c>
      <c r="K12" t="b">
        <f t="shared" si="3"/>
        <v>1</v>
      </c>
    </row>
    <row r="13" spans="1:11" x14ac:dyDescent="0.25">
      <c r="A13" t="s">
        <v>44</v>
      </c>
      <c r="B13" s="928"/>
      <c r="C13" s="928">
        <v>9000</v>
      </c>
      <c r="D13" s="928">
        <v>12200</v>
      </c>
      <c r="E13" s="928">
        <v>13200</v>
      </c>
      <c r="G13" s="929">
        <f t="shared" si="0"/>
        <v>10252.100840336136</v>
      </c>
      <c r="H13" s="929">
        <f t="shared" si="1"/>
        <v>11092.436974789916</v>
      </c>
      <c r="J13" t="b">
        <f t="shared" si="2"/>
        <v>1</v>
      </c>
      <c r="K13" t="b">
        <f t="shared" si="3"/>
        <v>1</v>
      </c>
    </row>
    <row r="14" spans="1:11" x14ac:dyDescent="0.25">
      <c r="A14" t="s">
        <v>47</v>
      </c>
      <c r="B14" s="928"/>
      <c r="C14" s="928">
        <v>68000</v>
      </c>
      <c r="D14" s="928">
        <v>92400</v>
      </c>
      <c r="E14" s="928">
        <v>100200</v>
      </c>
      <c r="G14" s="929">
        <f t="shared" si="0"/>
        <v>77647.058823529413</v>
      </c>
      <c r="H14" s="929">
        <f t="shared" si="1"/>
        <v>84201.680672268907</v>
      </c>
      <c r="J14" t="b">
        <f t="shared" si="2"/>
        <v>1</v>
      </c>
      <c r="K14" t="b">
        <f t="shared" si="3"/>
        <v>1</v>
      </c>
    </row>
    <row r="15" spans="1:11" x14ac:dyDescent="0.25">
      <c r="A15" t="s">
        <v>49</v>
      </c>
      <c r="B15" s="928"/>
      <c r="C15" s="928">
        <v>27400</v>
      </c>
      <c r="D15" s="928">
        <v>37300</v>
      </c>
      <c r="E15" s="928">
        <v>40400</v>
      </c>
      <c r="G15" s="929">
        <f t="shared" si="0"/>
        <v>31344.537815126052</v>
      </c>
      <c r="H15" s="929">
        <f t="shared" si="1"/>
        <v>33949.579831932773</v>
      </c>
      <c r="J15" t="b">
        <f t="shared" si="2"/>
        <v>1</v>
      </c>
      <c r="K15" t="b">
        <f t="shared" si="3"/>
        <v>1</v>
      </c>
    </row>
    <row r="16" spans="1:11" x14ac:dyDescent="0.25">
      <c r="A16" t="s">
        <v>241</v>
      </c>
      <c r="B16" s="928"/>
      <c r="C16" s="928">
        <v>55400</v>
      </c>
      <c r="D16" s="928">
        <v>75300</v>
      </c>
      <c r="E16" s="928">
        <v>81600</v>
      </c>
      <c r="G16" s="929">
        <f t="shared" si="0"/>
        <v>63277.310924369747</v>
      </c>
      <c r="H16" s="929">
        <f t="shared" si="1"/>
        <v>68571.42857142858</v>
      </c>
      <c r="J16" t="b">
        <f t="shared" si="2"/>
        <v>1</v>
      </c>
      <c r="K16" t="b">
        <f t="shared" si="3"/>
        <v>1</v>
      </c>
    </row>
    <row r="17" spans="1:11" x14ac:dyDescent="0.25">
      <c r="A17" t="s">
        <v>242</v>
      </c>
      <c r="B17" s="928"/>
      <c r="C17" s="928">
        <v>38900</v>
      </c>
      <c r="D17" s="928">
        <v>52900</v>
      </c>
      <c r="E17" s="928">
        <v>57300</v>
      </c>
      <c r="G17" s="929">
        <f t="shared" si="0"/>
        <v>44453.781512605041</v>
      </c>
      <c r="H17" s="929">
        <f t="shared" si="1"/>
        <v>48151.26050420168</v>
      </c>
      <c r="J17" t="b">
        <f t="shared" si="2"/>
        <v>1</v>
      </c>
      <c r="K17" t="b">
        <f t="shared" si="3"/>
        <v>1</v>
      </c>
    </row>
    <row r="18" spans="1:11" x14ac:dyDescent="0.25">
      <c r="A18" t="s">
        <v>51</v>
      </c>
      <c r="B18" s="928">
        <v>46100</v>
      </c>
      <c r="C18" s="928">
        <v>70800</v>
      </c>
      <c r="D18" s="928">
        <v>101100</v>
      </c>
      <c r="E18" s="928">
        <v>109600</v>
      </c>
      <c r="G18" s="929">
        <f t="shared" si="0"/>
        <v>84957.983193277309</v>
      </c>
      <c r="H18" s="929">
        <f t="shared" si="1"/>
        <v>92100.840336134454</v>
      </c>
      <c r="J18" t="b">
        <f t="shared" si="2"/>
        <v>1</v>
      </c>
      <c r="K18" t="b">
        <f t="shared" si="3"/>
        <v>1</v>
      </c>
    </row>
    <row r="19" spans="1:11" x14ac:dyDescent="0.25">
      <c r="A19" t="s">
        <v>244</v>
      </c>
      <c r="B19" s="928"/>
      <c r="C19" s="928">
        <v>21300</v>
      </c>
      <c r="D19" s="928">
        <v>30400</v>
      </c>
      <c r="E19" s="928">
        <v>32900</v>
      </c>
      <c r="G19" s="929">
        <f t="shared" si="0"/>
        <v>25546.218487394959</v>
      </c>
      <c r="H19" s="929">
        <f t="shared" si="1"/>
        <v>27647.058823529413</v>
      </c>
      <c r="J19" t="b">
        <f t="shared" si="2"/>
        <v>1</v>
      </c>
      <c r="K19" t="b">
        <f t="shared" si="3"/>
        <v>1</v>
      </c>
    </row>
    <row r="20" spans="1:11" x14ac:dyDescent="0.25">
      <c r="A20" t="s">
        <v>53</v>
      </c>
      <c r="B20" s="928"/>
      <c r="C20" s="928"/>
      <c r="D20" s="928"/>
      <c r="E20" s="928">
        <v>2000</v>
      </c>
      <c r="G20" s="929"/>
    </row>
    <row r="21" spans="1:11" x14ac:dyDescent="0.25">
      <c r="A21" t="s">
        <v>54</v>
      </c>
      <c r="B21" s="928"/>
      <c r="C21" s="928"/>
      <c r="D21" s="928"/>
      <c r="E21" s="928">
        <v>14600</v>
      </c>
      <c r="G21" s="929"/>
    </row>
    <row r="22" spans="1:11" x14ac:dyDescent="0.25">
      <c r="A22" t="s">
        <v>243</v>
      </c>
      <c r="B22" s="928"/>
      <c r="C22" s="928"/>
      <c r="D22" s="928"/>
      <c r="E22" s="928">
        <v>43800</v>
      </c>
      <c r="G22" s="929"/>
    </row>
  </sheetData>
  <mergeCells count="1">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EDAC3-C7D0-48AC-94E1-D5671AD42C0A}">
  <dimension ref="B2:M22"/>
  <sheetViews>
    <sheetView workbookViewId="0">
      <selection activeCell="O28" sqref="O28"/>
    </sheetView>
  </sheetViews>
  <sheetFormatPr baseColWidth="10" defaultColWidth="11.42578125" defaultRowHeight="15" x14ac:dyDescent="0.25"/>
  <cols>
    <col min="1" max="1" width="11.42578125" style="179"/>
    <col min="2" max="2" width="27" style="179" bestFit="1" customWidth="1"/>
    <col min="3" max="3" width="46.28515625" style="179" bestFit="1" customWidth="1"/>
    <col min="4" max="16384" width="11.42578125" style="179"/>
  </cols>
  <sheetData>
    <row r="2" spans="2:13" ht="15.75" thickBot="1" x14ac:dyDescent="0.3"/>
    <row r="3" spans="2:13" ht="15.75" x14ac:dyDescent="0.25">
      <c r="B3" s="1106" t="s">
        <v>4</v>
      </c>
      <c r="C3" s="1108" t="s">
        <v>22</v>
      </c>
      <c r="D3" s="1110" t="s">
        <v>293</v>
      </c>
      <c r="E3" s="1111"/>
      <c r="F3" s="1111"/>
      <c r="G3" s="1112"/>
      <c r="H3" s="831">
        <v>1.19</v>
      </c>
      <c r="I3" s="831">
        <v>1.2</v>
      </c>
      <c r="J3" s="831">
        <v>1.3</v>
      </c>
    </row>
    <row r="4" spans="2:13" ht="26.25" thickBot="1" x14ac:dyDescent="0.3">
      <c r="B4" s="1107"/>
      <c r="C4" s="1109"/>
      <c r="D4" s="640" t="s">
        <v>39</v>
      </c>
      <c r="E4" s="641" t="s">
        <v>27</v>
      </c>
      <c r="F4" s="641" t="s">
        <v>28</v>
      </c>
      <c r="G4" s="642" t="s">
        <v>29</v>
      </c>
      <c r="I4" s="641" t="s">
        <v>28</v>
      </c>
      <c r="J4" s="642" t="s">
        <v>29</v>
      </c>
    </row>
    <row r="5" spans="2:13" x14ac:dyDescent="0.25">
      <c r="B5" s="1100" t="s">
        <v>40</v>
      </c>
      <c r="C5" s="70" t="s">
        <v>41</v>
      </c>
      <c r="D5" s="575">
        <v>29800</v>
      </c>
      <c r="E5" s="54">
        <v>45700</v>
      </c>
      <c r="F5" s="54">
        <v>52500</v>
      </c>
      <c r="G5" s="55">
        <v>72600</v>
      </c>
      <c r="I5" s="421">
        <f>+E5*$H$3*$I$3</f>
        <v>65259.6</v>
      </c>
      <c r="J5" s="421">
        <f>+E5*$H$3*$J$3</f>
        <v>70697.900000000009</v>
      </c>
      <c r="L5" s="832">
        <f>(I5-F5)/F5</f>
        <v>0.24303999999999998</v>
      </c>
      <c r="M5" s="832">
        <f>(J5-G5)/G5</f>
        <v>-2.6199724517906215E-2</v>
      </c>
    </row>
    <row r="6" spans="2:13" x14ac:dyDescent="0.25">
      <c r="B6" s="1113"/>
      <c r="C6" s="578" t="s">
        <v>42</v>
      </c>
      <c r="D6" s="576">
        <v>29800</v>
      </c>
      <c r="E6" s="60">
        <v>45700</v>
      </c>
      <c r="F6" s="60">
        <v>52500</v>
      </c>
      <c r="G6" s="61">
        <v>72600</v>
      </c>
      <c r="I6" s="421">
        <f t="shared" ref="I6:I19" si="0">+E6*$H$3*$I$3</f>
        <v>65259.6</v>
      </c>
      <c r="J6" s="421">
        <f t="shared" ref="J6:J19" si="1">+E6*$H$3*$J$3</f>
        <v>70697.900000000009</v>
      </c>
      <c r="L6" s="832">
        <f t="shared" ref="L6:L19" si="2">(I6-F6)/F6</f>
        <v>0.24303999999999998</v>
      </c>
      <c r="M6" s="832">
        <f t="shared" ref="M6:M19" si="3">(J6-G6)/G6</f>
        <v>-2.6199724517906215E-2</v>
      </c>
    </row>
    <row r="7" spans="2:13" x14ac:dyDescent="0.25">
      <c r="B7" s="1113"/>
      <c r="C7" s="578" t="s">
        <v>43</v>
      </c>
      <c r="D7" s="576">
        <v>32200</v>
      </c>
      <c r="E7" s="60">
        <v>49500</v>
      </c>
      <c r="F7" s="60">
        <v>57200</v>
      </c>
      <c r="G7" s="61">
        <v>78500</v>
      </c>
      <c r="I7" s="421">
        <f t="shared" si="0"/>
        <v>70686</v>
      </c>
      <c r="J7" s="421">
        <f t="shared" si="1"/>
        <v>76576.5</v>
      </c>
      <c r="L7" s="832">
        <f t="shared" si="2"/>
        <v>0.23576923076923076</v>
      </c>
      <c r="M7" s="832">
        <f t="shared" si="3"/>
        <v>-2.4503184713375797E-2</v>
      </c>
    </row>
    <row r="8" spans="2:13" x14ac:dyDescent="0.25">
      <c r="B8" s="1113"/>
      <c r="C8" s="578" t="s">
        <v>44</v>
      </c>
      <c r="D8" s="576">
        <v>17600</v>
      </c>
      <c r="E8" s="60">
        <v>27000</v>
      </c>
      <c r="F8" s="60">
        <v>31300</v>
      </c>
      <c r="G8" s="61">
        <v>44500</v>
      </c>
      <c r="I8" s="421">
        <f t="shared" si="0"/>
        <v>38556</v>
      </c>
      <c r="J8" s="421">
        <f t="shared" si="1"/>
        <v>41769</v>
      </c>
      <c r="L8" s="832">
        <f t="shared" si="2"/>
        <v>0.23182108626198084</v>
      </c>
      <c r="M8" s="832">
        <f t="shared" si="3"/>
        <v>-6.1370786516853931E-2</v>
      </c>
    </row>
    <row r="9" spans="2:13" x14ac:dyDescent="0.25">
      <c r="B9" s="1113"/>
      <c r="C9" s="579" t="s">
        <v>45</v>
      </c>
      <c r="D9" s="1050"/>
      <c r="E9" s="1114"/>
      <c r="F9" s="1114"/>
      <c r="G9" s="1115"/>
      <c r="I9" s="421">
        <f t="shared" si="0"/>
        <v>0</v>
      </c>
      <c r="J9" s="421">
        <f t="shared" si="1"/>
        <v>0</v>
      </c>
      <c r="L9" s="832"/>
      <c r="M9" s="832"/>
    </row>
    <row r="10" spans="2:13" x14ac:dyDescent="0.25">
      <c r="B10" s="1113"/>
      <c r="C10" s="580" t="s">
        <v>41</v>
      </c>
      <c r="D10" s="1116"/>
      <c r="E10" s="60">
        <v>13800</v>
      </c>
      <c r="F10" s="60">
        <v>15800</v>
      </c>
      <c r="G10" s="61">
        <v>21800</v>
      </c>
      <c r="I10" s="421">
        <f t="shared" si="0"/>
        <v>19706.399999999998</v>
      </c>
      <c r="J10" s="421">
        <f t="shared" si="1"/>
        <v>21348.600000000002</v>
      </c>
      <c r="L10" s="832">
        <f t="shared" si="2"/>
        <v>0.24724050632911379</v>
      </c>
      <c r="M10" s="832">
        <f t="shared" si="3"/>
        <v>-2.0706422018348523E-2</v>
      </c>
    </row>
    <row r="11" spans="2:13" x14ac:dyDescent="0.25">
      <c r="B11" s="1113"/>
      <c r="C11" s="580" t="s">
        <v>42</v>
      </c>
      <c r="D11" s="1030"/>
      <c r="E11" s="60">
        <v>13800</v>
      </c>
      <c r="F11" s="60">
        <v>15800</v>
      </c>
      <c r="G11" s="61">
        <v>21800</v>
      </c>
      <c r="I11" s="421">
        <f t="shared" si="0"/>
        <v>19706.399999999998</v>
      </c>
      <c r="J11" s="421">
        <f t="shared" si="1"/>
        <v>21348.600000000002</v>
      </c>
      <c r="L11" s="832">
        <f t="shared" si="2"/>
        <v>0.24724050632911379</v>
      </c>
      <c r="M11" s="832">
        <f t="shared" si="3"/>
        <v>-2.0706422018348523E-2</v>
      </c>
    </row>
    <row r="12" spans="2:13" x14ac:dyDescent="0.25">
      <c r="B12" s="1113"/>
      <c r="C12" s="580" t="s">
        <v>43</v>
      </c>
      <c r="D12" s="1030"/>
      <c r="E12" s="60">
        <v>14900</v>
      </c>
      <c r="F12" s="60">
        <v>17200</v>
      </c>
      <c r="G12" s="61">
        <v>23600</v>
      </c>
      <c r="I12" s="421">
        <f t="shared" si="0"/>
        <v>21277.200000000001</v>
      </c>
      <c r="J12" s="421">
        <f t="shared" si="1"/>
        <v>23050.3</v>
      </c>
      <c r="L12" s="832">
        <f t="shared" si="2"/>
        <v>0.23704651162790702</v>
      </c>
      <c r="M12" s="832">
        <f t="shared" si="3"/>
        <v>-2.3292372881355963E-2</v>
      </c>
    </row>
    <row r="13" spans="2:13" ht="15.75" thickBot="1" x14ac:dyDescent="0.3">
      <c r="B13" s="1099"/>
      <c r="C13" s="581" t="s">
        <v>44</v>
      </c>
      <c r="D13" s="1033"/>
      <c r="E13" s="66">
        <v>8100</v>
      </c>
      <c r="F13" s="66">
        <v>9400</v>
      </c>
      <c r="G13" s="67">
        <v>13400</v>
      </c>
      <c r="I13" s="421">
        <f t="shared" si="0"/>
        <v>11566.8</v>
      </c>
      <c r="J13" s="421">
        <f t="shared" si="1"/>
        <v>12530.7</v>
      </c>
      <c r="L13" s="832">
        <f t="shared" si="2"/>
        <v>0.23051063829787227</v>
      </c>
      <c r="M13" s="832">
        <f t="shared" si="3"/>
        <v>-6.4873134328358159E-2</v>
      </c>
    </row>
    <row r="14" spans="2:13" x14ac:dyDescent="0.25">
      <c r="B14" s="1095" t="s">
        <v>46</v>
      </c>
      <c r="C14" s="577" t="s">
        <v>47</v>
      </c>
      <c r="D14" s="493"/>
      <c r="E14" s="71">
        <v>61900</v>
      </c>
      <c r="F14" s="71">
        <v>73200</v>
      </c>
      <c r="G14" s="72">
        <v>92600</v>
      </c>
      <c r="I14" s="421">
        <f t="shared" si="0"/>
        <v>88393.2</v>
      </c>
      <c r="J14" s="421">
        <f t="shared" si="1"/>
        <v>95759.3</v>
      </c>
      <c r="L14" s="832">
        <f t="shared" si="2"/>
        <v>0.20755737704918029</v>
      </c>
      <c r="M14" s="832">
        <f t="shared" si="3"/>
        <v>3.4117710583153382E-2</v>
      </c>
    </row>
    <row r="15" spans="2:13" ht="15.75" thickBot="1" x14ac:dyDescent="0.3">
      <c r="B15" s="1096"/>
      <c r="C15" s="484" t="s">
        <v>49</v>
      </c>
      <c r="D15" s="494"/>
      <c r="E15" s="487">
        <v>24900</v>
      </c>
      <c r="F15" s="487">
        <v>31200</v>
      </c>
      <c r="G15" s="488">
        <v>41700</v>
      </c>
      <c r="I15" s="421">
        <f t="shared" si="0"/>
        <v>35557.199999999997</v>
      </c>
      <c r="J15" s="421">
        <f t="shared" si="1"/>
        <v>38520.300000000003</v>
      </c>
      <c r="L15" s="832">
        <f t="shared" si="2"/>
        <v>0.13965384615384607</v>
      </c>
      <c r="M15" s="832">
        <f t="shared" si="3"/>
        <v>-7.625179856115101E-2</v>
      </c>
    </row>
    <row r="16" spans="2:13" x14ac:dyDescent="0.25">
      <c r="B16" s="1095" t="s">
        <v>241</v>
      </c>
      <c r="C16" s="485" t="s">
        <v>241</v>
      </c>
      <c r="D16" s="1043"/>
      <c r="E16" s="586">
        <v>50400</v>
      </c>
      <c r="F16" s="489">
        <v>69700</v>
      </c>
      <c r="G16" s="490">
        <v>92800</v>
      </c>
      <c r="I16" s="421">
        <f t="shared" si="0"/>
        <v>71971.199999999997</v>
      </c>
      <c r="J16" s="421">
        <f t="shared" si="1"/>
        <v>77968.800000000003</v>
      </c>
      <c r="L16" s="832">
        <f t="shared" si="2"/>
        <v>3.2585365853658496E-2</v>
      </c>
      <c r="M16" s="832">
        <f t="shared" si="3"/>
        <v>-0.15981896551724134</v>
      </c>
    </row>
    <row r="17" spans="2:13" ht="15.75" thickBot="1" x14ac:dyDescent="0.3">
      <c r="B17" s="1097"/>
      <c r="C17" s="486" t="s">
        <v>242</v>
      </c>
      <c r="D17" s="1044"/>
      <c r="E17" s="587">
        <v>35400</v>
      </c>
      <c r="F17" s="491">
        <v>48800</v>
      </c>
      <c r="G17" s="492">
        <v>65000</v>
      </c>
      <c r="I17" s="421">
        <f t="shared" si="0"/>
        <v>50551.199999999997</v>
      </c>
      <c r="J17" s="421">
        <f t="shared" si="1"/>
        <v>54763.8</v>
      </c>
      <c r="L17" s="832">
        <f t="shared" si="2"/>
        <v>3.5885245901639287E-2</v>
      </c>
      <c r="M17" s="832">
        <f t="shared" si="3"/>
        <v>-0.15747999999999995</v>
      </c>
    </row>
    <row r="18" spans="2:13" x14ac:dyDescent="0.25">
      <c r="B18" s="1098" t="s">
        <v>50</v>
      </c>
      <c r="C18" s="70" t="s">
        <v>51</v>
      </c>
      <c r="D18" s="73">
        <v>38300</v>
      </c>
      <c r="E18" s="74">
        <v>58800</v>
      </c>
      <c r="F18" s="74">
        <v>62900</v>
      </c>
      <c r="G18" s="75">
        <v>93600</v>
      </c>
      <c r="I18" s="421">
        <f t="shared" si="0"/>
        <v>83966.399999999994</v>
      </c>
      <c r="J18" s="421">
        <f t="shared" si="1"/>
        <v>90963.6</v>
      </c>
      <c r="L18" s="832">
        <f t="shared" si="2"/>
        <v>0.33491891891891884</v>
      </c>
      <c r="M18" s="832">
        <f t="shared" si="3"/>
        <v>-2.8166666666666604E-2</v>
      </c>
    </row>
    <row r="19" spans="2:13" ht="15.75" thickBot="1" x14ac:dyDescent="0.3">
      <c r="B19" s="1099"/>
      <c r="C19" s="65" t="s">
        <v>244</v>
      </c>
      <c r="D19" s="76"/>
      <c r="E19" s="66">
        <v>17700</v>
      </c>
      <c r="F19" s="66">
        <v>18900</v>
      </c>
      <c r="G19" s="67">
        <v>28100</v>
      </c>
      <c r="I19" s="421">
        <f t="shared" si="0"/>
        <v>25275.599999999999</v>
      </c>
      <c r="J19" s="421">
        <f t="shared" si="1"/>
        <v>27381.9</v>
      </c>
      <c r="L19" s="832">
        <f t="shared" si="2"/>
        <v>0.33733333333333326</v>
      </c>
      <c r="M19" s="832">
        <f t="shared" si="3"/>
        <v>-2.5555160142348703E-2</v>
      </c>
    </row>
    <row r="20" spans="2:13" x14ac:dyDescent="0.25">
      <c r="B20" s="1100" t="s">
        <v>52</v>
      </c>
      <c r="C20" s="53" t="s">
        <v>53</v>
      </c>
      <c r="D20" s="1102"/>
      <c r="E20" s="1103"/>
      <c r="F20" s="1104"/>
      <c r="G20" s="72">
        <v>1800</v>
      </c>
      <c r="I20" s="421"/>
      <c r="J20" s="421"/>
      <c r="L20" s="832"/>
      <c r="M20" s="832"/>
    </row>
    <row r="21" spans="2:13" x14ac:dyDescent="0.25">
      <c r="B21" s="1101"/>
      <c r="C21" s="221" t="s">
        <v>54</v>
      </c>
      <c r="D21" s="1028"/>
      <c r="E21" s="1029"/>
      <c r="F21" s="1030"/>
      <c r="G21" s="222">
        <v>13200</v>
      </c>
      <c r="I21" s="421"/>
      <c r="J21" s="421"/>
      <c r="L21" s="832"/>
      <c r="M21" s="832"/>
    </row>
    <row r="22" spans="2:13" ht="15.75" thickBot="1" x14ac:dyDescent="0.3">
      <c r="B22" s="1099"/>
      <c r="C22" s="78" t="s">
        <v>243</v>
      </c>
      <c r="D22" s="1031"/>
      <c r="E22" s="1032"/>
      <c r="F22" s="1105"/>
      <c r="G22" s="67">
        <v>39900</v>
      </c>
      <c r="I22" s="421"/>
      <c r="J22" s="421"/>
      <c r="L22" s="832"/>
      <c r="M22" s="832"/>
    </row>
  </sheetData>
  <mergeCells count="12">
    <mergeCell ref="B3:B4"/>
    <mergeCell ref="C3:C4"/>
    <mergeCell ref="D3:G3"/>
    <mergeCell ref="B5:B13"/>
    <mergeCell ref="D9:G9"/>
    <mergeCell ref="D10:D13"/>
    <mergeCell ref="B14:B15"/>
    <mergeCell ref="B16:B17"/>
    <mergeCell ref="D16:D17"/>
    <mergeCell ref="B18:B19"/>
    <mergeCell ref="B20:B22"/>
    <mergeCell ref="D20: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I366"/>
  <sheetViews>
    <sheetView showGridLines="0" topLeftCell="A321" zoomScale="80" zoomScaleNormal="80" workbookViewId="0">
      <selection activeCell="H366" sqref="H366"/>
    </sheetView>
  </sheetViews>
  <sheetFormatPr baseColWidth="10" defaultRowHeight="15" x14ac:dyDescent="0.25"/>
  <cols>
    <col min="1" max="1" width="30.85546875" style="44" customWidth="1"/>
    <col min="2" max="2" width="21.140625" style="44" customWidth="1"/>
    <col min="3" max="3" width="57.42578125" style="44" bestFit="1" customWidth="1"/>
    <col min="4" max="4" width="18.5703125" style="44" customWidth="1"/>
    <col min="5" max="5" width="18.28515625" style="44" bestFit="1" customWidth="1"/>
    <col min="6" max="6" width="14.42578125" style="80" customWidth="1"/>
    <col min="7" max="7" width="16.28515625" style="34" bestFit="1" customWidth="1"/>
    <col min="8" max="8" width="41.85546875" style="34" bestFit="1" customWidth="1"/>
    <col min="9" max="9" width="119.140625" style="137" bestFit="1" customWidth="1"/>
  </cols>
  <sheetData>
    <row r="1" spans="1:9" x14ac:dyDescent="0.25">
      <c r="C1" s="46"/>
      <c r="D1" s="46"/>
      <c r="F1" s="46"/>
      <c r="G1" s="46"/>
      <c r="H1" s="46"/>
    </row>
    <row r="2" spans="1:9" x14ac:dyDescent="0.25">
      <c r="C2" s="46"/>
      <c r="D2" s="46" t="s">
        <v>55</v>
      </c>
      <c r="F2" s="46"/>
      <c r="G2" s="46"/>
      <c r="H2" s="46"/>
    </row>
    <row r="3" spans="1:9" x14ac:dyDescent="0.25">
      <c r="C3" s="46"/>
      <c r="F3" s="46"/>
      <c r="G3" s="46"/>
      <c r="H3" s="46"/>
    </row>
    <row r="4" spans="1:9" ht="15.75" x14ac:dyDescent="0.25">
      <c r="C4" s="50" t="s">
        <v>1</v>
      </c>
      <c r="D4" s="1137" t="s">
        <v>2</v>
      </c>
      <c r="E4" s="1138"/>
      <c r="F4" s="46"/>
      <c r="G4" s="46"/>
      <c r="H4" s="46"/>
    </row>
    <row r="5" spans="1:9" x14ac:dyDescent="0.25">
      <c r="B5" s="46"/>
      <c r="C5" s="46"/>
      <c r="D5" s="46"/>
      <c r="E5" s="46"/>
      <c r="F5" s="46"/>
      <c r="G5" s="46"/>
      <c r="H5" s="46"/>
    </row>
    <row r="6" spans="1:9" x14ac:dyDescent="0.25">
      <c r="B6" s="46"/>
      <c r="C6" s="46"/>
      <c r="D6" s="46"/>
      <c r="E6" s="46"/>
      <c r="F6" s="46"/>
      <c r="G6" s="46"/>
      <c r="H6" s="46"/>
    </row>
    <row r="7" spans="1:9" x14ac:dyDescent="0.25">
      <c r="A7" s="1139" t="s">
        <v>56</v>
      </c>
      <c r="B7" s="1139"/>
      <c r="C7" s="1139"/>
      <c r="D7" s="46"/>
      <c r="G7" s="44"/>
    </row>
    <row r="9" spans="1:9" x14ac:dyDescent="0.25">
      <c r="A9" s="1140" t="s">
        <v>21</v>
      </c>
      <c r="B9" s="1141" t="s">
        <v>57</v>
      </c>
      <c r="C9" s="1142" t="s">
        <v>58</v>
      </c>
      <c r="D9" s="1143" t="s">
        <v>59</v>
      </c>
      <c r="E9" s="1144" t="s">
        <v>60</v>
      </c>
      <c r="F9" s="1145"/>
      <c r="G9" s="1146"/>
      <c r="H9" s="1135" t="s">
        <v>328</v>
      </c>
      <c r="I9" s="1136" t="s">
        <v>61</v>
      </c>
    </row>
    <row r="10" spans="1:9" ht="25.5" x14ac:dyDescent="0.25">
      <c r="A10" s="1124"/>
      <c r="B10" s="1126"/>
      <c r="C10" s="1128"/>
      <c r="D10" s="1130"/>
      <c r="E10" s="81" t="s">
        <v>62</v>
      </c>
      <c r="F10" s="82" t="s">
        <v>63</v>
      </c>
      <c r="G10" s="83" t="s">
        <v>64</v>
      </c>
      <c r="H10" s="1121"/>
      <c r="I10" s="1136"/>
    </row>
    <row r="11" spans="1:9" x14ac:dyDescent="0.25">
      <c r="A11" s="1134" t="str">
        <f>+'B) Reajuste Tarifas y Ocupación'!A12</f>
        <v>Casa de Huespedes</v>
      </c>
      <c r="B11" s="84"/>
      <c r="C11" s="85" t="s">
        <v>65</v>
      </c>
      <c r="D11" s="86">
        <f>SUM(D12,D17,D19)</f>
        <v>6014925.8799999999</v>
      </c>
      <c r="E11" s="87"/>
      <c r="F11" s="87"/>
      <c r="G11" s="88">
        <f>SUM(G12,G17,G19)</f>
        <v>0</v>
      </c>
      <c r="H11" s="89">
        <f>SUM(H12,H17,H19)</f>
        <v>6014925.8799999999</v>
      </c>
      <c r="I11" s="112"/>
    </row>
    <row r="12" spans="1:9" x14ac:dyDescent="0.25">
      <c r="A12" s="1118"/>
      <c r="B12" s="90"/>
      <c r="C12" s="91" t="s">
        <v>66</v>
      </c>
      <c r="D12" s="92">
        <f>SUM(D13:D16)</f>
        <v>3403761.88</v>
      </c>
      <c r="E12" s="93"/>
      <c r="F12" s="93"/>
      <c r="G12" s="94">
        <f>SUM(G13:G16)</f>
        <v>0</v>
      </c>
      <c r="H12" s="95">
        <f>SUM(H13:H16)</f>
        <v>3403761.88</v>
      </c>
      <c r="I12" s="112"/>
    </row>
    <row r="13" spans="1:9" x14ac:dyDescent="0.25">
      <c r="A13" s="1118"/>
      <c r="B13" s="96">
        <v>53103040100000</v>
      </c>
      <c r="C13" s="97" t="s">
        <v>67</v>
      </c>
      <c r="D13" s="98">
        <f>+'F) Remuneraciones'!M11</f>
        <v>3403761.88</v>
      </c>
      <c r="E13" s="99"/>
      <c r="F13" s="99"/>
      <c r="G13" s="100"/>
      <c r="H13" s="101">
        <f>D13+G13</f>
        <v>3403761.88</v>
      </c>
      <c r="I13" s="112"/>
    </row>
    <row r="14" spans="1:9" x14ac:dyDescent="0.25">
      <c r="A14" s="1118"/>
      <c r="B14" s="96">
        <v>53103050000000</v>
      </c>
      <c r="C14" s="97" t="s">
        <v>68</v>
      </c>
      <c r="D14" s="102"/>
      <c r="E14" s="103"/>
      <c r="F14" s="104"/>
      <c r="G14" s="105">
        <f>E14*F14</f>
        <v>0</v>
      </c>
      <c r="H14" s="106">
        <f>D14+G14</f>
        <v>0</v>
      </c>
      <c r="I14" s="112"/>
    </row>
    <row r="15" spans="1:9" x14ac:dyDescent="0.25">
      <c r="A15" s="1118"/>
      <c r="B15" s="96">
        <v>53103060000000</v>
      </c>
      <c r="C15" s="97" t="s">
        <v>69</v>
      </c>
      <c r="D15" s="107"/>
      <c r="E15" s="108"/>
      <c r="F15" s="109"/>
      <c r="G15" s="110">
        <f>E15*F15</f>
        <v>0</v>
      </c>
      <c r="H15" s="111">
        <f>D15+G15</f>
        <v>0</v>
      </c>
      <c r="I15" s="112"/>
    </row>
    <row r="16" spans="1:9" x14ac:dyDescent="0.25">
      <c r="A16" s="1118"/>
      <c r="B16" s="96">
        <v>53103080010000</v>
      </c>
      <c r="C16" s="97" t="s">
        <v>70</v>
      </c>
      <c r="D16" s="336"/>
      <c r="E16" s="108"/>
      <c r="F16" s="109"/>
      <c r="G16" s="110">
        <f>E16*F16</f>
        <v>0</v>
      </c>
      <c r="H16" s="111">
        <f>D16+G16</f>
        <v>0</v>
      </c>
      <c r="I16" s="112"/>
    </row>
    <row r="17" spans="1:9" x14ac:dyDescent="0.25">
      <c r="A17" s="1118"/>
      <c r="B17" s="90"/>
      <c r="C17" s="91" t="s">
        <v>71</v>
      </c>
      <c r="D17" s="92">
        <f>SUM(D18)</f>
        <v>0</v>
      </c>
      <c r="E17" s="113"/>
      <c r="F17" s="113"/>
      <c r="G17" s="114">
        <f>SUM(G18:G18)</f>
        <v>0</v>
      </c>
      <c r="H17" s="115">
        <f>SUM(H18:H18)</f>
        <v>0</v>
      </c>
      <c r="I17" s="112"/>
    </row>
    <row r="18" spans="1:9" x14ac:dyDescent="0.25">
      <c r="A18" s="1118"/>
      <c r="B18" s="96">
        <v>55201010100001</v>
      </c>
      <c r="C18" s="97" t="s">
        <v>72</v>
      </c>
      <c r="D18" s="107"/>
      <c r="E18" s="108"/>
      <c r="F18" s="109"/>
      <c r="G18" s="110">
        <f>E18*F18</f>
        <v>0</v>
      </c>
      <c r="H18" s="111">
        <f>D18+G18</f>
        <v>0</v>
      </c>
      <c r="I18" s="112"/>
    </row>
    <row r="19" spans="1:9" x14ac:dyDescent="0.25">
      <c r="A19" s="1118"/>
      <c r="B19" s="90"/>
      <c r="C19" s="91" t="s">
        <v>73</v>
      </c>
      <c r="D19" s="92">
        <f>SUM(D20:D38)</f>
        <v>2611164</v>
      </c>
      <c r="E19" s="113"/>
      <c r="F19" s="113"/>
      <c r="G19" s="116">
        <f>SUM(G20:G38)</f>
        <v>0</v>
      </c>
      <c r="H19" s="115">
        <f>SUM(H20:H38)</f>
        <v>2611164</v>
      </c>
      <c r="I19" s="112"/>
    </row>
    <row r="20" spans="1:9" x14ac:dyDescent="0.25">
      <c r="A20" s="1118"/>
      <c r="B20" s="96">
        <v>53201010100000</v>
      </c>
      <c r="C20" s="97" t="s">
        <v>74</v>
      </c>
      <c r="D20" s="107"/>
      <c r="E20" s="108"/>
      <c r="F20" s="109"/>
      <c r="G20" s="110">
        <f t="shared" ref="G20:G38" si="0">E20*F20</f>
        <v>0</v>
      </c>
      <c r="H20" s="111">
        <f t="shared" ref="H20:H38" si="1">D20+G20</f>
        <v>0</v>
      </c>
      <c r="I20" s="112"/>
    </row>
    <row r="21" spans="1:9" x14ac:dyDescent="0.25">
      <c r="A21" s="1118"/>
      <c r="B21" s="96">
        <v>53202010100000</v>
      </c>
      <c r="C21" s="97" t="s">
        <v>75</v>
      </c>
      <c r="D21" s="107">
        <v>787500</v>
      </c>
      <c r="E21" s="108"/>
      <c r="F21" s="109"/>
      <c r="G21" s="110">
        <f t="shared" si="0"/>
        <v>0</v>
      </c>
      <c r="H21" s="111">
        <f t="shared" si="1"/>
        <v>787500</v>
      </c>
      <c r="I21" s="112"/>
    </row>
    <row r="22" spans="1:9" x14ac:dyDescent="0.25">
      <c r="A22" s="1118"/>
      <c r="B22" s="96">
        <v>53203010100000</v>
      </c>
      <c r="C22" s="97" t="s">
        <v>76</v>
      </c>
      <c r="D22" s="117"/>
      <c r="E22" s="118"/>
      <c r="F22" s="119"/>
      <c r="G22" s="110">
        <f t="shared" si="0"/>
        <v>0</v>
      </c>
      <c r="H22" s="111">
        <f t="shared" si="1"/>
        <v>0</v>
      </c>
      <c r="I22" s="112"/>
    </row>
    <row r="23" spans="1:9" x14ac:dyDescent="0.25">
      <c r="A23" s="1118"/>
      <c r="B23" s="96">
        <v>53203030000000</v>
      </c>
      <c r="C23" s="97" t="s">
        <v>77</v>
      </c>
      <c r="D23" s="117"/>
      <c r="E23" s="118"/>
      <c r="F23" s="119"/>
      <c r="G23" s="110">
        <f t="shared" si="0"/>
        <v>0</v>
      </c>
      <c r="H23" s="111">
        <f t="shared" si="1"/>
        <v>0</v>
      </c>
      <c r="I23" s="643"/>
    </row>
    <row r="24" spans="1:9" x14ac:dyDescent="0.25">
      <c r="A24" s="1118"/>
      <c r="B24" s="96">
        <v>53204030000000</v>
      </c>
      <c r="C24" s="97" t="s">
        <v>78</v>
      </c>
      <c r="D24" s="117"/>
      <c r="E24" s="118"/>
      <c r="F24" s="119"/>
      <c r="G24" s="110">
        <f t="shared" si="0"/>
        <v>0</v>
      </c>
      <c r="H24" s="111">
        <f t="shared" si="1"/>
        <v>0</v>
      </c>
      <c r="I24" s="112"/>
    </row>
    <row r="25" spans="1:9" x14ac:dyDescent="0.25">
      <c r="A25" s="1118"/>
      <c r="B25" s="96">
        <v>53204100100001</v>
      </c>
      <c r="C25" s="97" t="s">
        <v>79</v>
      </c>
      <c r="D25" s="650"/>
      <c r="E25" s="118"/>
      <c r="F25" s="119"/>
      <c r="G25" s="110">
        <f t="shared" si="0"/>
        <v>0</v>
      </c>
      <c r="H25" s="111">
        <f t="shared" si="1"/>
        <v>0</v>
      </c>
      <c r="I25" s="643"/>
    </row>
    <row r="26" spans="1:9" x14ac:dyDescent="0.25">
      <c r="A26" s="1118"/>
      <c r="B26" s="96">
        <v>53204130100000</v>
      </c>
      <c r="C26" s="120" t="s">
        <v>80</v>
      </c>
      <c r="D26" s="117"/>
      <c r="E26" s="118"/>
      <c r="F26" s="119"/>
      <c r="G26" s="110">
        <f t="shared" si="0"/>
        <v>0</v>
      </c>
      <c r="H26" s="111">
        <f t="shared" si="1"/>
        <v>0</v>
      </c>
      <c r="I26" s="643"/>
    </row>
    <row r="27" spans="1:9" x14ac:dyDescent="0.25">
      <c r="A27" s="1118"/>
      <c r="B27" s="96">
        <v>53205010100000</v>
      </c>
      <c r="C27" s="120" t="s">
        <v>81</v>
      </c>
      <c r="D27" s="650">
        <v>110491</v>
      </c>
      <c r="E27" s="118"/>
      <c r="F27" s="119"/>
      <c r="G27" s="110">
        <f t="shared" si="0"/>
        <v>0</v>
      </c>
      <c r="H27" s="111">
        <f t="shared" si="1"/>
        <v>110491</v>
      </c>
      <c r="I27" s="643"/>
    </row>
    <row r="28" spans="1:9" x14ac:dyDescent="0.25">
      <c r="A28" s="1118"/>
      <c r="B28" s="96">
        <v>53205020100000</v>
      </c>
      <c r="C28" s="120" t="s">
        <v>82</v>
      </c>
      <c r="D28" s="650">
        <v>196042</v>
      </c>
      <c r="E28" s="118"/>
      <c r="F28" s="119"/>
      <c r="G28" s="110">
        <f t="shared" si="0"/>
        <v>0</v>
      </c>
      <c r="H28" s="111">
        <f t="shared" si="1"/>
        <v>196042</v>
      </c>
      <c r="I28" s="643"/>
    </row>
    <row r="29" spans="1:9" x14ac:dyDescent="0.25">
      <c r="A29" s="1118"/>
      <c r="B29" s="96">
        <v>53205030100000</v>
      </c>
      <c r="C29" s="120" t="s">
        <v>83</v>
      </c>
      <c r="D29" s="650">
        <v>149365</v>
      </c>
      <c r="E29" s="118"/>
      <c r="F29" s="119"/>
      <c r="G29" s="110">
        <f t="shared" si="0"/>
        <v>0</v>
      </c>
      <c r="H29" s="111">
        <f t="shared" si="1"/>
        <v>149365</v>
      </c>
      <c r="I29" s="643"/>
    </row>
    <row r="30" spans="1:9" x14ac:dyDescent="0.25">
      <c r="A30" s="1118"/>
      <c r="B30" s="96">
        <v>53205050100000</v>
      </c>
      <c r="C30" s="120" t="s">
        <v>84</v>
      </c>
      <c r="D30" s="117"/>
      <c r="E30" s="118"/>
      <c r="F30" s="119"/>
      <c r="G30" s="110">
        <f t="shared" si="0"/>
        <v>0</v>
      </c>
      <c r="H30" s="111">
        <f t="shared" si="1"/>
        <v>0</v>
      </c>
      <c r="I30" s="643"/>
    </row>
    <row r="31" spans="1:9" x14ac:dyDescent="0.25">
      <c r="A31" s="1118"/>
      <c r="B31" s="96">
        <v>53205060100000</v>
      </c>
      <c r="C31" s="120" t="s">
        <v>85</v>
      </c>
      <c r="D31" s="117"/>
      <c r="E31" s="118"/>
      <c r="F31" s="119"/>
      <c r="G31" s="110">
        <f t="shared" si="0"/>
        <v>0</v>
      </c>
      <c r="H31" s="111">
        <f t="shared" si="1"/>
        <v>0</v>
      </c>
      <c r="I31" s="643"/>
    </row>
    <row r="32" spans="1:9" x14ac:dyDescent="0.25">
      <c r="A32" s="1118"/>
      <c r="B32" s="96">
        <v>53205070100000</v>
      </c>
      <c r="C32" s="120" t="s">
        <v>86</v>
      </c>
      <c r="D32" s="117">
        <v>628740</v>
      </c>
      <c r="E32" s="118"/>
      <c r="F32" s="119"/>
      <c r="G32" s="110">
        <f t="shared" si="0"/>
        <v>0</v>
      </c>
      <c r="H32" s="111">
        <f t="shared" si="1"/>
        <v>628740</v>
      </c>
      <c r="I32" s="643"/>
    </row>
    <row r="33" spans="1:9" x14ac:dyDescent="0.25">
      <c r="A33" s="1118"/>
      <c r="B33" s="96">
        <v>53208010100000</v>
      </c>
      <c r="C33" s="120" t="s">
        <v>87</v>
      </c>
      <c r="D33" s="117">
        <v>598088</v>
      </c>
      <c r="E33" s="118"/>
      <c r="F33" s="119"/>
      <c r="G33" s="110">
        <f t="shared" si="0"/>
        <v>0</v>
      </c>
      <c r="H33" s="111">
        <f t="shared" si="1"/>
        <v>598088</v>
      </c>
      <c r="I33" s="643"/>
    </row>
    <row r="34" spans="1:9" x14ac:dyDescent="0.25">
      <c r="A34" s="1118"/>
      <c r="B34" s="96">
        <v>53208070100001</v>
      </c>
      <c r="C34" s="97" t="s">
        <v>88</v>
      </c>
      <c r="D34" s="408">
        <v>140938</v>
      </c>
      <c r="E34" s="118"/>
      <c r="F34" s="119"/>
      <c r="G34" s="110">
        <f t="shared" si="0"/>
        <v>0</v>
      </c>
      <c r="H34" s="111">
        <f t="shared" si="1"/>
        <v>140938</v>
      </c>
      <c r="I34" s="643"/>
    </row>
    <row r="35" spans="1:9" x14ac:dyDescent="0.25">
      <c r="A35" s="1118"/>
      <c r="B35" s="96">
        <v>53208100100001</v>
      </c>
      <c r="C35" s="97" t="s">
        <v>89</v>
      </c>
      <c r="D35" s="117"/>
      <c r="E35" s="118"/>
      <c r="F35" s="119"/>
      <c r="G35" s="110">
        <f t="shared" si="0"/>
        <v>0</v>
      </c>
      <c r="H35" s="111">
        <f t="shared" si="1"/>
        <v>0</v>
      </c>
      <c r="I35" s="643"/>
    </row>
    <row r="36" spans="1:9" x14ac:dyDescent="0.25">
      <c r="A36" s="1118"/>
      <c r="B36" s="96">
        <v>53211030000000</v>
      </c>
      <c r="C36" s="97" t="s">
        <v>90</v>
      </c>
      <c r="D36" s="117"/>
      <c r="E36" s="118"/>
      <c r="F36" s="119"/>
      <c r="G36" s="110">
        <f t="shared" si="0"/>
        <v>0</v>
      </c>
      <c r="H36" s="111">
        <f t="shared" si="1"/>
        <v>0</v>
      </c>
      <c r="I36" s="643"/>
    </row>
    <row r="37" spans="1:9" x14ac:dyDescent="0.25">
      <c r="A37" s="1118"/>
      <c r="B37" s="96">
        <v>53212020100000</v>
      </c>
      <c r="C37" s="97" t="s">
        <v>91</v>
      </c>
      <c r="D37" s="117"/>
      <c r="E37" s="118"/>
      <c r="F37" s="119"/>
      <c r="G37" s="110">
        <f t="shared" si="0"/>
        <v>0</v>
      </c>
      <c r="H37" s="111">
        <f t="shared" si="1"/>
        <v>0</v>
      </c>
      <c r="I37" s="643"/>
    </row>
    <row r="38" spans="1:9" x14ac:dyDescent="0.25">
      <c r="A38" s="1118"/>
      <c r="B38" s="96">
        <v>53214020000000</v>
      </c>
      <c r="C38" s="97" t="s">
        <v>92</v>
      </c>
      <c r="D38" s="107"/>
      <c r="E38" s="108"/>
      <c r="F38" s="109"/>
      <c r="G38" s="110">
        <f t="shared" si="0"/>
        <v>0</v>
      </c>
      <c r="H38" s="111">
        <f t="shared" si="1"/>
        <v>0</v>
      </c>
      <c r="I38" s="643"/>
    </row>
    <row r="39" spans="1:9" x14ac:dyDescent="0.25">
      <c r="A39" s="1118"/>
      <c r="B39" s="84"/>
      <c r="C39" s="85" t="s">
        <v>93</v>
      </c>
      <c r="D39" s="121">
        <f>SUM(D40,D45,D48,D59,D69,D77)</f>
        <v>6038846</v>
      </c>
      <c r="E39" s="87"/>
      <c r="F39" s="87"/>
      <c r="G39" s="122">
        <f>SUM(G40,G45,G48,G59,G69,G77)</f>
        <v>0</v>
      </c>
      <c r="H39" s="123">
        <f>SUM(H40,H45,H48,H59,H69,H77)</f>
        <v>6038846</v>
      </c>
      <c r="I39" s="112"/>
    </row>
    <row r="40" spans="1:9" x14ac:dyDescent="0.25">
      <c r="A40" s="1118"/>
      <c r="B40" s="90"/>
      <c r="C40" s="91" t="s">
        <v>94</v>
      </c>
      <c r="D40" s="92">
        <f>SUM(D41:D44)</f>
        <v>50000</v>
      </c>
      <c r="E40" s="113"/>
      <c r="F40" s="113"/>
      <c r="G40" s="114">
        <f>SUM(G41:G44)</f>
        <v>0</v>
      </c>
      <c r="H40" s="124">
        <f>SUM(H41:H44)</f>
        <v>50000</v>
      </c>
      <c r="I40" s="112"/>
    </row>
    <row r="41" spans="1:9" x14ac:dyDescent="0.25">
      <c r="A41" s="1118"/>
      <c r="B41" s="96">
        <v>53202020100000</v>
      </c>
      <c r="C41" s="97" t="s">
        <v>95</v>
      </c>
      <c r="D41" s="117">
        <v>50000</v>
      </c>
      <c r="E41" s="118"/>
      <c r="F41" s="119"/>
      <c r="G41" s="110">
        <f>E41*F41</f>
        <v>0</v>
      </c>
      <c r="H41" s="111">
        <f t="shared" ref="H41:H79" si="2">D41+G41</f>
        <v>50000</v>
      </c>
      <c r="I41" s="112"/>
    </row>
    <row r="42" spans="1:9" x14ac:dyDescent="0.25">
      <c r="A42" s="1118"/>
      <c r="B42" s="96">
        <v>53202030000000</v>
      </c>
      <c r="C42" s="97" t="s">
        <v>96</v>
      </c>
      <c r="D42" s="107"/>
      <c r="E42" s="108"/>
      <c r="F42" s="109"/>
      <c r="G42" s="110">
        <f t="shared" ref="G42:G79" si="3">E42*F42</f>
        <v>0</v>
      </c>
      <c r="H42" s="111">
        <f t="shared" si="2"/>
        <v>0</v>
      </c>
      <c r="I42" s="112"/>
    </row>
    <row r="43" spans="1:9" x14ac:dyDescent="0.25">
      <c r="A43" s="1118"/>
      <c r="B43" s="96">
        <v>53211020000000</v>
      </c>
      <c r="C43" s="97" t="s">
        <v>97</v>
      </c>
      <c r="D43" s="117"/>
      <c r="E43" s="118"/>
      <c r="F43" s="119"/>
      <c r="G43" s="110">
        <f t="shared" si="3"/>
        <v>0</v>
      </c>
      <c r="H43" s="111">
        <f t="shared" si="2"/>
        <v>0</v>
      </c>
      <c r="I43" s="112"/>
    </row>
    <row r="44" spans="1:9" x14ac:dyDescent="0.25">
      <c r="A44" s="1118"/>
      <c r="B44" s="96">
        <v>53101004030000</v>
      </c>
      <c r="C44" s="97" t="s">
        <v>98</v>
      </c>
      <c r="D44" s="336"/>
      <c r="E44" s="108"/>
      <c r="F44" s="109"/>
      <c r="G44" s="110">
        <f t="shared" si="3"/>
        <v>0</v>
      </c>
      <c r="H44" s="111">
        <f t="shared" si="2"/>
        <v>0</v>
      </c>
      <c r="I44" s="588"/>
    </row>
    <row r="45" spans="1:9" x14ac:dyDescent="0.25">
      <c r="A45" s="1118"/>
      <c r="B45" s="90"/>
      <c r="C45" s="91" t="s">
        <v>99</v>
      </c>
      <c r="D45" s="92">
        <f>SUM(D46:D47)</f>
        <v>625746</v>
      </c>
      <c r="E45" s="113"/>
      <c r="F45" s="113"/>
      <c r="G45" s="114">
        <f>SUM(G46:G47)</f>
        <v>0</v>
      </c>
      <c r="H45" s="124">
        <f>SUM(H46:H47)</f>
        <v>625746</v>
      </c>
      <c r="I45" s="112"/>
    </row>
    <row r="46" spans="1:9" x14ac:dyDescent="0.25">
      <c r="A46" s="1118"/>
      <c r="B46" s="96">
        <v>53205080000000</v>
      </c>
      <c r="C46" s="120" t="s">
        <v>100</v>
      </c>
      <c r="D46" s="107">
        <v>625746</v>
      </c>
      <c r="E46" s="108"/>
      <c r="F46" s="109"/>
      <c r="G46" s="110">
        <f t="shared" si="3"/>
        <v>0</v>
      </c>
      <c r="H46" s="111">
        <f t="shared" si="2"/>
        <v>625746</v>
      </c>
      <c r="I46" s="112"/>
    </row>
    <row r="47" spans="1:9" x14ac:dyDescent="0.25">
      <c r="A47" s="1118"/>
      <c r="B47" s="96">
        <v>53205990000000</v>
      </c>
      <c r="C47" s="97" t="s">
        <v>101</v>
      </c>
      <c r="D47" s="117"/>
      <c r="E47" s="118"/>
      <c r="F47" s="119"/>
      <c r="G47" s="110">
        <f t="shared" si="3"/>
        <v>0</v>
      </c>
      <c r="H47" s="111">
        <f t="shared" si="2"/>
        <v>0</v>
      </c>
      <c r="I47" s="112"/>
    </row>
    <row r="48" spans="1:9" x14ac:dyDescent="0.25">
      <c r="A48" s="1118"/>
      <c r="B48" s="90"/>
      <c r="C48" s="91" t="s">
        <v>102</v>
      </c>
      <c r="D48" s="92">
        <f>SUM(D49:D58)</f>
        <v>151216</v>
      </c>
      <c r="E48" s="113"/>
      <c r="F48" s="113"/>
      <c r="G48" s="116">
        <f>SUM(G49:G58)</f>
        <v>0</v>
      </c>
      <c r="H48" s="115">
        <f>SUM(H49:H58)</f>
        <v>151216</v>
      </c>
      <c r="I48" s="112"/>
    </row>
    <row r="49" spans="1:9" x14ac:dyDescent="0.25">
      <c r="A49" s="1118"/>
      <c r="B49" s="96">
        <v>53203010200000</v>
      </c>
      <c r="C49" s="97" t="s">
        <v>103</v>
      </c>
      <c r="D49" s="107"/>
      <c r="E49" s="107"/>
      <c r="F49" s="109"/>
      <c r="G49" s="110">
        <f t="shared" si="3"/>
        <v>0</v>
      </c>
      <c r="H49" s="111">
        <f t="shared" si="2"/>
        <v>0</v>
      </c>
      <c r="I49" s="112"/>
    </row>
    <row r="50" spans="1:9" x14ac:dyDescent="0.25">
      <c r="A50" s="1118"/>
      <c r="B50" s="96">
        <v>53204010000000</v>
      </c>
      <c r="C50" s="97" t="s">
        <v>104</v>
      </c>
      <c r="D50" s="117"/>
      <c r="E50" s="117"/>
      <c r="F50" s="119"/>
      <c r="G50" s="110">
        <f t="shared" si="3"/>
        <v>0</v>
      </c>
      <c r="H50" s="111">
        <f t="shared" si="2"/>
        <v>0</v>
      </c>
      <c r="I50" s="112"/>
    </row>
    <row r="51" spans="1:9" x14ac:dyDescent="0.25">
      <c r="A51" s="1118"/>
      <c r="B51" s="96">
        <v>53204040200000</v>
      </c>
      <c r="C51" s="120" t="s">
        <v>105</v>
      </c>
      <c r="D51" s="117"/>
      <c r="E51" s="117"/>
      <c r="F51" s="119"/>
      <c r="G51" s="110">
        <f t="shared" si="3"/>
        <v>0</v>
      </c>
      <c r="H51" s="111">
        <f t="shared" si="2"/>
        <v>0</v>
      </c>
      <c r="I51" s="112"/>
    </row>
    <row r="52" spans="1:9" x14ac:dyDescent="0.25">
      <c r="A52" s="1118"/>
      <c r="B52" s="96">
        <v>53204060000000</v>
      </c>
      <c r="C52" s="120" t="s">
        <v>106</v>
      </c>
      <c r="D52" s="117"/>
      <c r="E52" s="117"/>
      <c r="F52" s="119"/>
      <c r="G52" s="110">
        <f t="shared" si="3"/>
        <v>0</v>
      </c>
      <c r="H52" s="111">
        <f t="shared" si="2"/>
        <v>0</v>
      </c>
      <c r="I52" s="112"/>
    </row>
    <row r="53" spans="1:9" x14ac:dyDescent="0.25">
      <c r="A53" s="1118"/>
      <c r="B53" s="96">
        <v>53204070000000</v>
      </c>
      <c r="C53" s="120" t="s">
        <v>107</v>
      </c>
      <c r="D53" s="117">
        <v>151216</v>
      </c>
      <c r="E53" s="117"/>
      <c r="F53" s="119"/>
      <c r="G53" s="110">
        <f t="shared" si="3"/>
        <v>0</v>
      </c>
      <c r="H53" s="111">
        <f t="shared" si="2"/>
        <v>151216</v>
      </c>
      <c r="I53" s="112"/>
    </row>
    <row r="54" spans="1:9" x14ac:dyDescent="0.25">
      <c r="A54" s="1118"/>
      <c r="B54" s="96">
        <v>53204080000000</v>
      </c>
      <c r="C54" s="120" t="s">
        <v>108</v>
      </c>
      <c r="D54" s="117"/>
      <c r="E54" s="117"/>
      <c r="F54" s="119"/>
      <c r="G54" s="110">
        <f t="shared" si="3"/>
        <v>0</v>
      </c>
      <c r="H54" s="111">
        <f t="shared" si="2"/>
        <v>0</v>
      </c>
      <c r="I54" s="112"/>
    </row>
    <row r="55" spans="1:9" x14ac:dyDescent="0.25">
      <c r="A55" s="1118"/>
      <c r="B55" s="96">
        <v>53214010000000</v>
      </c>
      <c r="C55" s="120" t="s">
        <v>109</v>
      </c>
      <c r="D55" s="107"/>
      <c r="E55" s="107"/>
      <c r="F55" s="109"/>
      <c r="G55" s="110">
        <f t="shared" si="3"/>
        <v>0</v>
      </c>
      <c r="H55" s="111">
        <f t="shared" si="2"/>
        <v>0</v>
      </c>
      <c r="I55" s="112"/>
    </row>
    <row r="56" spans="1:9" x14ac:dyDescent="0.25">
      <c r="A56" s="1118"/>
      <c r="B56" s="96">
        <v>53214040000000</v>
      </c>
      <c r="C56" s="97" t="s">
        <v>110</v>
      </c>
      <c r="D56" s="107"/>
      <c r="E56" s="107"/>
      <c r="F56" s="109"/>
      <c r="G56" s="110">
        <f t="shared" si="3"/>
        <v>0</v>
      </c>
      <c r="H56" s="111">
        <f t="shared" si="2"/>
        <v>0</v>
      </c>
      <c r="I56" s="112"/>
    </row>
    <row r="57" spans="1:9" x14ac:dyDescent="0.25">
      <c r="A57" s="1118"/>
      <c r="B57" s="96">
        <v>55201010100004</v>
      </c>
      <c r="C57" s="97" t="s">
        <v>111</v>
      </c>
      <c r="D57" s="107"/>
      <c r="E57" s="111">
        <f>'I) Costo Desayuno'!$E$29</f>
        <v>0</v>
      </c>
      <c r="F57" s="109"/>
      <c r="G57" s="110">
        <f>E57*F57</f>
        <v>0</v>
      </c>
      <c r="H57" s="111">
        <f t="shared" si="2"/>
        <v>0</v>
      </c>
      <c r="I57" s="112"/>
    </row>
    <row r="58" spans="1:9" x14ac:dyDescent="0.25">
      <c r="A58" s="1118"/>
      <c r="B58" s="96">
        <v>55201010100005</v>
      </c>
      <c r="C58" s="97" t="s">
        <v>112</v>
      </c>
      <c r="D58" s="107"/>
      <c r="E58" s="107"/>
      <c r="F58" s="109"/>
      <c r="G58" s="110">
        <f t="shared" si="3"/>
        <v>0</v>
      </c>
      <c r="H58" s="111">
        <f t="shared" si="2"/>
        <v>0</v>
      </c>
      <c r="I58" s="112"/>
    </row>
    <row r="59" spans="1:9" x14ac:dyDescent="0.25">
      <c r="A59" s="1118"/>
      <c r="B59" s="90"/>
      <c r="C59" s="91" t="s">
        <v>113</v>
      </c>
      <c r="D59" s="92">
        <f>SUM(D60:D68)</f>
        <v>104585</v>
      </c>
      <c r="E59" s="113"/>
      <c r="F59" s="113"/>
      <c r="G59" s="116">
        <f>SUM(G60:G68)</f>
        <v>0</v>
      </c>
      <c r="H59" s="115">
        <f>SUM(H60:H68)</f>
        <v>104585</v>
      </c>
      <c r="I59" s="112"/>
    </row>
    <row r="60" spans="1:9" x14ac:dyDescent="0.25">
      <c r="A60" s="1118"/>
      <c r="B60" s="96">
        <v>53207010000000</v>
      </c>
      <c r="C60" s="97" t="s">
        <v>114</v>
      </c>
      <c r="D60" s="117"/>
      <c r="E60" s="117"/>
      <c r="F60" s="119"/>
      <c r="G60" s="110">
        <f t="shared" si="3"/>
        <v>0</v>
      </c>
      <c r="H60" s="111">
        <f t="shared" si="2"/>
        <v>0</v>
      </c>
      <c r="I60" s="112"/>
    </row>
    <row r="61" spans="1:9" x14ac:dyDescent="0.25">
      <c r="A61" s="1118"/>
      <c r="B61" s="96">
        <v>53207020000000</v>
      </c>
      <c r="C61" s="97" t="s">
        <v>115</v>
      </c>
      <c r="D61" s="117"/>
      <c r="E61" s="117"/>
      <c r="F61" s="119"/>
      <c r="G61" s="110">
        <f t="shared" si="3"/>
        <v>0</v>
      </c>
      <c r="H61" s="111">
        <f t="shared" si="2"/>
        <v>0</v>
      </c>
      <c r="I61" s="112"/>
    </row>
    <row r="62" spans="1:9" x14ac:dyDescent="0.25">
      <c r="A62" s="1118"/>
      <c r="B62" s="96">
        <v>53208020000000</v>
      </c>
      <c r="C62" s="97" t="s">
        <v>116</v>
      </c>
      <c r="D62" s="117"/>
      <c r="E62" s="117"/>
      <c r="F62" s="119"/>
      <c r="G62" s="110">
        <f t="shared" si="3"/>
        <v>0</v>
      </c>
      <c r="H62" s="111">
        <f t="shared" si="2"/>
        <v>0</v>
      </c>
      <c r="I62" s="112"/>
    </row>
    <row r="63" spans="1:9" x14ac:dyDescent="0.25">
      <c r="A63" s="1118"/>
      <c r="B63" s="96">
        <v>53208990000000</v>
      </c>
      <c r="C63" s="97" t="s">
        <v>117</v>
      </c>
      <c r="D63" s="117">
        <v>104585</v>
      </c>
      <c r="E63" s="117"/>
      <c r="F63" s="119"/>
      <c r="G63" s="110">
        <f t="shared" si="3"/>
        <v>0</v>
      </c>
      <c r="H63" s="111">
        <f t="shared" si="2"/>
        <v>104585</v>
      </c>
      <c r="I63" s="112"/>
    </row>
    <row r="64" spans="1:9" x14ac:dyDescent="0.25">
      <c r="A64" s="1118"/>
      <c r="B64" s="96">
        <v>53209010000000</v>
      </c>
      <c r="C64" s="97" t="s">
        <v>118</v>
      </c>
      <c r="D64" s="117"/>
      <c r="E64" s="117"/>
      <c r="F64" s="119"/>
      <c r="G64" s="110">
        <f t="shared" si="3"/>
        <v>0</v>
      </c>
      <c r="H64" s="111">
        <f t="shared" si="2"/>
        <v>0</v>
      </c>
      <c r="I64" s="112"/>
    </row>
    <row r="65" spans="1:9" x14ac:dyDescent="0.25">
      <c r="A65" s="1118"/>
      <c r="B65" s="96">
        <v>53209040000000</v>
      </c>
      <c r="C65" s="97" t="s">
        <v>119</v>
      </c>
      <c r="D65" s="117"/>
      <c r="E65" s="117"/>
      <c r="F65" s="119"/>
      <c r="G65" s="110">
        <f t="shared" si="3"/>
        <v>0</v>
      </c>
      <c r="H65" s="111">
        <f t="shared" si="2"/>
        <v>0</v>
      </c>
      <c r="I65" s="112"/>
    </row>
    <row r="66" spans="1:9" x14ac:dyDescent="0.25">
      <c r="A66" s="1118"/>
      <c r="B66" s="96">
        <v>53209050000000</v>
      </c>
      <c r="C66" s="97" t="s">
        <v>120</v>
      </c>
      <c r="D66" s="117"/>
      <c r="E66" s="117"/>
      <c r="F66" s="119"/>
      <c r="G66" s="110">
        <f t="shared" si="3"/>
        <v>0</v>
      </c>
      <c r="H66" s="111">
        <f t="shared" si="2"/>
        <v>0</v>
      </c>
      <c r="I66" s="112"/>
    </row>
    <row r="67" spans="1:9" x14ac:dyDescent="0.25">
      <c r="A67" s="1118"/>
      <c r="B67" s="96">
        <v>53209990000000</v>
      </c>
      <c r="C67" s="97" t="s">
        <v>121</v>
      </c>
      <c r="D67" s="117"/>
      <c r="E67" s="117"/>
      <c r="F67" s="119"/>
      <c r="G67" s="110">
        <f t="shared" si="3"/>
        <v>0</v>
      </c>
      <c r="H67" s="111">
        <f t="shared" si="2"/>
        <v>0</v>
      </c>
      <c r="I67" s="112"/>
    </row>
    <row r="68" spans="1:9" x14ac:dyDescent="0.25">
      <c r="A68" s="1118"/>
      <c r="B68" s="96">
        <v>53210020100000</v>
      </c>
      <c r="C68" s="97" t="s">
        <v>122</v>
      </c>
      <c r="D68" s="117"/>
      <c r="E68" s="117"/>
      <c r="F68" s="119"/>
      <c r="G68" s="110">
        <f t="shared" si="3"/>
        <v>0</v>
      </c>
      <c r="H68" s="111">
        <f t="shared" si="2"/>
        <v>0</v>
      </c>
      <c r="I68" s="112"/>
    </row>
    <row r="69" spans="1:9" x14ac:dyDescent="0.25">
      <c r="A69" s="1118"/>
      <c r="B69" s="90"/>
      <c r="C69" s="91" t="s">
        <v>123</v>
      </c>
      <c r="D69" s="92">
        <f>SUM(D70:D76)</f>
        <v>3675000</v>
      </c>
      <c r="E69" s="113"/>
      <c r="F69" s="113"/>
      <c r="G69" s="116">
        <f>SUM(G70:G76)</f>
        <v>0</v>
      </c>
      <c r="H69" s="115">
        <f>SUM(H70:H76)</f>
        <v>3675000</v>
      </c>
      <c r="I69" s="112"/>
    </row>
    <row r="70" spans="1:9" x14ac:dyDescent="0.25">
      <c r="A70" s="1118"/>
      <c r="B70" s="96">
        <v>53206030000000</v>
      </c>
      <c r="C70" s="97" t="s">
        <v>124</v>
      </c>
      <c r="D70" s="117">
        <v>3675000</v>
      </c>
      <c r="E70" s="117"/>
      <c r="F70" s="119"/>
      <c r="G70" s="110">
        <f t="shared" si="3"/>
        <v>0</v>
      </c>
      <c r="H70" s="111">
        <f t="shared" si="2"/>
        <v>3675000</v>
      </c>
      <c r="I70" s="112"/>
    </row>
    <row r="71" spans="1:9" x14ac:dyDescent="0.25">
      <c r="A71" s="1118"/>
      <c r="B71" s="96">
        <v>53206040000000</v>
      </c>
      <c r="C71" s="97" t="s">
        <v>125</v>
      </c>
      <c r="D71" s="117"/>
      <c r="E71" s="117"/>
      <c r="F71" s="119"/>
      <c r="G71" s="110">
        <f t="shared" si="3"/>
        <v>0</v>
      </c>
      <c r="H71" s="111">
        <f t="shared" si="2"/>
        <v>0</v>
      </c>
      <c r="I71" s="112"/>
    </row>
    <row r="72" spans="1:9" x14ac:dyDescent="0.25">
      <c r="A72" s="1118"/>
      <c r="B72" s="96">
        <v>53206060000000</v>
      </c>
      <c r="C72" s="97" t="s">
        <v>126</v>
      </c>
      <c r="D72" s="117"/>
      <c r="E72" s="117"/>
      <c r="F72" s="119"/>
      <c r="G72" s="110">
        <f t="shared" si="3"/>
        <v>0</v>
      </c>
      <c r="H72" s="111">
        <f t="shared" si="2"/>
        <v>0</v>
      </c>
      <c r="I72" s="112"/>
    </row>
    <row r="73" spans="1:9" x14ac:dyDescent="0.25">
      <c r="A73" s="1118"/>
      <c r="B73" s="96">
        <v>53206070000000</v>
      </c>
      <c r="C73" s="97" t="s">
        <v>127</v>
      </c>
      <c r="D73" s="117"/>
      <c r="E73" s="117"/>
      <c r="F73" s="119"/>
      <c r="G73" s="110">
        <f t="shared" si="3"/>
        <v>0</v>
      </c>
      <c r="H73" s="111">
        <f t="shared" si="2"/>
        <v>0</v>
      </c>
      <c r="I73" s="112"/>
    </row>
    <row r="74" spans="1:9" x14ac:dyDescent="0.25">
      <c r="A74" s="1118"/>
      <c r="B74" s="96">
        <v>53206990000000</v>
      </c>
      <c r="C74" s="97" t="s">
        <v>128</v>
      </c>
      <c r="D74" s="117"/>
      <c r="E74" s="117"/>
      <c r="F74" s="119"/>
      <c r="G74" s="110">
        <f t="shared" si="3"/>
        <v>0</v>
      </c>
      <c r="H74" s="111">
        <f t="shared" si="2"/>
        <v>0</v>
      </c>
      <c r="I74" s="112"/>
    </row>
    <row r="75" spans="1:9" x14ac:dyDescent="0.25">
      <c r="A75" s="1118"/>
      <c r="B75" s="96">
        <v>53208030000000</v>
      </c>
      <c r="C75" s="97" t="s">
        <v>129</v>
      </c>
      <c r="D75" s="117"/>
      <c r="E75" s="117"/>
      <c r="F75" s="119"/>
      <c r="G75" s="110">
        <f t="shared" si="3"/>
        <v>0</v>
      </c>
      <c r="H75" s="111">
        <f t="shared" si="2"/>
        <v>0</v>
      </c>
      <c r="I75" s="112"/>
    </row>
    <row r="76" spans="1:9" x14ac:dyDescent="0.25">
      <c r="A76" s="1118"/>
      <c r="B76" s="96">
        <v>53212060000000</v>
      </c>
      <c r="C76" s="97" t="s">
        <v>130</v>
      </c>
      <c r="D76" s="107"/>
      <c r="E76" s="107"/>
      <c r="F76" s="109"/>
      <c r="G76" s="110">
        <f t="shared" si="3"/>
        <v>0</v>
      </c>
      <c r="H76" s="111">
        <f t="shared" si="2"/>
        <v>0</v>
      </c>
      <c r="I76" s="112"/>
    </row>
    <row r="77" spans="1:9" x14ac:dyDescent="0.25">
      <c r="A77" s="1118"/>
      <c r="B77" s="90"/>
      <c r="C77" s="91" t="s">
        <v>131</v>
      </c>
      <c r="D77" s="92">
        <f>SUM(D78:D79)</f>
        <v>1432299</v>
      </c>
      <c r="E77" s="113"/>
      <c r="F77" s="113"/>
      <c r="G77" s="116">
        <f>SUM(G78:G79)</f>
        <v>0</v>
      </c>
      <c r="H77" s="115">
        <f>SUM(H78:H79)</f>
        <v>1432299</v>
      </c>
      <c r="I77" s="112"/>
    </row>
    <row r="78" spans="1:9" x14ac:dyDescent="0.25">
      <c r="A78" s="1118"/>
      <c r="B78" s="96">
        <v>53210020500000</v>
      </c>
      <c r="C78" s="97" t="s">
        <v>132</v>
      </c>
      <c r="D78" s="107">
        <v>206988</v>
      </c>
      <c r="E78" s="107"/>
      <c r="F78" s="109"/>
      <c r="G78" s="110">
        <f t="shared" si="3"/>
        <v>0</v>
      </c>
      <c r="H78" s="125">
        <f t="shared" si="2"/>
        <v>206988</v>
      </c>
      <c r="I78" s="112"/>
    </row>
    <row r="79" spans="1:9" x14ac:dyDescent="0.25">
      <c r="A79" s="1118"/>
      <c r="B79" s="126">
        <v>53204999000000</v>
      </c>
      <c r="C79" s="127" t="s">
        <v>133</v>
      </c>
      <c r="D79" s="117">
        <v>1225311</v>
      </c>
      <c r="E79" s="117"/>
      <c r="F79" s="119"/>
      <c r="G79" s="128">
        <f t="shared" si="3"/>
        <v>0</v>
      </c>
      <c r="H79" s="125">
        <f t="shared" si="2"/>
        <v>1225311</v>
      </c>
      <c r="I79" s="651"/>
    </row>
    <row r="80" spans="1:9" x14ac:dyDescent="0.25">
      <c r="A80" s="1119"/>
      <c r="B80" s="129"/>
      <c r="C80" s="130" t="s">
        <v>13</v>
      </c>
      <c r="D80" s="131">
        <f>SUM(D11,D39)</f>
        <v>12053771.879999999</v>
      </c>
      <c r="E80" s="132"/>
      <c r="F80" s="132"/>
      <c r="G80" s="131">
        <f>SUM(G11,G39)</f>
        <v>0</v>
      </c>
      <c r="H80" s="133">
        <f>SUM(H11,H39)</f>
        <v>12053771.879999999</v>
      </c>
      <c r="I80" s="112"/>
    </row>
    <row r="81" spans="1:9" x14ac:dyDescent="0.25">
      <c r="A81" s="1123" t="s">
        <v>21</v>
      </c>
      <c r="B81" s="1125" t="s">
        <v>57</v>
      </c>
      <c r="C81" s="1127" t="s">
        <v>58</v>
      </c>
      <c r="D81" s="1129" t="s">
        <v>59</v>
      </c>
      <c r="E81" s="1131" t="s">
        <v>60</v>
      </c>
      <c r="F81" s="1132"/>
      <c r="G81" s="1133"/>
      <c r="H81" s="1120" t="str">
        <f>+H9</f>
        <v>COSTO DIRECTO ESTIMADO 2026</v>
      </c>
      <c r="I81" s="1122" t="s">
        <v>61</v>
      </c>
    </row>
    <row r="82" spans="1:9" ht="25.5" x14ac:dyDescent="0.25">
      <c r="A82" s="1124"/>
      <c r="B82" s="1126"/>
      <c r="C82" s="1128"/>
      <c r="D82" s="1130"/>
      <c r="E82" s="134" t="s">
        <v>62</v>
      </c>
      <c r="F82" s="135" t="s">
        <v>63</v>
      </c>
      <c r="G82" s="136" t="s">
        <v>64</v>
      </c>
      <c r="H82" s="1121"/>
      <c r="I82" s="1122"/>
    </row>
    <row r="83" spans="1:9" x14ac:dyDescent="0.25">
      <c r="A83" s="1134" t="str">
        <f>+'B) Reajuste Tarifas y Ocupación'!A21</f>
        <v>Sala de Juegos</v>
      </c>
      <c r="B83" s="84"/>
      <c r="C83" s="85" t="s">
        <v>65</v>
      </c>
      <c r="D83" s="86">
        <f>SUM(D84,D89,D91)</f>
        <v>1683290.96</v>
      </c>
      <c r="E83" s="87"/>
      <c r="F83" s="87"/>
      <c r="G83" s="88">
        <f>SUM(G84,G89,G91)</f>
        <v>0</v>
      </c>
      <c r="H83" s="89">
        <f>SUM(H84,H89,H91)</f>
        <v>1683290.96</v>
      </c>
      <c r="I83" s="112"/>
    </row>
    <row r="84" spans="1:9" x14ac:dyDescent="0.25">
      <c r="A84" s="1118"/>
      <c r="B84" s="90"/>
      <c r="C84" s="91" t="s">
        <v>66</v>
      </c>
      <c r="D84" s="92">
        <f>SUM(D85:D88)</f>
        <v>1083290.96</v>
      </c>
      <c r="E84" s="93"/>
      <c r="F84" s="93"/>
      <c r="G84" s="94">
        <f>SUM(G85:G88)</f>
        <v>0</v>
      </c>
      <c r="H84" s="95">
        <f>SUM(H85:H88)</f>
        <v>1083290.96</v>
      </c>
      <c r="I84" s="112"/>
    </row>
    <row r="85" spans="1:9" x14ac:dyDescent="0.25">
      <c r="A85" s="1118"/>
      <c r="B85" s="96">
        <v>53103040100000</v>
      </c>
      <c r="C85" s="97" t="s">
        <v>67</v>
      </c>
      <c r="D85" s="98">
        <f>+'F) Remuneraciones'!M25</f>
        <v>1083290.96</v>
      </c>
      <c r="E85" s="99"/>
      <c r="F85" s="99"/>
      <c r="G85" s="100"/>
      <c r="H85" s="101">
        <f>D85+G85</f>
        <v>1083290.96</v>
      </c>
      <c r="I85" s="112"/>
    </row>
    <row r="86" spans="1:9" x14ac:dyDescent="0.25">
      <c r="A86" s="1118"/>
      <c r="B86" s="96">
        <v>53103050000000</v>
      </c>
      <c r="C86" s="97" t="s">
        <v>68</v>
      </c>
      <c r="D86" s="102"/>
      <c r="E86" s="103"/>
      <c r="F86" s="104"/>
      <c r="G86" s="105">
        <f>E86*F86</f>
        <v>0</v>
      </c>
      <c r="H86" s="106">
        <f>D86+G86</f>
        <v>0</v>
      </c>
      <c r="I86" s="112"/>
    </row>
    <row r="87" spans="1:9" x14ac:dyDescent="0.25">
      <c r="A87" s="1118"/>
      <c r="B87" s="96">
        <v>53103060000000</v>
      </c>
      <c r="C87" s="97" t="s">
        <v>69</v>
      </c>
      <c r="D87" s="107"/>
      <c r="E87" s="108"/>
      <c r="F87" s="109"/>
      <c r="G87" s="110">
        <f>E87*F87</f>
        <v>0</v>
      </c>
      <c r="H87" s="111">
        <f>D87+G87</f>
        <v>0</v>
      </c>
      <c r="I87" s="112"/>
    </row>
    <row r="88" spans="1:9" x14ac:dyDescent="0.25">
      <c r="A88" s="1118"/>
      <c r="B88" s="96">
        <v>53103080010000</v>
      </c>
      <c r="C88" s="97" t="s">
        <v>70</v>
      </c>
      <c r="D88" s="336"/>
      <c r="E88" s="108"/>
      <c r="F88" s="109"/>
      <c r="G88" s="110">
        <f>E88*F88</f>
        <v>0</v>
      </c>
      <c r="H88" s="111">
        <f>D88+G88</f>
        <v>0</v>
      </c>
      <c r="I88" s="112"/>
    </row>
    <row r="89" spans="1:9" x14ac:dyDescent="0.25">
      <c r="A89" s="1118"/>
      <c r="B89" s="90"/>
      <c r="C89" s="91" t="s">
        <v>71</v>
      </c>
      <c r="D89" s="92">
        <f>SUM(D90)</f>
        <v>0</v>
      </c>
      <c r="E89" s="113"/>
      <c r="F89" s="113"/>
      <c r="G89" s="114">
        <f>SUM(G90:G90)</f>
        <v>0</v>
      </c>
      <c r="H89" s="115">
        <f>SUM(H90:H90)</f>
        <v>0</v>
      </c>
      <c r="I89" s="112"/>
    </row>
    <row r="90" spans="1:9" x14ac:dyDescent="0.25">
      <c r="A90" s="1118"/>
      <c r="B90" s="96">
        <v>55201010100001</v>
      </c>
      <c r="C90" s="97" t="s">
        <v>72</v>
      </c>
      <c r="D90" s="107"/>
      <c r="E90" s="108"/>
      <c r="F90" s="109"/>
      <c r="G90" s="110">
        <f>E90*F90</f>
        <v>0</v>
      </c>
      <c r="H90" s="111">
        <f>D90+G90</f>
        <v>0</v>
      </c>
      <c r="I90" s="112"/>
    </row>
    <row r="91" spans="1:9" x14ac:dyDescent="0.25">
      <c r="A91" s="1118"/>
      <c r="B91" s="90"/>
      <c r="C91" s="91" t="s">
        <v>73</v>
      </c>
      <c r="D91" s="92">
        <f>SUM(D92:D110)</f>
        <v>600000</v>
      </c>
      <c r="E91" s="113"/>
      <c r="F91" s="113"/>
      <c r="G91" s="116">
        <f>SUM(G92:G110)</f>
        <v>0</v>
      </c>
      <c r="H91" s="115">
        <f>SUM(H92:H110)</f>
        <v>600000</v>
      </c>
      <c r="I91" s="112"/>
    </row>
    <row r="92" spans="1:9" x14ac:dyDescent="0.25">
      <c r="A92" s="1118"/>
      <c r="B92" s="96">
        <v>53201010100000</v>
      </c>
      <c r="C92" s="97" t="s">
        <v>74</v>
      </c>
      <c r="D92" s="107"/>
      <c r="E92" s="108"/>
      <c r="F92" s="109"/>
      <c r="G92" s="110">
        <f t="shared" ref="G92:G110" si="4">E92*F92</f>
        <v>0</v>
      </c>
      <c r="H92" s="111">
        <f t="shared" ref="H92:H110" si="5">D92+G92</f>
        <v>0</v>
      </c>
      <c r="I92" s="112"/>
    </row>
    <row r="93" spans="1:9" x14ac:dyDescent="0.25">
      <c r="A93" s="1118"/>
      <c r="B93" s="96">
        <v>53202010100000</v>
      </c>
      <c r="C93" s="97" t="s">
        <v>75</v>
      </c>
      <c r="D93" s="107"/>
      <c r="E93" s="108"/>
      <c r="F93" s="109"/>
      <c r="G93" s="110">
        <f t="shared" si="4"/>
        <v>0</v>
      </c>
      <c r="H93" s="111">
        <f t="shared" si="5"/>
        <v>0</v>
      </c>
      <c r="I93" s="112"/>
    </row>
    <row r="94" spans="1:9" x14ac:dyDescent="0.25">
      <c r="A94" s="1118"/>
      <c r="B94" s="96">
        <v>53203010100000</v>
      </c>
      <c r="C94" s="97" t="s">
        <v>76</v>
      </c>
      <c r="D94" s="117"/>
      <c r="E94" s="118"/>
      <c r="F94" s="119"/>
      <c r="G94" s="110">
        <f t="shared" si="4"/>
        <v>0</v>
      </c>
      <c r="H94" s="111">
        <f t="shared" si="5"/>
        <v>0</v>
      </c>
      <c r="I94" s="112"/>
    </row>
    <row r="95" spans="1:9" x14ac:dyDescent="0.25">
      <c r="A95" s="1118"/>
      <c r="B95" s="96">
        <v>53203030000000</v>
      </c>
      <c r="C95" s="97" t="s">
        <v>77</v>
      </c>
      <c r="D95" s="117"/>
      <c r="E95" s="118"/>
      <c r="F95" s="119"/>
      <c r="G95" s="110">
        <f t="shared" si="4"/>
        <v>0</v>
      </c>
      <c r="H95" s="111">
        <f t="shared" si="5"/>
        <v>0</v>
      </c>
      <c r="I95" s="112"/>
    </row>
    <row r="96" spans="1:9" x14ac:dyDescent="0.25">
      <c r="A96" s="1118"/>
      <c r="B96" s="96">
        <v>53204030000000</v>
      </c>
      <c r="C96" s="97" t="s">
        <v>78</v>
      </c>
      <c r="D96" s="117"/>
      <c r="E96" s="118"/>
      <c r="F96" s="119"/>
      <c r="G96" s="110">
        <f t="shared" si="4"/>
        <v>0</v>
      </c>
      <c r="H96" s="111">
        <f t="shared" si="5"/>
        <v>0</v>
      </c>
      <c r="I96" s="112"/>
    </row>
    <row r="97" spans="1:9" x14ac:dyDescent="0.25">
      <c r="A97" s="1118"/>
      <c r="B97" s="96">
        <v>53204100100001</v>
      </c>
      <c r="C97" s="97" t="s">
        <v>79</v>
      </c>
      <c r="D97" s="117">
        <v>600000</v>
      </c>
      <c r="E97" s="118"/>
      <c r="F97" s="119"/>
      <c r="G97" s="110">
        <f t="shared" si="4"/>
        <v>0</v>
      </c>
      <c r="H97" s="111">
        <f t="shared" si="5"/>
        <v>600000</v>
      </c>
      <c r="I97" s="112"/>
    </row>
    <row r="98" spans="1:9" x14ac:dyDescent="0.25">
      <c r="A98" s="1118"/>
      <c r="B98" s="96">
        <v>53204130100000</v>
      </c>
      <c r="C98" s="97" t="s">
        <v>80</v>
      </c>
      <c r="D98" s="117"/>
      <c r="E98" s="118"/>
      <c r="F98" s="119"/>
      <c r="G98" s="110">
        <f t="shared" si="4"/>
        <v>0</v>
      </c>
      <c r="H98" s="111">
        <f t="shared" si="5"/>
        <v>0</v>
      </c>
      <c r="I98" s="644"/>
    </row>
    <row r="99" spans="1:9" x14ac:dyDescent="0.25">
      <c r="A99" s="1118"/>
      <c r="B99" s="96">
        <v>53205010100000</v>
      </c>
      <c r="C99" s="97" t="s">
        <v>81</v>
      </c>
      <c r="D99" s="117"/>
      <c r="E99" s="118"/>
      <c r="F99" s="119"/>
      <c r="G99" s="110">
        <f t="shared" si="4"/>
        <v>0</v>
      </c>
      <c r="H99" s="111">
        <f t="shared" si="5"/>
        <v>0</v>
      </c>
      <c r="I99" s="112"/>
    </row>
    <row r="100" spans="1:9" x14ac:dyDescent="0.25">
      <c r="A100" s="1118"/>
      <c r="B100" s="96">
        <v>53205020100000</v>
      </c>
      <c r="C100" s="97" t="s">
        <v>82</v>
      </c>
      <c r="D100" s="117"/>
      <c r="E100" s="118"/>
      <c r="F100" s="119"/>
      <c r="G100" s="110">
        <f t="shared" si="4"/>
        <v>0</v>
      </c>
      <c r="H100" s="111">
        <f t="shared" si="5"/>
        <v>0</v>
      </c>
      <c r="I100" s="112"/>
    </row>
    <row r="101" spans="1:9" x14ac:dyDescent="0.25">
      <c r="A101" s="1118"/>
      <c r="B101" s="96">
        <v>53205030100000</v>
      </c>
      <c r="C101" s="120" t="s">
        <v>83</v>
      </c>
      <c r="D101" s="117">
        <v>0</v>
      </c>
      <c r="E101" s="118"/>
      <c r="F101" s="119"/>
      <c r="G101" s="110">
        <f t="shared" si="4"/>
        <v>0</v>
      </c>
      <c r="H101" s="111">
        <f t="shared" si="5"/>
        <v>0</v>
      </c>
      <c r="I101" s="588"/>
    </row>
    <row r="102" spans="1:9" x14ac:dyDescent="0.25">
      <c r="A102" s="1118"/>
      <c r="B102" s="96">
        <v>53205050100000</v>
      </c>
      <c r="C102" s="97" t="s">
        <v>84</v>
      </c>
      <c r="D102" s="117"/>
      <c r="E102" s="118"/>
      <c r="F102" s="119"/>
      <c r="G102" s="110">
        <f t="shared" si="4"/>
        <v>0</v>
      </c>
      <c r="H102" s="111">
        <f t="shared" si="5"/>
        <v>0</v>
      </c>
      <c r="I102" s="112"/>
    </row>
    <row r="103" spans="1:9" x14ac:dyDescent="0.25">
      <c r="A103" s="1118"/>
      <c r="B103" s="96">
        <v>53205060100000</v>
      </c>
      <c r="C103" s="97" t="s">
        <v>85</v>
      </c>
      <c r="D103" s="117"/>
      <c r="E103" s="118"/>
      <c r="F103" s="119"/>
      <c r="G103" s="110">
        <f t="shared" si="4"/>
        <v>0</v>
      </c>
      <c r="H103" s="111">
        <f t="shared" si="5"/>
        <v>0</v>
      </c>
      <c r="I103" s="112"/>
    </row>
    <row r="104" spans="1:9" x14ac:dyDescent="0.25">
      <c r="A104" s="1118"/>
      <c r="B104" s="96">
        <v>53205070100000</v>
      </c>
      <c r="C104" s="97" t="s">
        <v>86</v>
      </c>
      <c r="D104" s="117"/>
      <c r="E104" s="118"/>
      <c r="F104" s="119"/>
      <c r="G104" s="110">
        <f t="shared" si="4"/>
        <v>0</v>
      </c>
      <c r="H104" s="111">
        <f t="shared" si="5"/>
        <v>0</v>
      </c>
      <c r="I104" s="112"/>
    </row>
    <row r="105" spans="1:9" x14ac:dyDescent="0.25">
      <c r="A105" s="1118"/>
      <c r="B105" s="96">
        <v>53208010100000</v>
      </c>
      <c r="C105" s="97" t="s">
        <v>87</v>
      </c>
      <c r="D105" s="117"/>
      <c r="E105" s="118"/>
      <c r="F105" s="119"/>
      <c r="G105" s="110">
        <f t="shared" si="4"/>
        <v>0</v>
      </c>
      <c r="H105" s="111">
        <f t="shared" si="5"/>
        <v>0</v>
      </c>
      <c r="I105" s="112"/>
    </row>
    <row r="106" spans="1:9" x14ac:dyDescent="0.25">
      <c r="A106" s="1118"/>
      <c r="B106" s="96">
        <v>53208070100001</v>
      </c>
      <c r="C106" s="97" t="s">
        <v>88</v>
      </c>
      <c r="D106" s="117"/>
      <c r="E106" s="118"/>
      <c r="F106" s="119"/>
      <c r="G106" s="110">
        <f t="shared" si="4"/>
        <v>0</v>
      </c>
      <c r="H106" s="111">
        <f t="shared" si="5"/>
        <v>0</v>
      </c>
      <c r="I106" s="112"/>
    </row>
    <row r="107" spans="1:9" x14ac:dyDescent="0.25">
      <c r="A107" s="1118"/>
      <c r="B107" s="96">
        <v>53208100100001</v>
      </c>
      <c r="C107" s="97" t="s">
        <v>89</v>
      </c>
      <c r="D107" s="117"/>
      <c r="E107" s="118"/>
      <c r="F107" s="119"/>
      <c r="G107" s="110">
        <f t="shared" si="4"/>
        <v>0</v>
      </c>
      <c r="H107" s="111">
        <f t="shared" si="5"/>
        <v>0</v>
      </c>
      <c r="I107" s="112"/>
    </row>
    <row r="108" spans="1:9" x14ac:dyDescent="0.25">
      <c r="A108" s="1118"/>
      <c r="B108" s="96">
        <v>53211030000000</v>
      </c>
      <c r="C108" s="97" t="s">
        <v>90</v>
      </c>
      <c r="D108" s="117"/>
      <c r="E108" s="118"/>
      <c r="F108" s="119"/>
      <c r="G108" s="110">
        <f t="shared" si="4"/>
        <v>0</v>
      </c>
      <c r="H108" s="111">
        <f t="shared" si="5"/>
        <v>0</v>
      </c>
      <c r="I108" s="112"/>
    </row>
    <row r="109" spans="1:9" x14ac:dyDescent="0.25">
      <c r="A109" s="1118"/>
      <c r="B109" s="96">
        <v>53212020100000</v>
      </c>
      <c r="C109" s="97" t="s">
        <v>91</v>
      </c>
      <c r="D109" s="117"/>
      <c r="E109" s="118"/>
      <c r="F109" s="119"/>
      <c r="G109" s="110">
        <f t="shared" si="4"/>
        <v>0</v>
      </c>
      <c r="H109" s="111">
        <f t="shared" si="5"/>
        <v>0</v>
      </c>
      <c r="I109" s="112"/>
    </row>
    <row r="110" spans="1:9" x14ac:dyDescent="0.25">
      <c r="A110" s="1118"/>
      <c r="B110" s="96">
        <v>53214020000000</v>
      </c>
      <c r="C110" s="97" t="s">
        <v>92</v>
      </c>
      <c r="D110" s="107"/>
      <c r="E110" s="108"/>
      <c r="F110" s="109"/>
      <c r="G110" s="110">
        <f t="shared" si="4"/>
        <v>0</v>
      </c>
      <c r="H110" s="111">
        <f t="shared" si="5"/>
        <v>0</v>
      </c>
      <c r="I110" s="112"/>
    </row>
    <row r="111" spans="1:9" x14ac:dyDescent="0.25">
      <c r="A111" s="1118"/>
      <c r="B111" s="84"/>
      <c r="C111" s="85" t="s">
        <v>93</v>
      </c>
      <c r="D111" s="121">
        <f>SUM(D112,D117,D120,D131,D141,D149)</f>
        <v>2692680</v>
      </c>
      <c r="E111" s="87"/>
      <c r="F111" s="87"/>
      <c r="G111" s="122">
        <f>SUM(G112,G117,G120,G131,G141,G149)</f>
        <v>0</v>
      </c>
      <c r="H111" s="123">
        <f>SUM(H112,H117,H120,H131,H141,H149)</f>
        <v>2692680</v>
      </c>
      <c r="I111" s="112"/>
    </row>
    <row r="112" spans="1:9" x14ac:dyDescent="0.25">
      <c r="A112" s="1118"/>
      <c r="B112" s="90"/>
      <c r="C112" s="91" t="s">
        <v>94</v>
      </c>
      <c r="D112" s="92">
        <f>SUM(D113:D116)</f>
        <v>0</v>
      </c>
      <c r="E112" s="113"/>
      <c r="F112" s="113"/>
      <c r="G112" s="114">
        <f>SUM(G113:G116)</f>
        <v>0</v>
      </c>
      <c r="H112" s="124">
        <f>SUM(H113:H116)</f>
        <v>0</v>
      </c>
      <c r="I112" s="112"/>
    </row>
    <row r="113" spans="1:9" x14ac:dyDescent="0.25">
      <c r="A113" s="1118"/>
      <c r="B113" s="96">
        <v>53202020100000</v>
      </c>
      <c r="C113" s="97" t="s">
        <v>95</v>
      </c>
      <c r="D113" s="117"/>
      <c r="E113" s="118"/>
      <c r="F113" s="119"/>
      <c r="G113" s="110">
        <f>E113*F113</f>
        <v>0</v>
      </c>
      <c r="H113" s="111">
        <f>D113+G113</f>
        <v>0</v>
      </c>
      <c r="I113" s="112"/>
    </row>
    <row r="114" spans="1:9" x14ac:dyDescent="0.25">
      <c r="A114" s="1118"/>
      <c r="B114" s="96">
        <v>53202030000000</v>
      </c>
      <c r="C114" s="97" t="s">
        <v>96</v>
      </c>
      <c r="D114" s="107"/>
      <c r="E114" s="108"/>
      <c r="F114" s="109"/>
      <c r="G114" s="110">
        <f>E114*F114</f>
        <v>0</v>
      </c>
      <c r="H114" s="111">
        <f>D114+G114</f>
        <v>0</v>
      </c>
      <c r="I114" s="112"/>
    </row>
    <row r="115" spans="1:9" x14ac:dyDescent="0.25">
      <c r="A115" s="1118"/>
      <c r="B115" s="96">
        <v>53211020000000</v>
      </c>
      <c r="C115" s="97" t="s">
        <v>97</v>
      </c>
      <c r="D115" s="117"/>
      <c r="E115" s="118"/>
      <c r="F115" s="119"/>
      <c r="G115" s="110">
        <f>E115*F115</f>
        <v>0</v>
      </c>
      <c r="H115" s="111">
        <f>D115+G115</f>
        <v>0</v>
      </c>
      <c r="I115" s="112"/>
    </row>
    <row r="116" spans="1:9" x14ac:dyDescent="0.25">
      <c r="A116" s="1118"/>
      <c r="B116" s="96">
        <v>53101004030000</v>
      </c>
      <c r="C116" s="97" t="s">
        <v>98</v>
      </c>
      <c r="D116" s="107"/>
      <c r="E116" s="108"/>
      <c r="F116" s="109"/>
      <c r="G116" s="110">
        <f>E116*F116</f>
        <v>0</v>
      </c>
      <c r="H116" s="111">
        <f>D116+G116</f>
        <v>0</v>
      </c>
      <c r="I116" s="112"/>
    </row>
    <row r="117" spans="1:9" x14ac:dyDescent="0.25">
      <c r="A117" s="1118"/>
      <c r="B117" s="90"/>
      <c r="C117" s="91" t="s">
        <v>99</v>
      </c>
      <c r="D117" s="92">
        <f>SUM(D118:D119)</f>
        <v>0</v>
      </c>
      <c r="E117" s="113"/>
      <c r="F117" s="113"/>
      <c r="G117" s="114">
        <f>SUM(G118:G119)</f>
        <v>0</v>
      </c>
      <c r="H117" s="124">
        <f>SUM(H118:H119)</f>
        <v>0</v>
      </c>
      <c r="I117" s="112"/>
    </row>
    <row r="118" spans="1:9" x14ac:dyDescent="0.25">
      <c r="A118" s="1118"/>
      <c r="B118" s="96">
        <v>53205080000000</v>
      </c>
      <c r="C118" s="120" t="s">
        <v>100</v>
      </c>
      <c r="D118" s="107"/>
      <c r="E118" s="108"/>
      <c r="F118" s="109"/>
      <c r="G118" s="110">
        <f>E118*F118</f>
        <v>0</v>
      </c>
      <c r="H118" s="111">
        <f>D118+G118</f>
        <v>0</v>
      </c>
      <c r="I118" s="112"/>
    </row>
    <row r="119" spans="1:9" x14ac:dyDescent="0.25">
      <c r="A119" s="1118"/>
      <c r="B119" s="96">
        <v>53205990000000</v>
      </c>
      <c r="C119" s="97" t="s">
        <v>101</v>
      </c>
      <c r="D119" s="117"/>
      <c r="E119" s="118"/>
      <c r="F119" s="119"/>
      <c r="G119" s="110">
        <f>E119*F119</f>
        <v>0</v>
      </c>
      <c r="H119" s="111">
        <f>D119+G119</f>
        <v>0</v>
      </c>
      <c r="I119" s="112"/>
    </row>
    <row r="120" spans="1:9" x14ac:dyDescent="0.25">
      <c r="A120" s="1118"/>
      <c r="B120" s="90"/>
      <c r="C120" s="91" t="s">
        <v>102</v>
      </c>
      <c r="D120" s="92">
        <f>SUM(D121:D130)</f>
        <v>2560000</v>
      </c>
      <c r="E120" s="113"/>
      <c r="F120" s="113"/>
      <c r="G120" s="116">
        <f>SUM(G121:G130)</f>
        <v>0</v>
      </c>
      <c r="H120" s="115">
        <f>SUM(H121:H130)</f>
        <v>2560000</v>
      </c>
      <c r="I120" s="112"/>
    </row>
    <row r="121" spans="1:9" x14ac:dyDescent="0.25">
      <c r="A121" s="1118"/>
      <c r="B121" s="96">
        <v>53203010200000</v>
      </c>
      <c r="C121" s="97" t="s">
        <v>103</v>
      </c>
      <c r="D121" s="107"/>
      <c r="E121" s="107"/>
      <c r="F121" s="109"/>
      <c r="G121" s="110">
        <f t="shared" ref="G121:G130" si="6">E121*F121</f>
        <v>0</v>
      </c>
      <c r="H121" s="111">
        <f t="shared" ref="H121:H130" si="7">D121+G121</f>
        <v>0</v>
      </c>
      <c r="I121" s="112"/>
    </row>
    <row r="122" spans="1:9" x14ac:dyDescent="0.25">
      <c r="A122" s="1118"/>
      <c r="B122" s="96">
        <v>53204010000000</v>
      </c>
      <c r="C122" s="97" t="s">
        <v>104</v>
      </c>
      <c r="D122" s="117"/>
      <c r="E122" s="117"/>
      <c r="F122" s="119"/>
      <c r="G122" s="110">
        <f t="shared" si="6"/>
        <v>0</v>
      </c>
      <c r="H122" s="111">
        <f t="shared" si="7"/>
        <v>0</v>
      </c>
      <c r="I122" s="112"/>
    </row>
    <row r="123" spans="1:9" x14ac:dyDescent="0.25">
      <c r="A123" s="1118"/>
      <c r="B123" s="96">
        <v>53204040200000</v>
      </c>
      <c r="C123" s="120" t="s">
        <v>105</v>
      </c>
      <c r="D123" s="117"/>
      <c r="E123" s="117"/>
      <c r="F123" s="119"/>
      <c r="G123" s="110">
        <f t="shared" si="6"/>
        <v>0</v>
      </c>
      <c r="H123" s="111">
        <f t="shared" si="7"/>
        <v>0</v>
      </c>
      <c r="I123" s="112"/>
    </row>
    <row r="124" spans="1:9" x14ac:dyDescent="0.25">
      <c r="A124" s="1118"/>
      <c r="B124" s="96">
        <v>53204060000000</v>
      </c>
      <c r="C124" s="120" t="s">
        <v>106</v>
      </c>
      <c r="D124" s="117"/>
      <c r="E124" s="117"/>
      <c r="F124" s="119"/>
      <c r="G124" s="110">
        <f t="shared" si="6"/>
        <v>0</v>
      </c>
      <c r="H124" s="111">
        <f t="shared" si="7"/>
        <v>0</v>
      </c>
      <c r="I124" s="588"/>
    </row>
    <row r="125" spans="1:9" x14ac:dyDescent="0.25">
      <c r="A125" s="1118"/>
      <c r="B125" s="96">
        <v>53204070000000</v>
      </c>
      <c r="C125" s="120" t="s">
        <v>107</v>
      </c>
      <c r="D125" s="117">
        <v>60000</v>
      </c>
      <c r="E125" s="117"/>
      <c r="F125" s="119"/>
      <c r="G125" s="110">
        <f t="shared" si="6"/>
        <v>0</v>
      </c>
      <c r="H125" s="111">
        <f t="shared" si="7"/>
        <v>60000</v>
      </c>
      <c r="I125" s="112"/>
    </row>
    <row r="126" spans="1:9" x14ac:dyDescent="0.25">
      <c r="A126" s="1118"/>
      <c r="B126" s="96">
        <v>53204080000000</v>
      </c>
      <c r="C126" s="120" t="s">
        <v>108</v>
      </c>
      <c r="D126" s="117"/>
      <c r="E126" s="117"/>
      <c r="F126" s="119"/>
      <c r="G126" s="110">
        <f t="shared" si="6"/>
        <v>0</v>
      </c>
      <c r="H126" s="111">
        <f t="shared" si="7"/>
        <v>0</v>
      </c>
      <c r="I126" s="112"/>
    </row>
    <row r="127" spans="1:9" x14ac:dyDescent="0.25">
      <c r="A127" s="1118"/>
      <c r="B127" s="96">
        <v>53214010000000</v>
      </c>
      <c r="C127" s="120" t="s">
        <v>109</v>
      </c>
      <c r="D127" s="107">
        <v>2500000</v>
      </c>
      <c r="E127" s="107"/>
      <c r="F127" s="109"/>
      <c r="G127" s="110">
        <f t="shared" si="6"/>
        <v>0</v>
      </c>
      <c r="H127" s="111">
        <f t="shared" si="7"/>
        <v>2500000</v>
      </c>
      <c r="I127" s="112"/>
    </row>
    <row r="128" spans="1:9" x14ac:dyDescent="0.25">
      <c r="A128" s="1118"/>
      <c r="B128" s="96">
        <v>53214040000000</v>
      </c>
      <c r="C128" s="97" t="s">
        <v>110</v>
      </c>
      <c r="D128" s="107"/>
      <c r="E128" s="107"/>
      <c r="F128" s="109"/>
      <c r="G128" s="110">
        <f t="shared" si="6"/>
        <v>0</v>
      </c>
      <c r="H128" s="111">
        <f t="shared" si="7"/>
        <v>0</v>
      </c>
      <c r="I128" s="112"/>
    </row>
    <row r="129" spans="1:9" x14ac:dyDescent="0.25">
      <c r="A129" s="1118"/>
      <c r="B129" s="96">
        <v>55201010100004</v>
      </c>
      <c r="C129" s="97" t="s">
        <v>111</v>
      </c>
      <c r="D129" s="107"/>
      <c r="E129" s="608"/>
      <c r="F129" s="109"/>
      <c r="G129" s="110">
        <f t="shared" si="6"/>
        <v>0</v>
      </c>
      <c r="H129" s="111">
        <f t="shared" si="7"/>
        <v>0</v>
      </c>
      <c r="I129" s="112"/>
    </row>
    <row r="130" spans="1:9" x14ac:dyDescent="0.25">
      <c r="A130" s="1118"/>
      <c r="B130" s="96">
        <v>55201010100005</v>
      </c>
      <c r="C130" s="97" t="s">
        <v>112</v>
      </c>
      <c r="D130" s="107"/>
      <c r="E130" s="107"/>
      <c r="F130" s="109"/>
      <c r="G130" s="110">
        <f t="shared" si="6"/>
        <v>0</v>
      </c>
      <c r="H130" s="111">
        <f t="shared" si="7"/>
        <v>0</v>
      </c>
      <c r="I130" s="112"/>
    </row>
    <row r="131" spans="1:9" x14ac:dyDescent="0.25">
      <c r="A131" s="1118"/>
      <c r="B131" s="90"/>
      <c r="C131" s="91" t="s">
        <v>113</v>
      </c>
      <c r="D131" s="92">
        <f>SUM(D132:D140)</f>
        <v>37000</v>
      </c>
      <c r="E131" s="113"/>
      <c r="F131" s="113"/>
      <c r="G131" s="116">
        <f>SUM(G132:G140)</f>
        <v>0</v>
      </c>
      <c r="H131" s="115">
        <f>SUM(H132:H140)</f>
        <v>37000</v>
      </c>
      <c r="I131" s="112"/>
    </row>
    <row r="132" spans="1:9" x14ac:dyDescent="0.25">
      <c r="A132" s="1118"/>
      <c r="B132" s="96">
        <v>53207010000000</v>
      </c>
      <c r="C132" s="97" t="s">
        <v>114</v>
      </c>
      <c r="D132" s="117"/>
      <c r="E132" s="117"/>
      <c r="F132" s="119"/>
      <c r="G132" s="110">
        <f t="shared" ref="G132:G140" si="8">E132*F132</f>
        <v>0</v>
      </c>
      <c r="H132" s="111">
        <f t="shared" ref="H132:H140" si="9">D132+G132</f>
        <v>0</v>
      </c>
      <c r="I132" s="112"/>
    </row>
    <row r="133" spans="1:9" x14ac:dyDescent="0.25">
      <c r="A133" s="1118"/>
      <c r="B133" s="96">
        <v>53207020000000</v>
      </c>
      <c r="C133" s="97" t="s">
        <v>115</v>
      </c>
      <c r="D133" s="117"/>
      <c r="E133" s="117"/>
      <c r="F133" s="119"/>
      <c r="G133" s="110">
        <f t="shared" si="8"/>
        <v>0</v>
      </c>
      <c r="H133" s="111">
        <f t="shared" si="9"/>
        <v>0</v>
      </c>
      <c r="I133" s="112"/>
    </row>
    <row r="134" spans="1:9" x14ac:dyDescent="0.25">
      <c r="A134" s="1118"/>
      <c r="B134" s="96">
        <v>53208020000000</v>
      </c>
      <c r="C134" s="97" t="s">
        <v>116</v>
      </c>
      <c r="D134" s="117"/>
      <c r="E134" s="117"/>
      <c r="F134" s="119"/>
      <c r="G134" s="110">
        <f t="shared" si="8"/>
        <v>0</v>
      </c>
      <c r="H134" s="111">
        <f t="shared" si="9"/>
        <v>0</v>
      </c>
      <c r="I134" s="112"/>
    </row>
    <row r="135" spans="1:9" x14ac:dyDescent="0.25">
      <c r="A135" s="1118"/>
      <c r="B135" s="96">
        <v>53208990000000</v>
      </c>
      <c r="C135" s="97" t="s">
        <v>117</v>
      </c>
      <c r="D135" s="117">
        <v>37000</v>
      </c>
      <c r="E135" s="117"/>
      <c r="F135" s="119"/>
      <c r="G135" s="110">
        <f t="shared" si="8"/>
        <v>0</v>
      </c>
      <c r="H135" s="111">
        <f t="shared" si="9"/>
        <v>37000</v>
      </c>
      <c r="I135" s="112"/>
    </row>
    <row r="136" spans="1:9" x14ac:dyDescent="0.25">
      <c r="A136" s="1118"/>
      <c r="B136" s="96">
        <v>53209010000000</v>
      </c>
      <c r="C136" s="97" t="s">
        <v>118</v>
      </c>
      <c r="D136" s="117"/>
      <c r="E136" s="117"/>
      <c r="F136" s="119"/>
      <c r="G136" s="110">
        <f t="shared" si="8"/>
        <v>0</v>
      </c>
      <c r="H136" s="111">
        <f t="shared" si="9"/>
        <v>0</v>
      </c>
      <c r="I136" s="112"/>
    </row>
    <row r="137" spans="1:9" x14ac:dyDescent="0.25">
      <c r="A137" s="1118"/>
      <c r="B137" s="96">
        <v>53209040000000</v>
      </c>
      <c r="C137" s="97" t="s">
        <v>119</v>
      </c>
      <c r="D137" s="117"/>
      <c r="E137" s="117"/>
      <c r="F137" s="119"/>
      <c r="G137" s="110">
        <f t="shared" si="8"/>
        <v>0</v>
      </c>
      <c r="H137" s="111">
        <f t="shared" si="9"/>
        <v>0</v>
      </c>
      <c r="I137" s="112"/>
    </row>
    <row r="138" spans="1:9" x14ac:dyDescent="0.25">
      <c r="A138" s="1118"/>
      <c r="B138" s="96">
        <v>53209050000000</v>
      </c>
      <c r="C138" s="97" t="s">
        <v>120</v>
      </c>
      <c r="D138" s="117"/>
      <c r="E138" s="117"/>
      <c r="F138" s="119"/>
      <c r="G138" s="110">
        <f t="shared" si="8"/>
        <v>0</v>
      </c>
      <c r="H138" s="111">
        <f t="shared" si="9"/>
        <v>0</v>
      </c>
      <c r="I138" s="112"/>
    </row>
    <row r="139" spans="1:9" x14ac:dyDescent="0.25">
      <c r="A139" s="1118"/>
      <c r="B139" s="96">
        <v>53209990000000</v>
      </c>
      <c r="C139" s="97" t="s">
        <v>121</v>
      </c>
      <c r="D139" s="117"/>
      <c r="E139" s="117"/>
      <c r="F139" s="119"/>
      <c r="G139" s="110">
        <f t="shared" si="8"/>
        <v>0</v>
      </c>
      <c r="H139" s="111">
        <f t="shared" si="9"/>
        <v>0</v>
      </c>
      <c r="I139" s="112"/>
    </row>
    <row r="140" spans="1:9" x14ac:dyDescent="0.25">
      <c r="A140" s="1118"/>
      <c r="B140" s="96">
        <v>53210020100000</v>
      </c>
      <c r="C140" s="97" t="s">
        <v>122</v>
      </c>
      <c r="D140" s="117"/>
      <c r="E140" s="117"/>
      <c r="F140" s="119"/>
      <c r="G140" s="110">
        <f t="shared" si="8"/>
        <v>0</v>
      </c>
      <c r="H140" s="111">
        <f t="shared" si="9"/>
        <v>0</v>
      </c>
      <c r="I140" s="112"/>
    </row>
    <row r="141" spans="1:9" x14ac:dyDescent="0.25">
      <c r="A141" s="1118"/>
      <c r="B141" s="90"/>
      <c r="C141" s="91" t="s">
        <v>123</v>
      </c>
      <c r="D141" s="92">
        <f>SUM(D142:D148)</f>
        <v>0</v>
      </c>
      <c r="E141" s="113"/>
      <c r="F141" s="113"/>
      <c r="G141" s="116">
        <f>SUM(G142:G148)</f>
        <v>0</v>
      </c>
      <c r="H141" s="115">
        <f>SUM(H142:H148)</f>
        <v>0</v>
      </c>
      <c r="I141" s="112"/>
    </row>
    <row r="142" spans="1:9" x14ac:dyDescent="0.25">
      <c r="A142" s="1118"/>
      <c r="B142" s="96">
        <v>53206030000000</v>
      </c>
      <c r="C142" s="97" t="s">
        <v>124</v>
      </c>
      <c r="D142" s="117"/>
      <c r="E142" s="117"/>
      <c r="F142" s="119"/>
      <c r="G142" s="110">
        <f t="shared" ref="G142:G148" si="10">E142*F142</f>
        <v>0</v>
      </c>
      <c r="H142" s="111">
        <f t="shared" ref="H142:H148" si="11">D142+G142</f>
        <v>0</v>
      </c>
      <c r="I142" s="112"/>
    </row>
    <row r="143" spans="1:9" x14ac:dyDescent="0.25">
      <c r="A143" s="1118"/>
      <c r="B143" s="96">
        <v>53206040000000</v>
      </c>
      <c r="C143" s="97" t="s">
        <v>125</v>
      </c>
      <c r="D143" s="117"/>
      <c r="E143" s="117"/>
      <c r="F143" s="119"/>
      <c r="G143" s="110">
        <f t="shared" si="10"/>
        <v>0</v>
      </c>
      <c r="H143" s="111">
        <f t="shared" si="11"/>
        <v>0</v>
      </c>
      <c r="I143" s="112"/>
    </row>
    <row r="144" spans="1:9" x14ac:dyDescent="0.25">
      <c r="A144" s="1118"/>
      <c r="B144" s="96">
        <v>53206060000000</v>
      </c>
      <c r="C144" s="97" t="s">
        <v>126</v>
      </c>
      <c r="D144" s="117"/>
      <c r="E144" s="117"/>
      <c r="F144" s="119"/>
      <c r="G144" s="110">
        <f t="shared" si="10"/>
        <v>0</v>
      </c>
      <c r="H144" s="111">
        <f t="shared" si="11"/>
        <v>0</v>
      </c>
      <c r="I144" s="112"/>
    </row>
    <row r="145" spans="1:9" x14ac:dyDescent="0.25">
      <c r="A145" s="1118"/>
      <c r="B145" s="96">
        <v>53206070000000</v>
      </c>
      <c r="C145" s="97" t="s">
        <v>127</v>
      </c>
      <c r="D145" s="117"/>
      <c r="E145" s="117"/>
      <c r="F145" s="119"/>
      <c r="G145" s="110">
        <f t="shared" si="10"/>
        <v>0</v>
      </c>
      <c r="H145" s="111">
        <f t="shared" si="11"/>
        <v>0</v>
      </c>
      <c r="I145" s="112"/>
    </row>
    <row r="146" spans="1:9" x14ac:dyDescent="0.25">
      <c r="A146" s="1118"/>
      <c r="B146" s="96">
        <v>53206990000000</v>
      </c>
      <c r="C146" s="97" t="s">
        <v>128</v>
      </c>
      <c r="D146" s="117"/>
      <c r="E146" s="117"/>
      <c r="F146" s="119"/>
      <c r="G146" s="110">
        <f t="shared" si="10"/>
        <v>0</v>
      </c>
      <c r="H146" s="111">
        <f t="shared" si="11"/>
        <v>0</v>
      </c>
      <c r="I146" s="112"/>
    </row>
    <row r="147" spans="1:9" x14ac:dyDescent="0.25">
      <c r="A147" s="1118"/>
      <c r="B147" s="96">
        <v>53208030000000</v>
      </c>
      <c r="C147" s="97" t="s">
        <v>129</v>
      </c>
      <c r="D147" s="117"/>
      <c r="E147" s="117"/>
      <c r="F147" s="119"/>
      <c r="G147" s="110">
        <f t="shared" si="10"/>
        <v>0</v>
      </c>
      <c r="H147" s="111">
        <f t="shared" si="11"/>
        <v>0</v>
      </c>
      <c r="I147" s="112"/>
    </row>
    <row r="148" spans="1:9" x14ac:dyDescent="0.25">
      <c r="A148" s="1118"/>
      <c r="B148" s="96">
        <v>53212060000000</v>
      </c>
      <c r="C148" s="97" t="s">
        <v>130</v>
      </c>
      <c r="D148" s="107"/>
      <c r="E148" s="107"/>
      <c r="F148" s="109"/>
      <c r="G148" s="110">
        <f t="shared" si="10"/>
        <v>0</v>
      </c>
      <c r="H148" s="111">
        <f t="shared" si="11"/>
        <v>0</v>
      </c>
      <c r="I148" s="112"/>
    </row>
    <row r="149" spans="1:9" x14ac:dyDescent="0.25">
      <c r="A149" s="1118"/>
      <c r="B149" s="90"/>
      <c r="C149" s="91" t="s">
        <v>131</v>
      </c>
      <c r="D149" s="92">
        <f>SUM(D150:D151)</f>
        <v>95680</v>
      </c>
      <c r="E149" s="113"/>
      <c r="F149" s="113"/>
      <c r="G149" s="116">
        <f>SUM(G150:G151)</f>
        <v>0</v>
      </c>
      <c r="H149" s="115">
        <f>SUM(H150:H151)</f>
        <v>95680</v>
      </c>
      <c r="I149" s="112"/>
    </row>
    <row r="150" spans="1:9" x14ac:dyDescent="0.25">
      <c r="A150" s="1118"/>
      <c r="B150" s="96">
        <v>53210020500000</v>
      </c>
      <c r="C150" s="97" t="s">
        <v>132</v>
      </c>
      <c r="D150" s="107">
        <v>55886</v>
      </c>
      <c r="E150" s="107"/>
      <c r="F150" s="109"/>
      <c r="G150" s="110">
        <f>E150*F150</f>
        <v>0</v>
      </c>
      <c r="H150" s="125">
        <f>D150+G150</f>
        <v>55886</v>
      </c>
      <c r="I150" s="112"/>
    </row>
    <row r="151" spans="1:9" x14ac:dyDescent="0.25">
      <c r="A151" s="1118"/>
      <c r="B151" s="126">
        <v>53204999000000</v>
      </c>
      <c r="C151" s="127" t="s">
        <v>133</v>
      </c>
      <c r="D151" s="117">
        <v>39794</v>
      </c>
      <c r="E151" s="117"/>
      <c r="F151" s="119"/>
      <c r="G151" s="128">
        <f>E151*F151</f>
        <v>0</v>
      </c>
      <c r="H151" s="125">
        <f>D151+G151</f>
        <v>39794</v>
      </c>
      <c r="I151" s="112"/>
    </row>
    <row r="152" spans="1:9" x14ac:dyDescent="0.25">
      <c r="A152" s="1119"/>
      <c r="B152" s="129"/>
      <c r="C152" s="130" t="s">
        <v>13</v>
      </c>
      <c r="D152" s="131">
        <f>SUM(D83,D111)</f>
        <v>4375970.96</v>
      </c>
      <c r="E152" s="132"/>
      <c r="F152" s="132"/>
      <c r="G152" s="131">
        <f>SUM(G83,G111)</f>
        <v>0</v>
      </c>
      <c r="H152" s="133">
        <f>SUM(H83,H111)</f>
        <v>4375970.96</v>
      </c>
      <c r="I152" s="112"/>
    </row>
    <row r="153" spans="1:9" x14ac:dyDescent="0.25">
      <c r="A153" s="1123" t="s">
        <v>21</v>
      </c>
      <c r="B153" s="1125" t="s">
        <v>57</v>
      </c>
      <c r="C153" s="1127" t="s">
        <v>58</v>
      </c>
      <c r="D153" s="1129" t="s">
        <v>59</v>
      </c>
      <c r="E153" s="1131" t="s">
        <v>60</v>
      </c>
      <c r="F153" s="1132"/>
      <c r="G153" s="1133"/>
      <c r="H153" s="1120" t="str">
        <f>+H81</f>
        <v>COSTO DIRECTO ESTIMADO 2026</v>
      </c>
      <c r="I153" s="1122" t="s">
        <v>61</v>
      </c>
    </row>
    <row r="154" spans="1:9" ht="25.5" x14ac:dyDescent="0.25">
      <c r="A154" s="1124"/>
      <c r="B154" s="1126"/>
      <c r="C154" s="1128"/>
      <c r="D154" s="1130"/>
      <c r="E154" s="134" t="s">
        <v>62</v>
      </c>
      <c r="F154" s="135" t="s">
        <v>63</v>
      </c>
      <c r="G154" s="136" t="s">
        <v>64</v>
      </c>
      <c r="H154" s="1121"/>
      <c r="I154" s="1122"/>
    </row>
    <row r="155" spans="1:9" x14ac:dyDescent="0.25">
      <c r="A155" s="1117" t="str">
        <f>+'B) Reajuste Tarifas y Ocupación'!A25</f>
        <v>Cabañas</v>
      </c>
      <c r="B155" s="84"/>
      <c r="C155" s="85" t="s">
        <v>65</v>
      </c>
      <c r="D155" s="86">
        <f>SUM(D156,D161,D163)</f>
        <v>9445687.8399999999</v>
      </c>
      <c r="E155" s="87"/>
      <c r="F155" s="87"/>
      <c r="G155" s="88">
        <f>SUM(G156,G161,G163)</f>
        <v>0</v>
      </c>
      <c r="H155" s="89">
        <f>SUM(H156,H161,H163)</f>
        <v>9445687.8399999999</v>
      </c>
      <c r="I155" s="112"/>
    </row>
    <row r="156" spans="1:9" x14ac:dyDescent="0.25">
      <c r="A156" s="1118"/>
      <c r="B156" s="90"/>
      <c r="C156" s="91" t="s">
        <v>66</v>
      </c>
      <c r="D156" s="92">
        <f>SUM(D157:D160)</f>
        <v>4487053.84</v>
      </c>
      <c r="E156" s="93"/>
      <c r="F156" s="93"/>
      <c r="G156" s="94">
        <f>SUM(G157:G160)</f>
        <v>0</v>
      </c>
      <c r="H156" s="95">
        <f>SUM(H157:H160)</f>
        <v>4487053.84</v>
      </c>
      <c r="I156" s="112"/>
    </row>
    <row r="157" spans="1:9" x14ac:dyDescent="0.25">
      <c r="A157" s="1118"/>
      <c r="B157" s="96">
        <v>53103040100000</v>
      </c>
      <c r="C157" s="97" t="s">
        <v>67</v>
      </c>
      <c r="D157" s="98">
        <f>+'F) Remuneraciones'!M39</f>
        <v>4487053.84</v>
      </c>
      <c r="E157" s="99"/>
      <c r="F157" s="99"/>
      <c r="G157" s="100"/>
      <c r="H157" s="101">
        <f>D157+G157</f>
        <v>4487053.84</v>
      </c>
      <c r="I157" s="112"/>
    </row>
    <row r="158" spans="1:9" x14ac:dyDescent="0.25">
      <c r="A158" s="1118"/>
      <c r="B158" s="96">
        <v>53103050000000</v>
      </c>
      <c r="C158" s="97" t="s">
        <v>68</v>
      </c>
      <c r="D158" s="102"/>
      <c r="E158" s="103"/>
      <c r="F158" s="104"/>
      <c r="G158" s="105">
        <f>E158*F158</f>
        <v>0</v>
      </c>
      <c r="H158" s="106">
        <f>D158+G158</f>
        <v>0</v>
      </c>
      <c r="I158" s="112"/>
    </row>
    <row r="159" spans="1:9" x14ac:dyDescent="0.25">
      <c r="A159" s="1118"/>
      <c r="B159" s="96">
        <v>53103060000000</v>
      </c>
      <c r="C159" s="97" t="s">
        <v>69</v>
      </c>
      <c r="D159" s="107"/>
      <c r="E159" s="108"/>
      <c r="F159" s="109"/>
      <c r="G159" s="110">
        <f>E159*F159</f>
        <v>0</v>
      </c>
      <c r="H159" s="111">
        <f>D159+G159</f>
        <v>0</v>
      </c>
      <c r="I159" s="112"/>
    </row>
    <row r="160" spans="1:9" x14ac:dyDescent="0.25">
      <c r="A160" s="1118"/>
      <c r="B160" s="96">
        <v>53103080010000</v>
      </c>
      <c r="C160" s="97" t="s">
        <v>70</v>
      </c>
      <c r="D160" s="336"/>
      <c r="E160" s="108"/>
      <c r="F160" s="109"/>
      <c r="G160" s="110">
        <f>E160*F160</f>
        <v>0</v>
      </c>
      <c r="H160" s="111">
        <f>D160+G160</f>
        <v>0</v>
      </c>
      <c r="I160" s="112"/>
    </row>
    <row r="161" spans="1:9" x14ac:dyDescent="0.25">
      <c r="A161" s="1118"/>
      <c r="B161" s="90"/>
      <c r="C161" s="91" t="s">
        <v>71</v>
      </c>
      <c r="D161" s="92">
        <f>SUM(D162)</f>
        <v>0</v>
      </c>
      <c r="E161" s="113"/>
      <c r="F161" s="113"/>
      <c r="G161" s="114">
        <f>SUM(G162:G162)</f>
        <v>0</v>
      </c>
      <c r="H161" s="115">
        <f>SUM(H162:H162)</f>
        <v>0</v>
      </c>
      <c r="I161" s="112"/>
    </row>
    <row r="162" spans="1:9" x14ac:dyDescent="0.25">
      <c r="A162" s="1118"/>
      <c r="B162" s="96">
        <v>55201010100001</v>
      </c>
      <c r="C162" s="97" t="s">
        <v>72</v>
      </c>
      <c r="D162" s="107"/>
      <c r="E162" s="108"/>
      <c r="F162" s="109"/>
      <c r="G162" s="110">
        <f>E162*F162</f>
        <v>0</v>
      </c>
      <c r="H162" s="111">
        <f>D162+G162</f>
        <v>0</v>
      </c>
      <c r="I162" s="112"/>
    </row>
    <row r="163" spans="1:9" x14ac:dyDescent="0.25">
      <c r="A163" s="1118"/>
      <c r="B163" s="90"/>
      <c r="C163" s="91" t="s">
        <v>73</v>
      </c>
      <c r="D163" s="92">
        <f>SUM(D164:D182)</f>
        <v>4958634</v>
      </c>
      <c r="E163" s="113"/>
      <c r="F163" s="113"/>
      <c r="G163" s="116">
        <f>SUM(G164:G182)</f>
        <v>0</v>
      </c>
      <c r="H163" s="115">
        <f>SUM(H164:H182)</f>
        <v>4958634</v>
      </c>
      <c r="I163" s="112"/>
    </row>
    <row r="164" spans="1:9" x14ac:dyDescent="0.25">
      <c r="A164" s="1118"/>
      <c r="B164" s="96">
        <v>53201010100000</v>
      </c>
      <c r="C164" s="97" t="s">
        <v>74</v>
      </c>
      <c r="D164" s="107"/>
      <c r="E164" s="108"/>
      <c r="F164" s="109"/>
      <c r="G164" s="110">
        <f t="shared" ref="G164:G182" si="12">E164*F164</f>
        <v>0</v>
      </c>
      <c r="H164" s="111">
        <f t="shared" ref="H164:H182" si="13">D164+G164</f>
        <v>0</v>
      </c>
      <c r="I164" s="112"/>
    </row>
    <row r="165" spans="1:9" x14ac:dyDescent="0.25">
      <c r="A165" s="1118"/>
      <c r="B165" s="96">
        <v>53202010100000</v>
      </c>
      <c r="C165" s="97" t="s">
        <v>75</v>
      </c>
      <c r="D165" s="107"/>
      <c r="E165" s="108"/>
      <c r="F165" s="109"/>
      <c r="G165" s="110">
        <f t="shared" si="12"/>
        <v>0</v>
      </c>
      <c r="H165" s="111">
        <f t="shared" si="13"/>
        <v>0</v>
      </c>
      <c r="I165" s="112"/>
    </row>
    <row r="166" spans="1:9" x14ac:dyDescent="0.25">
      <c r="A166" s="1118"/>
      <c r="B166" s="96">
        <v>53203010100000</v>
      </c>
      <c r="C166" s="97" t="s">
        <v>76</v>
      </c>
      <c r="D166" s="117"/>
      <c r="E166" s="118"/>
      <c r="F166" s="119"/>
      <c r="G166" s="110">
        <f t="shared" si="12"/>
        <v>0</v>
      </c>
      <c r="H166" s="111">
        <f t="shared" si="13"/>
        <v>0</v>
      </c>
      <c r="I166" s="112"/>
    </row>
    <row r="167" spans="1:9" x14ac:dyDescent="0.25">
      <c r="A167" s="1118"/>
      <c r="B167" s="96">
        <v>53203030000000</v>
      </c>
      <c r="C167" s="120" t="s">
        <v>77</v>
      </c>
      <c r="D167" s="117">
        <v>2558808</v>
      </c>
      <c r="E167" s="118"/>
      <c r="F167" s="119"/>
      <c r="G167" s="110">
        <f t="shared" si="12"/>
        <v>0</v>
      </c>
      <c r="H167" s="111">
        <f t="shared" si="13"/>
        <v>2558808</v>
      </c>
      <c r="I167" s="643"/>
    </row>
    <row r="168" spans="1:9" x14ac:dyDescent="0.25">
      <c r="A168" s="1118"/>
      <c r="B168" s="96">
        <v>53204030000000</v>
      </c>
      <c r="C168" s="120" t="s">
        <v>78</v>
      </c>
      <c r="D168" s="117"/>
      <c r="E168" s="118"/>
      <c r="F168" s="119"/>
      <c r="G168" s="110">
        <f t="shared" si="12"/>
        <v>0</v>
      </c>
      <c r="H168" s="111">
        <f t="shared" si="13"/>
        <v>0</v>
      </c>
      <c r="I168" s="643"/>
    </row>
    <row r="169" spans="1:9" x14ac:dyDescent="0.25">
      <c r="A169" s="1118"/>
      <c r="B169" s="96">
        <v>53204100100001</v>
      </c>
      <c r="C169" s="120" t="s">
        <v>79</v>
      </c>
      <c r="D169" s="117">
        <v>639351</v>
      </c>
      <c r="E169" s="118"/>
      <c r="F169" s="119"/>
      <c r="G169" s="110">
        <f t="shared" si="12"/>
        <v>0</v>
      </c>
      <c r="H169" s="111">
        <f t="shared" si="13"/>
        <v>639351</v>
      </c>
      <c r="I169" s="643"/>
    </row>
    <row r="170" spans="1:9" x14ac:dyDescent="0.25">
      <c r="A170" s="1118"/>
      <c r="B170" s="96">
        <v>53204130100000</v>
      </c>
      <c r="C170" s="120" t="s">
        <v>80</v>
      </c>
      <c r="D170" s="117"/>
      <c r="E170" s="118"/>
      <c r="F170" s="119"/>
      <c r="G170" s="110">
        <f t="shared" si="12"/>
        <v>0</v>
      </c>
      <c r="H170" s="111">
        <f t="shared" si="13"/>
        <v>0</v>
      </c>
      <c r="I170" s="643"/>
    </row>
    <row r="171" spans="1:9" x14ac:dyDescent="0.25">
      <c r="A171" s="1118"/>
      <c r="B171" s="96">
        <v>53205010100000</v>
      </c>
      <c r="C171" s="120" t="s">
        <v>81</v>
      </c>
      <c r="D171" s="117">
        <v>48070</v>
      </c>
      <c r="E171" s="118"/>
      <c r="F171" s="119"/>
      <c r="G171" s="110">
        <f t="shared" si="12"/>
        <v>0</v>
      </c>
      <c r="H171" s="111">
        <f t="shared" si="13"/>
        <v>48070</v>
      </c>
      <c r="I171" s="643"/>
    </row>
    <row r="172" spans="1:9" x14ac:dyDescent="0.25">
      <c r="A172" s="1118"/>
      <c r="B172" s="96">
        <v>53205020100000</v>
      </c>
      <c r="C172" s="120" t="s">
        <v>82</v>
      </c>
      <c r="D172" s="117">
        <v>264037</v>
      </c>
      <c r="E172" s="118"/>
      <c r="F172" s="119"/>
      <c r="G172" s="110">
        <f t="shared" si="12"/>
        <v>0</v>
      </c>
      <c r="H172" s="111">
        <f t="shared" si="13"/>
        <v>264037</v>
      </c>
      <c r="I172" s="643"/>
    </row>
    <row r="173" spans="1:9" x14ac:dyDescent="0.25">
      <c r="A173" s="1118"/>
      <c r="B173" s="96">
        <v>53205030100000</v>
      </c>
      <c r="C173" s="120" t="s">
        <v>83</v>
      </c>
      <c r="D173" s="117">
        <v>149365</v>
      </c>
      <c r="E173" s="118"/>
      <c r="F173" s="119"/>
      <c r="G173" s="110">
        <f t="shared" si="12"/>
        <v>0</v>
      </c>
      <c r="H173" s="111">
        <f t="shared" si="13"/>
        <v>149365</v>
      </c>
      <c r="I173" s="643"/>
    </row>
    <row r="174" spans="1:9" x14ac:dyDescent="0.25">
      <c r="A174" s="1118"/>
      <c r="B174" s="96">
        <v>53205050100000</v>
      </c>
      <c r="C174" s="120" t="s">
        <v>84</v>
      </c>
      <c r="D174" s="117"/>
      <c r="E174" s="118"/>
      <c r="F174" s="119"/>
      <c r="G174" s="110">
        <f t="shared" si="12"/>
        <v>0</v>
      </c>
      <c r="H174" s="111">
        <f t="shared" si="13"/>
        <v>0</v>
      </c>
      <c r="I174" s="643"/>
    </row>
    <row r="175" spans="1:9" x14ac:dyDescent="0.25">
      <c r="A175" s="1118"/>
      <c r="B175" s="96">
        <v>53205060100000</v>
      </c>
      <c r="C175" s="120" t="s">
        <v>85</v>
      </c>
      <c r="D175" s="117"/>
      <c r="E175" s="118"/>
      <c r="F175" s="119"/>
      <c r="G175" s="110">
        <f t="shared" si="12"/>
        <v>0</v>
      </c>
      <c r="H175" s="111">
        <f t="shared" si="13"/>
        <v>0</v>
      </c>
      <c r="I175" s="643"/>
    </row>
    <row r="176" spans="1:9" x14ac:dyDescent="0.25">
      <c r="A176" s="1118"/>
      <c r="B176" s="96">
        <v>53205070100000</v>
      </c>
      <c r="C176" s="120" t="s">
        <v>86</v>
      </c>
      <c r="D176" s="117">
        <v>628740</v>
      </c>
      <c r="E176" s="118"/>
      <c r="F176" s="119"/>
      <c r="G176" s="110">
        <f t="shared" si="12"/>
        <v>0</v>
      </c>
      <c r="H176" s="111">
        <f t="shared" si="13"/>
        <v>628740</v>
      </c>
      <c r="I176" s="643"/>
    </row>
    <row r="177" spans="1:9" x14ac:dyDescent="0.25">
      <c r="A177" s="1118"/>
      <c r="B177" s="96">
        <v>53208010100000</v>
      </c>
      <c r="C177" s="120" t="s">
        <v>87</v>
      </c>
      <c r="D177" s="117">
        <v>598088</v>
      </c>
      <c r="E177" s="118"/>
      <c r="F177" s="119"/>
      <c r="G177" s="110">
        <f t="shared" si="12"/>
        <v>0</v>
      </c>
      <c r="H177" s="111">
        <f t="shared" si="13"/>
        <v>598088</v>
      </c>
      <c r="I177" s="643"/>
    </row>
    <row r="178" spans="1:9" x14ac:dyDescent="0.25">
      <c r="A178" s="1118"/>
      <c r="B178" s="96">
        <v>53208070100001</v>
      </c>
      <c r="C178" s="97" t="s">
        <v>88</v>
      </c>
      <c r="D178" s="117"/>
      <c r="E178" s="118"/>
      <c r="F178" s="119"/>
      <c r="G178" s="110">
        <f t="shared" si="12"/>
        <v>0</v>
      </c>
      <c r="H178" s="111">
        <f t="shared" si="13"/>
        <v>0</v>
      </c>
      <c r="I178" s="643"/>
    </row>
    <row r="179" spans="1:9" x14ac:dyDescent="0.25">
      <c r="A179" s="1118"/>
      <c r="B179" s="96">
        <v>53208100100001</v>
      </c>
      <c r="C179" s="97" t="s">
        <v>89</v>
      </c>
      <c r="D179" s="117"/>
      <c r="E179" s="118"/>
      <c r="F179" s="119"/>
      <c r="G179" s="110">
        <f t="shared" si="12"/>
        <v>0</v>
      </c>
      <c r="H179" s="111">
        <f t="shared" si="13"/>
        <v>0</v>
      </c>
      <c r="I179" s="112"/>
    </row>
    <row r="180" spans="1:9" x14ac:dyDescent="0.25">
      <c r="A180" s="1118"/>
      <c r="B180" s="96">
        <v>53211030000000</v>
      </c>
      <c r="C180" s="97" t="s">
        <v>90</v>
      </c>
      <c r="D180" s="117"/>
      <c r="E180" s="118"/>
      <c r="F180" s="119"/>
      <c r="G180" s="110">
        <f t="shared" si="12"/>
        <v>0</v>
      </c>
      <c r="H180" s="111">
        <f t="shared" si="13"/>
        <v>0</v>
      </c>
      <c r="I180" s="112"/>
    </row>
    <row r="181" spans="1:9" x14ac:dyDescent="0.25">
      <c r="A181" s="1118"/>
      <c r="B181" s="96">
        <v>53212020100000</v>
      </c>
      <c r="C181" s="97" t="s">
        <v>91</v>
      </c>
      <c r="D181" s="117">
        <v>72175</v>
      </c>
      <c r="E181" s="118"/>
      <c r="F181" s="119"/>
      <c r="G181" s="110">
        <f t="shared" si="12"/>
        <v>0</v>
      </c>
      <c r="H181" s="111">
        <f t="shared" si="13"/>
        <v>72175</v>
      </c>
      <c r="I181" s="112"/>
    </row>
    <row r="182" spans="1:9" x14ac:dyDescent="0.25">
      <c r="A182" s="1118"/>
      <c r="B182" s="96">
        <v>53214020000000</v>
      </c>
      <c r="C182" s="97" t="s">
        <v>92</v>
      </c>
      <c r="D182" s="107"/>
      <c r="E182" s="108"/>
      <c r="F182" s="109"/>
      <c r="G182" s="110">
        <f t="shared" si="12"/>
        <v>0</v>
      </c>
      <c r="H182" s="111">
        <f t="shared" si="13"/>
        <v>0</v>
      </c>
      <c r="I182" s="112"/>
    </row>
    <row r="183" spans="1:9" x14ac:dyDescent="0.25">
      <c r="A183" s="1118"/>
      <c r="B183" s="84"/>
      <c r="C183" s="85" t="s">
        <v>93</v>
      </c>
      <c r="D183" s="121">
        <f>SUM(D184,D189,D192,D203,D213,D221)</f>
        <v>3841196</v>
      </c>
      <c r="E183" s="87"/>
      <c r="F183" s="87"/>
      <c r="G183" s="122">
        <f>SUM(G184,G189,G192,G203,G213,G221)</f>
        <v>0</v>
      </c>
      <c r="H183" s="123">
        <f>SUM(H184,H189,H192,H203,H213,H221)</f>
        <v>3841196</v>
      </c>
      <c r="I183" s="112"/>
    </row>
    <row r="184" spans="1:9" x14ac:dyDescent="0.25">
      <c r="A184" s="1118"/>
      <c r="B184" s="90"/>
      <c r="C184" s="91" t="s">
        <v>94</v>
      </c>
      <c r="D184" s="92">
        <f>SUM(D185:D188)</f>
        <v>30000</v>
      </c>
      <c r="E184" s="113"/>
      <c r="F184" s="113"/>
      <c r="G184" s="114">
        <f>SUM(G185:G188)</f>
        <v>0</v>
      </c>
      <c r="H184" s="124">
        <f>SUM(H185:H188)</f>
        <v>30000</v>
      </c>
      <c r="I184" s="112"/>
    </row>
    <row r="185" spans="1:9" x14ac:dyDescent="0.25">
      <c r="A185" s="1118"/>
      <c r="B185" s="96">
        <v>53202020100000</v>
      </c>
      <c r="C185" s="97" t="s">
        <v>95</v>
      </c>
      <c r="D185" s="117"/>
      <c r="E185" s="118"/>
      <c r="F185" s="119"/>
      <c r="G185" s="110">
        <f>E185*F185</f>
        <v>0</v>
      </c>
      <c r="H185" s="111">
        <f>D185+G185</f>
        <v>0</v>
      </c>
      <c r="I185" s="112"/>
    </row>
    <row r="186" spans="1:9" x14ac:dyDescent="0.25">
      <c r="A186" s="1118"/>
      <c r="B186" s="96">
        <v>53202030000000</v>
      </c>
      <c r="C186" s="97" t="s">
        <v>96</v>
      </c>
      <c r="D186" s="107">
        <v>30000</v>
      </c>
      <c r="E186" s="108"/>
      <c r="F186" s="109"/>
      <c r="G186" s="110">
        <f>E186*F186</f>
        <v>0</v>
      </c>
      <c r="H186" s="111">
        <f>D186+G186</f>
        <v>30000</v>
      </c>
      <c r="I186" s="112"/>
    </row>
    <row r="187" spans="1:9" x14ac:dyDescent="0.25">
      <c r="A187" s="1118"/>
      <c r="B187" s="96">
        <v>53211020000000</v>
      </c>
      <c r="C187" s="97" t="s">
        <v>97</v>
      </c>
      <c r="D187" s="117"/>
      <c r="E187" s="118"/>
      <c r="F187" s="119"/>
      <c r="G187" s="110">
        <f>E187*F187</f>
        <v>0</v>
      </c>
      <c r="H187" s="111">
        <f>D187+G187</f>
        <v>0</v>
      </c>
      <c r="I187" s="112"/>
    </row>
    <row r="188" spans="1:9" x14ac:dyDescent="0.25">
      <c r="A188" s="1118"/>
      <c r="B188" s="96">
        <v>53101004030000</v>
      </c>
      <c r="C188" s="97" t="s">
        <v>98</v>
      </c>
      <c r="D188" s="107"/>
      <c r="E188" s="108"/>
      <c r="F188" s="109"/>
      <c r="G188" s="110">
        <f>E188*F188</f>
        <v>0</v>
      </c>
      <c r="H188" s="111">
        <f>D188+G188</f>
        <v>0</v>
      </c>
      <c r="I188" s="112"/>
    </row>
    <row r="189" spans="1:9" x14ac:dyDescent="0.25">
      <c r="A189" s="1118"/>
      <c r="B189" s="90"/>
      <c r="C189" s="91" t="s">
        <v>99</v>
      </c>
      <c r="D189" s="92">
        <f>SUM(D190:D191)</f>
        <v>0</v>
      </c>
      <c r="E189" s="113"/>
      <c r="F189" s="113"/>
      <c r="G189" s="114">
        <f>SUM(G190:G191)</f>
        <v>0</v>
      </c>
      <c r="H189" s="124">
        <f>SUM(H190:H191)</f>
        <v>0</v>
      </c>
      <c r="I189" s="112"/>
    </row>
    <row r="190" spans="1:9" x14ac:dyDescent="0.25">
      <c r="A190" s="1118"/>
      <c r="B190" s="96">
        <v>53205080000000</v>
      </c>
      <c r="C190" s="120" t="s">
        <v>100</v>
      </c>
      <c r="D190" s="107"/>
      <c r="E190" s="108"/>
      <c r="F190" s="109"/>
      <c r="G190" s="110">
        <f>E190*F190</f>
        <v>0</v>
      </c>
      <c r="H190" s="111">
        <f>D190+G190</f>
        <v>0</v>
      </c>
      <c r="I190" s="112"/>
    </row>
    <row r="191" spans="1:9" x14ac:dyDescent="0.25">
      <c r="A191" s="1118"/>
      <c r="B191" s="96">
        <v>53205990000000</v>
      </c>
      <c r="C191" s="97" t="s">
        <v>101</v>
      </c>
      <c r="D191" s="117"/>
      <c r="E191" s="118"/>
      <c r="F191" s="119"/>
      <c r="G191" s="110">
        <f>E191*F191</f>
        <v>0</v>
      </c>
      <c r="H191" s="111">
        <f>D191+G191</f>
        <v>0</v>
      </c>
      <c r="I191" s="112"/>
    </row>
    <row r="192" spans="1:9" x14ac:dyDescent="0.25">
      <c r="A192" s="1118"/>
      <c r="B192" s="90"/>
      <c r="C192" s="91" t="s">
        <v>102</v>
      </c>
      <c r="D192" s="92">
        <f>SUM(D193:D202)</f>
        <v>1665860</v>
      </c>
      <c r="E192" s="113"/>
      <c r="F192" s="113"/>
      <c r="G192" s="116">
        <f>SUM(G193:G202)</f>
        <v>0</v>
      </c>
      <c r="H192" s="115">
        <f>SUM(H193:H202)</f>
        <v>1665860</v>
      </c>
      <c r="I192" s="112"/>
    </row>
    <row r="193" spans="1:9" x14ac:dyDescent="0.25">
      <c r="A193" s="1118"/>
      <c r="B193" s="96">
        <v>53203010200000</v>
      </c>
      <c r="C193" s="97" t="s">
        <v>103</v>
      </c>
      <c r="D193" s="107"/>
      <c r="E193" s="107"/>
      <c r="F193" s="109"/>
      <c r="G193" s="110">
        <f t="shared" ref="G193:G202" si="14">E193*F193</f>
        <v>0</v>
      </c>
      <c r="H193" s="111">
        <f t="shared" ref="H193:H202" si="15">D193+G193</f>
        <v>0</v>
      </c>
      <c r="I193" s="112"/>
    </row>
    <row r="194" spans="1:9" x14ac:dyDescent="0.25">
      <c r="A194" s="1118"/>
      <c r="B194" s="96">
        <v>53204010000000</v>
      </c>
      <c r="C194" s="97" t="s">
        <v>104</v>
      </c>
      <c r="D194" s="117"/>
      <c r="E194" s="117"/>
      <c r="F194" s="119"/>
      <c r="G194" s="110">
        <f t="shared" si="14"/>
        <v>0</v>
      </c>
      <c r="H194" s="111">
        <f>D194+G194</f>
        <v>0</v>
      </c>
      <c r="I194" s="112"/>
    </row>
    <row r="195" spans="1:9" x14ac:dyDescent="0.25">
      <c r="A195" s="1118"/>
      <c r="B195" s="96">
        <v>53204040200000</v>
      </c>
      <c r="C195" s="120" t="s">
        <v>105</v>
      </c>
      <c r="D195" s="117"/>
      <c r="E195" s="117"/>
      <c r="F195" s="119"/>
      <c r="G195" s="110">
        <f t="shared" si="14"/>
        <v>0</v>
      </c>
      <c r="H195" s="111">
        <f t="shared" si="15"/>
        <v>0</v>
      </c>
      <c r="I195" s="112"/>
    </row>
    <row r="196" spans="1:9" x14ac:dyDescent="0.25">
      <c r="A196" s="1118"/>
      <c r="B196" s="96">
        <v>53204060000000</v>
      </c>
      <c r="C196" s="120" t="s">
        <v>106</v>
      </c>
      <c r="D196" s="117"/>
      <c r="E196" s="117"/>
      <c r="F196" s="119"/>
      <c r="G196" s="110">
        <v>0</v>
      </c>
      <c r="H196" s="111">
        <f t="shared" si="15"/>
        <v>0</v>
      </c>
      <c r="I196" s="643"/>
    </row>
    <row r="197" spans="1:9" x14ac:dyDescent="0.25">
      <c r="A197" s="1118"/>
      <c r="B197" s="96">
        <v>53204070000000</v>
      </c>
      <c r="C197" s="120" t="s">
        <v>107</v>
      </c>
      <c r="D197" s="117">
        <v>1665860</v>
      </c>
      <c r="E197" s="117"/>
      <c r="F197" s="119"/>
      <c r="G197" s="110">
        <v>0</v>
      </c>
      <c r="H197" s="111">
        <f t="shared" si="15"/>
        <v>1665860</v>
      </c>
      <c r="I197" s="643"/>
    </row>
    <row r="198" spans="1:9" x14ac:dyDescent="0.25">
      <c r="A198" s="1118"/>
      <c r="B198" s="96">
        <v>53204080000000</v>
      </c>
      <c r="C198" s="120" t="s">
        <v>108</v>
      </c>
      <c r="D198" s="117"/>
      <c r="E198" s="117"/>
      <c r="F198" s="119"/>
      <c r="G198" s="110">
        <f t="shared" si="14"/>
        <v>0</v>
      </c>
      <c r="H198" s="111">
        <f t="shared" si="15"/>
        <v>0</v>
      </c>
      <c r="I198" s="112"/>
    </row>
    <row r="199" spans="1:9" x14ac:dyDescent="0.25">
      <c r="A199" s="1118"/>
      <c r="B199" s="96">
        <v>53214010000000</v>
      </c>
      <c r="C199" s="120" t="s">
        <v>109</v>
      </c>
      <c r="D199" s="107"/>
      <c r="E199" s="107"/>
      <c r="F199" s="109"/>
      <c r="G199" s="110">
        <f t="shared" si="14"/>
        <v>0</v>
      </c>
      <c r="H199" s="111">
        <f t="shared" si="15"/>
        <v>0</v>
      </c>
      <c r="I199" s="112"/>
    </row>
    <row r="200" spans="1:9" x14ac:dyDescent="0.25">
      <c r="A200" s="1118"/>
      <c r="B200" s="96">
        <v>53214040000000</v>
      </c>
      <c r="C200" s="97" t="s">
        <v>110</v>
      </c>
      <c r="D200" s="107"/>
      <c r="E200" s="107"/>
      <c r="F200" s="109"/>
      <c r="G200" s="110">
        <f t="shared" si="14"/>
        <v>0</v>
      </c>
      <c r="H200" s="111">
        <f t="shared" si="15"/>
        <v>0</v>
      </c>
      <c r="I200" s="112"/>
    </row>
    <row r="201" spans="1:9" x14ac:dyDescent="0.25">
      <c r="A201" s="1118"/>
      <c r="B201" s="96">
        <v>55201010100004</v>
      </c>
      <c r="C201" s="97" t="s">
        <v>111</v>
      </c>
      <c r="D201" s="107"/>
      <c r="E201" s="608"/>
      <c r="F201" s="109"/>
      <c r="G201" s="110">
        <f t="shared" si="14"/>
        <v>0</v>
      </c>
      <c r="H201" s="111">
        <f t="shared" si="15"/>
        <v>0</v>
      </c>
      <c r="I201" s="112"/>
    </row>
    <row r="202" spans="1:9" x14ac:dyDescent="0.25">
      <c r="A202" s="1118"/>
      <c r="B202" s="96">
        <v>55201010100005</v>
      </c>
      <c r="C202" s="97" t="s">
        <v>112</v>
      </c>
      <c r="D202" s="107"/>
      <c r="E202" s="107"/>
      <c r="F202" s="109"/>
      <c r="G202" s="110">
        <f t="shared" si="14"/>
        <v>0</v>
      </c>
      <c r="H202" s="111">
        <f t="shared" si="15"/>
        <v>0</v>
      </c>
      <c r="I202" s="112"/>
    </row>
    <row r="203" spans="1:9" x14ac:dyDescent="0.25">
      <c r="A203" s="1118"/>
      <c r="B203" s="90"/>
      <c r="C203" s="91" t="s">
        <v>113</v>
      </c>
      <c r="D203" s="92">
        <f>SUM(D204:D212)</f>
        <v>723183</v>
      </c>
      <c r="E203" s="113"/>
      <c r="F203" s="113"/>
      <c r="G203" s="116">
        <f>SUM(G204:G212)</f>
        <v>0</v>
      </c>
      <c r="H203" s="115">
        <f>SUM(H204:H212)</f>
        <v>723183</v>
      </c>
      <c r="I203" s="112"/>
    </row>
    <row r="204" spans="1:9" x14ac:dyDescent="0.25">
      <c r="A204" s="1118"/>
      <c r="B204" s="96">
        <v>53207010000000</v>
      </c>
      <c r="C204" s="97" t="s">
        <v>114</v>
      </c>
      <c r="D204" s="117"/>
      <c r="E204" s="117"/>
      <c r="F204" s="119"/>
      <c r="G204" s="110">
        <f t="shared" ref="G204:G212" si="16">E204*F204</f>
        <v>0</v>
      </c>
      <c r="H204" s="111">
        <f t="shared" ref="H204:H212" si="17">D204+G204</f>
        <v>0</v>
      </c>
      <c r="I204" s="112"/>
    </row>
    <row r="205" spans="1:9" x14ac:dyDescent="0.25">
      <c r="A205" s="1118"/>
      <c r="B205" s="96">
        <v>53207020000000</v>
      </c>
      <c r="C205" s="97" t="s">
        <v>115</v>
      </c>
      <c r="D205" s="117"/>
      <c r="E205" s="117"/>
      <c r="F205" s="119"/>
      <c r="G205" s="110">
        <f t="shared" si="16"/>
        <v>0</v>
      </c>
      <c r="H205" s="111">
        <f t="shared" si="17"/>
        <v>0</v>
      </c>
      <c r="I205" s="112"/>
    </row>
    <row r="206" spans="1:9" x14ac:dyDescent="0.25">
      <c r="A206" s="1118"/>
      <c r="B206" s="96">
        <v>53208020000000</v>
      </c>
      <c r="C206" s="97" t="s">
        <v>116</v>
      </c>
      <c r="D206" s="117"/>
      <c r="E206" s="117"/>
      <c r="F206" s="119"/>
      <c r="G206" s="110">
        <f t="shared" si="16"/>
        <v>0</v>
      </c>
      <c r="H206" s="111">
        <f t="shared" si="17"/>
        <v>0</v>
      </c>
      <c r="I206" s="112"/>
    </row>
    <row r="207" spans="1:9" x14ac:dyDescent="0.25">
      <c r="A207" s="1118"/>
      <c r="B207" s="96">
        <v>53208990000000</v>
      </c>
      <c r="C207" s="120" t="s">
        <v>117</v>
      </c>
      <c r="D207" s="117">
        <v>605605</v>
      </c>
      <c r="E207" s="117"/>
      <c r="F207" s="119"/>
      <c r="G207" s="110">
        <f t="shared" si="16"/>
        <v>0</v>
      </c>
      <c r="H207" s="111">
        <f t="shared" si="17"/>
        <v>605605</v>
      </c>
      <c r="I207" s="112"/>
    </row>
    <row r="208" spans="1:9" x14ac:dyDescent="0.25">
      <c r="A208" s="1118"/>
      <c r="B208" s="96">
        <v>53209010000000</v>
      </c>
      <c r="C208" s="97" t="s">
        <v>118</v>
      </c>
      <c r="D208" s="117"/>
      <c r="E208" s="117"/>
      <c r="F208" s="119"/>
      <c r="G208" s="110">
        <f t="shared" si="16"/>
        <v>0</v>
      </c>
      <c r="H208" s="111">
        <f t="shared" si="17"/>
        <v>0</v>
      </c>
      <c r="I208" s="112"/>
    </row>
    <row r="209" spans="1:9" x14ac:dyDescent="0.25">
      <c r="A209" s="1118"/>
      <c r="B209" s="96">
        <v>53209040000000</v>
      </c>
      <c r="C209" s="97" t="s">
        <v>119</v>
      </c>
      <c r="D209" s="117"/>
      <c r="E209" s="117"/>
      <c r="F209" s="119"/>
      <c r="G209" s="110">
        <f t="shared" si="16"/>
        <v>0</v>
      </c>
      <c r="H209" s="111">
        <f t="shared" si="17"/>
        <v>0</v>
      </c>
      <c r="I209" s="112"/>
    </row>
    <row r="210" spans="1:9" x14ac:dyDescent="0.25">
      <c r="A210" s="1118"/>
      <c r="B210" s="96">
        <v>53209050000000</v>
      </c>
      <c r="C210" s="97" t="s">
        <v>120</v>
      </c>
      <c r="D210" s="117">
        <v>117578</v>
      </c>
      <c r="E210" s="117"/>
      <c r="F210" s="119"/>
      <c r="G210" s="110">
        <f t="shared" si="16"/>
        <v>0</v>
      </c>
      <c r="H210" s="111">
        <f t="shared" si="17"/>
        <v>117578</v>
      </c>
      <c r="I210" s="112"/>
    </row>
    <row r="211" spans="1:9" x14ac:dyDescent="0.25">
      <c r="A211" s="1118"/>
      <c r="B211" s="96">
        <v>53209990000000</v>
      </c>
      <c r="C211" s="97" t="s">
        <v>121</v>
      </c>
      <c r="D211" s="117"/>
      <c r="E211" s="117"/>
      <c r="F211" s="119"/>
      <c r="G211" s="110">
        <f t="shared" si="16"/>
        <v>0</v>
      </c>
      <c r="H211" s="111">
        <f t="shared" si="17"/>
        <v>0</v>
      </c>
      <c r="I211" s="112"/>
    </row>
    <row r="212" spans="1:9" x14ac:dyDescent="0.25">
      <c r="A212" s="1118"/>
      <c r="B212" s="96">
        <v>53210020100000</v>
      </c>
      <c r="C212" s="97" t="s">
        <v>122</v>
      </c>
      <c r="D212" s="117"/>
      <c r="E212" s="117"/>
      <c r="F212" s="119"/>
      <c r="G212" s="110">
        <f t="shared" si="16"/>
        <v>0</v>
      </c>
      <c r="H212" s="111">
        <f t="shared" si="17"/>
        <v>0</v>
      </c>
      <c r="I212" s="112"/>
    </row>
    <row r="213" spans="1:9" x14ac:dyDescent="0.25">
      <c r="A213" s="1118"/>
      <c r="B213" s="90"/>
      <c r="C213" s="91" t="s">
        <v>123</v>
      </c>
      <c r="D213" s="92">
        <f>SUM(D214:D220)</f>
        <v>0</v>
      </c>
      <c r="E213" s="113"/>
      <c r="F213" s="113"/>
      <c r="G213" s="116">
        <f>SUM(G214:G220)</f>
        <v>0</v>
      </c>
      <c r="H213" s="115">
        <f>SUM(H214:H220)</f>
        <v>0</v>
      </c>
      <c r="I213" s="112"/>
    </row>
    <row r="214" spans="1:9" x14ac:dyDescent="0.25">
      <c r="A214" s="1118"/>
      <c r="B214" s="96">
        <v>53206030000000</v>
      </c>
      <c r="C214" s="97" t="s">
        <v>124</v>
      </c>
      <c r="D214" s="117"/>
      <c r="E214" s="117"/>
      <c r="F214" s="119"/>
      <c r="G214" s="110">
        <f t="shared" ref="G214:G220" si="18">E214*F214</f>
        <v>0</v>
      </c>
      <c r="H214" s="111">
        <f t="shared" ref="H214:H220" si="19">D214+G214</f>
        <v>0</v>
      </c>
      <c r="I214" s="112"/>
    </row>
    <row r="215" spans="1:9" x14ac:dyDescent="0.25">
      <c r="A215" s="1118"/>
      <c r="B215" s="96">
        <v>53206040000000</v>
      </c>
      <c r="C215" s="97" t="s">
        <v>125</v>
      </c>
      <c r="D215" s="117"/>
      <c r="E215" s="117"/>
      <c r="F215" s="119"/>
      <c r="G215" s="110">
        <f t="shared" si="18"/>
        <v>0</v>
      </c>
      <c r="H215" s="111">
        <f t="shared" si="19"/>
        <v>0</v>
      </c>
      <c r="I215" s="112"/>
    </row>
    <row r="216" spans="1:9" x14ac:dyDescent="0.25">
      <c r="A216" s="1118"/>
      <c r="B216" s="96">
        <v>53206060000000</v>
      </c>
      <c r="C216" s="97" t="s">
        <v>126</v>
      </c>
      <c r="D216" s="117"/>
      <c r="E216" s="117"/>
      <c r="F216" s="119"/>
      <c r="G216" s="110">
        <f t="shared" si="18"/>
        <v>0</v>
      </c>
      <c r="H216" s="111">
        <f t="shared" si="19"/>
        <v>0</v>
      </c>
      <c r="I216" s="112"/>
    </row>
    <row r="217" spans="1:9" x14ac:dyDescent="0.25">
      <c r="A217" s="1118"/>
      <c r="B217" s="96">
        <v>53206070000000</v>
      </c>
      <c r="C217" s="97" t="s">
        <v>127</v>
      </c>
      <c r="D217" s="117"/>
      <c r="E217" s="117"/>
      <c r="F217" s="119"/>
      <c r="G217" s="110">
        <f t="shared" si="18"/>
        <v>0</v>
      </c>
      <c r="H217" s="111">
        <f t="shared" si="19"/>
        <v>0</v>
      </c>
      <c r="I217" s="112"/>
    </row>
    <row r="218" spans="1:9" x14ac:dyDescent="0.25">
      <c r="A218" s="1118"/>
      <c r="B218" s="96">
        <v>53206990000000</v>
      </c>
      <c r="C218" s="97" t="s">
        <v>128</v>
      </c>
      <c r="D218" s="117"/>
      <c r="E218" s="117"/>
      <c r="F218" s="119"/>
      <c r="G218" s="110">
        <f t="shared" si="18"/>
        <v>0</v>
      </c>
      <c r="H218" s="111">
        <f t="shared" si="19"/>
        <v>0</v>
      </c>
      <c r="I218" s="112"/>
    </row>
    <row r="219" spans="1:9" x14ac:dyDescent="0.25">
      <c r="A219" s="1118"/>
      <c r="B219" s="96">
        <v>53208030000000</v>
      </c>
      <c r="C219" s="97" t="s">
        <v>129</v>
      </c>
      <c r="D219" s="117"/>
      <c r="E219" s="117"/>
      <c r="F219" s="119"/>
      <c r="G219" s="110">
        <f t="shared" si="18"/>
        <v>0</v>
      </c>
      <c r="H219" s="111">
        <f t="shared" si="19"/>
        <v>0</v>
      </c>
      <c r="I219" s="112"/>
    </row>
    <row r="220" spans="1:9" x14ac:dyDescent="0.25">
      <c r="A220" s="1118"/>
      <c r="B220" s="96">
        <v>53212060000000</v>
      </c>
      <c r="C220" s="97" t="s">
        <v>130</v>
      </c>
      <c r="D220" s="107"/>
      <c r="E220" s="107"/>
      <c r="F220" s="109"/>
      <c r="G220" s="110">
        <f t="shared" si="18"/>
        <v>0</v>
      </c>
      <c r="H220" s="111">
        <f t="shared" si="19"/>
        <v>0</v>
      </c>
      <c r="I220" s="112"/>
    </row>
    <row r="221" spans="1:9" x14ac:dyDescent="0.25">
      <c r="A221" s="1118"/>
      <c r="B221" s="90"/>
      <c r="C221" s="91" t="s">
        <v>131</v>
      </c>
      <c r="D221" s="92">
        <f>SUM(D222:D223)</f>
        <v>1422153</v>
      </c>
      <c r="E221" s="113"/>
      <c r="F221" s="113"/>
      <c r="G221" s="116">
        <f>SUM(G222:G223)</f>
        <v>0</v>
      </c>
      <c r="H221" s="115">
        <f>SUM(H222:H223)</f>
        <v>1422153</v>
      </c>
      <c r="I221" s="112"/>
    </row>
    <row r="222" spans="1:9" x14ac:dyDescent="0.25">
      <c r="A222" s="1118"/>
      <c r="B222" s="96">
        <v>53210020500000</v>
      </c>
      <c r="C222" s="97" t="s">
        <v>132</v>
      </c>
      <c r="D222" s="107">
        <v>360691</v>
      </c>
      <c r="E222" s="107"/>
      <c r="F222" s="109"/>
      <c r="G222" s="110">
        <f>E222*F222</f>
        <v>0</v>
      </c>
      <c r="H222" s="125">
        <f>D222+G222</f>
        <v>360691</v>
      </c>
      <c r="I222" s="112"/>
    </row>
    <row r="223" spans="1:9" x14ac:dyDescent="0.25">
      <c r="A223" s="1118"/>
      <c r="B223" s="126">
        <v>53204999000000</v>
      </c>
      <c r="C223" s="127" t="s">
        <v>133</v>
      </c>
      <c r="D223" s="117">
        <v>1061462</v>
      </c>
      <c r="E223" s="117"/>
      <c r="F223" s="119"/>
      <c r="G223" s="128">
        <f>E223*F223</f>
        <v>0</v>
      </c>
      <c r="H223" s="125">
        <f>D223+G223</f>
        <v>1061462</v>
      </c>
      <c r="I223" s="112"/>
    </row>
    <row r="224" spans="1:9" x14ac:dyDescent="0.25">
      <c r="A224" s="1119"/>
      <c r="B224" s="129"/>
      <c r="C224" s="130" t="s">
        <v>13</v>
      </c>
      <c r="D224" s="131">
        <f>SUM(D155,D183)</f>
        <v>13286883.84</v>
      </c>
      <c r="E224" s="132"/>
      <c r="F224" s="132"/>
      <c r="G224" s="131">
        <f>SUM(G155,G183)</f>
        <v>0</v>
      </c>
      <c r="H224" s="133">
        <f>SUM(H155,H183)</f>
        <v>13286883.84</v>
      </c>
      <c r="I224" s="112"/>
    </row>
    <row r="225" spans="1:9" x14ac:dyDescent="0.25">
      <c r="A225" s="1123" t="s">
        <v>21</v>
      </c>
      <c r="B225" s="1125" t="s">
        <v>57</v>
      </c>
      <c r="C225" s="1127" t="s">
        <v>58</v>
      </c>
      <c r="D225" s="1129" t="s">
        <v>59</v>
      </c>
      <c r="E225" s="1131" t="s">
        <v>60</v>
      </c>
      <c r="F225" s="1132"/>
      <c r="G225" s="1133"/>
      <c r="H225" s="1120" t="str">
        <f>+H153</f>
        <v>COSTO DIRECTO ESTIMADO 2026</v>
      </c>
      <c r="I225" s="1122" t="s">
        <v>61</v>
      </c>
    </row>
    <row r="226" spans="1:9" ht="25.5" x14ac:dyDescent="0.25">
      <c r="A226" s="1124"/>
      <c r="B226" s="1126"/>
      <c r="C226" s="1128"/>
      <c r="D226" s="1130"/>
      <c r="E226" s="134" t="s">
        <v>62</v>
      </c>
      <c r="F226" s="135" t="s">
        <v>63</v>
      </c>
      <c r="G226" s="136" t="s">
        <v>64</v>
      </c>
      <c r="H226" s="1121"/>
      <c r="I226" s="1122"/>
    </row>
    <row r="227" spans="1:9" x14ac:dyDescent="0.25">
      <c r="A227" s="1117" t="str">
        <f>+'B) Reajuste Tarifas y Ocupación'!A27</f>
        <v>Sala de Maquinas</v>
      </c>
      <c r="B227" s="84"/>
      <c r="C227" s="85" t="s">
        <v>65</v>
      </c>
      <c r="D227" s="86">
        <f>SUM(D228,D233,D235)</f>
        <v>0</v>
      </c>
      <c r="E227" s="87"/>
      <c r="F227" s="87"/>
      <c r="G227" s="88">
        <f>SUM(G228,G233,G235)</f>
        <v>0</v>
      </c>
      <c r="H227" s="89">
        <f>SUM(H228,H233,H235)</f>
        <v>0</v>
      </c>
      <c r="I227" s="112"/>
    </row>
    <row r="228" spans="1:9" x14ac:dyDescent="0.25">
      <c r="A228" s="1118"/>
      <c r="B228" s="90"/>
      <c r="C228" s="91" t="s">
        <v>66</v>
      </c>
      <c r="D228" s="92">
        <f>SUM(D229:D232)</f>
        <v>0</v>
      </c>
      <c r="E228" s="93"/>
      <c r="F228" s="93"/>
      <c r="G228" s="94">
        <f>SUM(G229:G232)</f>
        <v>0</v>
      </c>
      <c r="H228" s="95">
        <f>SUM(H229:H232)</f>
        <v>0</v>
      </c>
      <c r="I228" s="112"/>
    </row>
    <row r="229" spans="1:9" x14ac:dyDescent="0.25">
      <c r="A229" s="1118"/>
      <c r="B229" s="96">
        <v>53103040100000</v>
      </c>
      <c r="C229" s="97" t="s">
        <v>67</v>
      </c>
      <c r="D229" s="98">
        <f>+'F) Remuneraciones'!M53</f>
        <v>0</v>
      </c>
      <c r="E229" s="99"/>
      <c r="F229" s="99"/>
      <c r="G229" s="100"/>
      <c r="H229" s="101">
        <f>D229+G229</f>
        <v>0</v>
      </c>
      <c r="I229" s="112"/>
    </row>
    <row r="230" spans="1:9" x14ac:dyDescent="0.25">
      <c r="A230" s="1118"/>
      <c r="B230" s="96">
        <v>53103050000000</v>
      </c>
      <c r="C230" s="97" t="s">
        <v>68</v>
      </c>
      <c r="D230" s="102"/>
      <c r="E230" s="103"/>
      <c r="F230" s="104"/>
      <c r="G230" s="105">
        <f>E230*F230</f>
        <v>0</v>
      </c>
      <c r="H230" s="106">
        <f>D230+G230</f>
        <v>0</v>
      </c>
      <c r="I230" s="112"/>
    </row>
    <row r="231" spans="1:9" x14ac:dyDescent="0.25">
      <c r="A231" s="1118"/>
      <c r="B231" s="96">
        <v>53103060000000</v>
      </c>
      <c r="C231" s="97" t="s">
        <v>69</v>
      </c>
      <c r="D231" s="107"/>
      <c r="E231" s="108"/>
      <c r="F231" s="109"/>
      <c r="G231" s="110">
        <f>E231*F231</f>
        <v>0</v>
      </c>
      <c r="H231" s="111">
        <f>D231+G231</f>
        <v>0</v>
      </c>
      <c r="I231" s="112"/>
    </row>
    <row r="232" spans="1:9" x14ac:dyDescent="0.25">
      <c r="A232" s="1118"/>
      <c r="B232" s="96">
        <v>53103080010000</v>
      </c>
      <c r="C232" s="97" t="s">
        <v>70</v>
      </c>
      <c r="D232" s="107"/>
      <c r="E232" s="108"/>
      <c r="F232" s="109"/>
      <c r="G232" s="110">
        <f>E232*F232</f>
        <v>0</v>
      </c>
      <c r="H232" s="111">
        <f>D232+G232</f>
        <v>0</v>
      </c>
      <c r="I232" s="112"/>
    </row>
    <row r="233" spans="1:9" x14ac:dyDescent="0.25">
      <c r="A233" s="1118"/>
      <c r="B233" s="90"/>
      <c r="C233" s="91" t="s">
        <v>71</v>
      </c>
      <c r="D233" s="92">
        <f>SUM(D234)</f>
        <v>0</v>
      </c>
      <c r="E233" s="113"/>
      <c r="F233" s="113"/>
      <c r="G233" s="114">
        <f>SUM(G234:G234)</f>
        <v>0</v>
      </c>
      <c r="H233" s="115">
        <f>SUM(H234:H234)</f>
        <v>0</v>
      </c>
      <c r="I233" s="112"/>
    </row>
    <row r="234" spans="1:9" x14ac:dyDescent="0.25">
      <c r="A234" s="1118"/>
      <c r="B234" s="96">
        <v>55201010100001</v>
      </c>
      <c r="C234" s="97" t="s">
        <v>72</v>
      </c>
      <c r="D234" s="107"/>
      <c r="E234" s="108"/>
      <c r="F234" s="109"/>
      <c r="G234" s="110">
        <f>E234*F234</f>
        <v>0</v>
      </c>
      <c r="H234" s="111">
        <f>D234+G234</f>
        <v>0</v>
      </c>
      <c r="I234" s="112"/>
    </row>
    <row r="235" spans="1:9" x14ac:dyDescent="0.25">
      <c r="A235" s="1118"/>
      <c r="B235" s="90"/>
      <c r="C235" s="91" t="s">
        <v>73</v>
      </c>
      <c r="D235" s="92">
        <f>SUM(D236:D254)</f>
        <v>0</v>
      </c>
      <c r="E235" s="113"/>
      <c r="F235" s="113"/>
      <c r="G235" s="116">
        <f>SUM(G236:G254)</f>
        <v>0</v>
      </c>
      <c r="H235" s="115">
        <f>SUM(H236:H254)</f>
        <v>0</v>
      </c>
      <c r="I235" s="112"/>
    </row>
    <row r="236" spans="1:9" x14ac:dyDescent="0.25">
      <c r="A236" s="1118"/>
      <c r="B236" s="96">
        <v>53201010100000</v>
      </c>
      <c r="C236" s="97" t="s">
        <v>74</v>
      </c>
      <c r="D236" s="107"/>
      <c r="E236" s="108"/>
      <c r="F236" s="109"/>
      <c r="G236" s="110">
        <f t="shared" ref="G236:G254" si="20">E236*F236</f>
        <v>0</v>
      </c>
      <c r="H236" s="111">
        <f t="shared" ref="H236:H254" si="21">D236+G236</f>
        <v>0</v>
      </c>
      <c r="I236" s="112"/>
    </row>
    <row r="237" spans="1:9" x14ac:dyDescent="0.25">
      <c r="A237" s="1118"/>
      <c r="B237" s="96">
        <v>53202010100000</v>
      </c>
      <c r="C237" s="97" t="s">
        <v>75</v>
      </c>
      <c r="D237" s="107"/>
      <c r="E237" s="108"/>
      <c r="F237" s="109"/>
      <c r="G237" s="110">
        <f t="shared" si="20"/>
        <v>0</v>
      </c>
      <c r="H237" s="111">
        <f t="shared" si="21"/>
        <v>0</v>
      </c>
      <c r="I237" s="112"/>
    </row>
    <row r="238" spans="1:9" x14ac:dyDescent="0.25">
      <c r="A238" s="1118"/>
      <c r="B238" s="96">
        <v>53203010100000</v>
      </c>
      <c r="C238" s="97" t="s">
        <v>76</v>
      </c>
      <c r="D238" s="117"/>
      <c r="E238" s="118"/>
      <c r="F238" s="119"/>
      <c r="G238" s="110">
        <f t="shared" si="20"/>
        <v>0</v>
      </c>
      <c r="H238" s="111">
        <f t="shared" si="21"/>
        <v>0</v>
      </c>
      <c r="I238" s="112"/>
    </row>
    <row r="239" spans="1:9" x14ac:dyDescent="0.25">
      <c r="A239" s="1118"/>
      <c r="B239" s="96">
        <v>53203030000000</v>
      </c>
      <c r="C239" s="97" t="s">
        <v>77</v>
      </c>
      <c r="D239" s="117"/>
      <c r="E239" s="118"/>
      <c r="F239" s="119"/>
      <c r="G239" s="110">
        <f t="shared" si="20"/>
        <v>0</v>
      </c>
      <c r="H239" s="111">
        <f t="shared" si="21"/>
        <v>0</v>
      </c>
      <c r="I239" s="112"/>
    </row>
    <row r="240" spans="1:9" x14ac:dyDescent="0.25">
      <c r="A240" s="1118"/>
      <c r="B240" s="96">
        <v>53204030000000</v>
      </c>
      <c r="C240" s="97" t="s">
        <v>78</v>
      </c>
      <c r="D240" s="117"/>
      <c r="E240" s="118"/>
      <c r="F240" s="119"/>
      <c r="G240" s="110">
        <f t="shared" si="20"/>
        <v>0</v>
      </c>
      <c r="H240" s="111">
        <f t="shared" si="21"/>
        <v>0</v>
      </c>
      <c r="I240" s="112"/>
    </row>
    <row r="241" spans="1:9" x14ac:dyDescent="0.25">
      <c r="A241" s="1118"/>
      <c r="B241" s="96">
        <v>53204100100001</v>
      </c>
      <c r="C241" s="97" t="s">
        <v>79</v>
      </c>
      <c r="D241" s="117"/>
      <c r="E241" s="118"/>
      <c r="F241" s="119"/>
      <c r="G241" s="110">
        <f t="shared" si="20"/>
        <v>0</v>
      </c>
      <c r="H241" s="111">
        <f t="shared" si="21"/>
        <v>0</v>
      </c>
      <c r="I241" s="112"/>
    </row>
    <row r="242" spans="1:9" x14ac:dyDescent="0.25">
      <c r="A242" s="1118"/>
      <c r="B242" s="96">
        <v>53204130100000</v>
      </c>
      <c r="C242" s="97" t="s">
        <v>80</v>
      </c>
      <c r="D242" s="117"/>
      <c r="E242" s="118"/>
      <c r="F242" s="119"/>
      <c r="G242" s="110">
        <f t="shared" si="20"/>
        <v>0</v>
      </c>
      <c r="H242" s="111">
        <f t="shared" si="21"/>
        <v>0</v>
      </c>
      <c r="I242" s="112"/>
    </row>
    <row r="243" spans="1:9" x14ac:dyDescent="0.25">
      <c r="A243" s="1118"/>
      <c r="B243" s="96">
        <v>53205010100000</v>
      </c>
      <c r="C243" s="97" t="s">
        <v>81</v>
      </c>
      <c r="D243" s="117"/>
      <c r="E243" s="118"/>
      <c r="F243" s="119"/>
      <c r="G243" s="110">
        <f t="shared" si="20"/>
        <v>0</v>
      </c>
      <c r="H243" s="111">
        <f t="shared" si="21"/>
        <v>0</v>
      </c>
      <c r="I243" s="112"/>
    </row>
    <row r="244" spans="1:9" x14ac:dyDescent="0.25">
      <c r="A244" s="1118"/>
      <c r="B244" s="96">
        <v>53205020100000</v>
      </c>
      <c r="C244" s="97" t="s">
        <v>82</v>
      </c>
      <c r="D244" s="117"/>
      <c r="E244" s="118"/>
      <c r="F244" s="119"/>
      <c r="G244" s="110">
        <f t="shared" si="20"/>
        <v>0</v>
      </c>
      <c r="H244" s="111">
        <f t="shared" si="21"/>
        <v>0</v>
      </c>
      <c r="I244" s="112"/>
    </row>
    <row r="245" spans="1:9" x14ac:dyDescent="0.25">
      <c r="A245" s="1118"/>
      <c r="B245" s="96">
        <v>53205030100000</v>
      </c>
      <c r="C245" s="97" t="s">
        <v>83</v>
      </c>
      <c r="D245" s="117"/>
      <c r="E245" s="118"/>
      <c r="F245" s="119"/>
      <c r="G245" s="110">
        <f t="shared" si="20"/>
        <v>0</v>
      </c>
      <c r="H245" s="111">
        <f t="shared" si="21"/>
        <v>0</v>
      </c>
      <c r="I245" s="112"/>
    </row>
    <row r="246" spans="1:9" x14ac:dyDescent="0.25">
      <c r="A246" s="1118"/>
      <c r="B246" s="96">
        <v>53205050100000</v>
      </c>
      <c r="C246" s="97" t="s">
        <v>84</v>
      </c>
      <c r="D246" s="117"/>
      <c r="E246" s="118"/>
      <c r="F246" s="119"/>
      <c r="G246" s="110">
        <f t="shared" si="20"/>
        <v>0</v>
      </c>
      <c r="H246" s="111">
        <f t="shared" si="21"/>
        <v>0</v>
      </c>
      <c r="I246" s="112"/>
    </row>
    <row r="247" spans="1:9" x14ac:dyDescent="0.25">
      <c r="A247" s="1118"/>
      <c r="B247" s="96">
        <v>53205060100000</v>
      </c>
      <c r="C247" s="97" t="s">
        <v>85</v>
      </c>
      <c r="D247" s="117"/>
      <c r="E247" s="118"/>
      <c r="F247" s="119"/>
      <c r="G247" s="110">
        <f t="shared" si="20"/>
        <v>0</v>
      </c>
      <c r="H247" s="111">
        <f t="shared" si="21"/>
        <v>0</v>
      </c>
      <c r="I247" s="112"/>
    </row>
    <row r="248" spans="1:9" x14ac:dyDescent="0.25">
      <c r="A248" s="1118"/>
      <c r="B248" s="96">
        <v>53205070100000</v>
      </c>
      <c r="C248" s="97" t="s">
        <v>86</v>
      </c>
      <c r="D248" s="117"/>
      <c r="E248" s="118"/>
      <c r="F248" s="119"/>
      <c r="G248" s="110">
        <f t="shared" si="20"/>
        <v>0</v>
      </c>
      <c r="H248" s="111">
        <f t="shared" si="21"/>
        <v>0</v>
      </c>
      <c r="I248" s="112"/>
    </row>
    <row r="249" spans="1:9" x14ac:dyDescent="0.25">
      <c r="A249" s="1118"/>
      <c r="B249" s="96">
        <v>53208010100000</v>
      </c>
      <c r="C249" s="97" t="s">
        <v>87</v>
      </c>
      <c r="D249" s="117"/>
      <c r="E249" s="118"/>
      <c r="F249" s="119"/>
      <c r="G249" s="110">
        <f t="shared" si="20"/>
        <v>0</v>
      </c>
      <c r="H249" s="111">
        <f t="shared" si="21"/>
        <v>0</v>
      </c>
      <c r="I249" s="112"/>
    </row>
    <row r="250" spans="1:9" x14ac:dyDescent="0.25">
      <c r="A250" s="1118"/>
      <c r="B250" s="96">
        <v>53208070100001</v>
      </c>
      <c r="C250" s="97" t="s">
        <v>88</v>
      </c>
      <c r="D250" s="117"/>
      <c r="E250" s="118"/>
      <c r="F250" s="119"/>
      <c r="G250" s="110">
        <f t="shared" si="20"/>
        <v>0</v>
      </c>
      <c r="H250" s="111">
        <f t="shared" si="21"/>
        <v>0</v>
      </c>
      <c r="I250" s="112"/>
    </row>
    <row r="251" spans="1:9" x14ac:dyDescent="0.25">
      <c r="A251" s="1118"/>
      <c r="B251" s="96">
        <v>53208100100001</v>
      </c>
      <c r="C251" s="97" t="s">
        <v>89</v>
      </c>
      <c r="D251" s="117"/>
      <c r="E251" s="118"/>
      <c r="F251" s="119"/>
      <c r="G251" s="110">
        <f t="shared" si="20"/>
        <v>0</v>
      </c>
      <c r="H251" s="111">
        <f t="shared" si="21"/>
        <v>0</v>
      </c>
      <c r="I251" s="112"/>
    </row>
    <row r="252" spans="1:9" x14ac:dyDescent="0.25">
      <c r="A252" s="1118"/>
      <c r="B252" s="96">
        <v>53211030000000</v>
      </c>
      <c r="C252" s="97" t="s">
        <v>90</v>
      </c>
      <c r="D252" s="117"/>
      <c r="E252" s="118"/>
      <c r="F252" s="119"/>
      <c r="G252" s="110">
        <f t="shared" si="20"/>
        <v>0</v>
      </c>
      <c r="H252" s="111">
        <f t="shared" si="21"/>
        <v>0</v>
      </c>
      <c r="I252" s="112"/>
    </row>
    <row r="253" spans="1:9" x14ac:dyDescent="0.25">
      <c r="A253" s="1118"/>
      <c r="B253" s="96">
        <v>53212020100000</v>
      </c>
      <c r="C253" s="97" t="s">
        <v>91</v>
      </c>
      <c r="D253" s="117"/>
      <c r="E253" s="118"/>
      <c r="F253" s="119"/>
      <c r="G253" s="110">
        <f t="shared" si="20"/>
        <v>0</v>
      </c>
      <c r="H253" s="111">
        <f t="shared" si="21"/>
        <v>0</v>
      </c>
      <c r="I253" s="112"/>
    </row>
    <row r="254" spans="1:9" x14ac:dyDescent="0.25">
      <c r="A254" s="1118"/>
      <c r="B254" s="96">
        <v>53214020000000</v>
      </c>
      <c r="C254" s="97" t="s">
        <v>92</v>
      </c>
      <c r="D254" s="107"/>
      <c r="E254" s="108"/>
      <c r="F254" s="109"/>
      <c r="G254" s="110">
        <f t="shared" si="20"/>
        <v>0</v>
      </c>
      <c r="H254" s="111">
        <f t="shared" si="21"/>
        <v>0</v>
      </c>
      <c r="I254" s="112"/>
    </row>
    <row r="255" spans="1:9" x14ac:dyDescent="0.25">
      <c r="A255" s="1118"/>
      <c r="B255" s="84"/>
      <c r="C255" s="85" t="s">
        <v>93</v>
      </c>
      <c r="D255" s="121">
        <f>SUM(D256,D261,D264,D275,D285,D293)</f>
        <v>0</v>
      </c>
      <c r="E255" s="87"/>
      <c r="F255" s="87"/>
      <c r="G255" s="122">
        <f>SUM(G256,G261,G264,G275,G285,G293)</f>
        <v>0</v>
      </c>
      <c r="H255" s="123">
        <f>SUM(H256,H261,H264,H275,H285,H293)</f>
        <v>0</v>
      </c>
      <c r="I255" s="112"/>
    </row>
    <row r="256" spans="1:9" x14ac:dyDescent="0.25">
      <c r="A256" s="1118"/>
      <c r="B256" s="90"/>
      <c r="C256" s="91" t="s">
        <v>94</v>
      </c>
      <c r="D256" s="92">
        <f>SUM(D257:D260)</f>
        <v>0</v>
      </c>
      <c r="E256" s="113"/>
      <c r="F256" s="113"/>
      <c r="G256" s="114">
        <f>SUM(G257:G260)</f>
        <v>0</v>
      </c>
      <c r="H256" s="124">
        <f>SUM(H257:H260)</f>
        <v>0</v>
      </c>
      <c r="I256" s="112"/>
    </row>
    <row r="257" spans="1:9" x14ac:dyDescent="0.25">
      <c r="A257" s="1118"/>
      <c r="B257" s="96">
        <v>53202020100000</v>
      </c>
      <c r="C257" s="97" t="s">
        <v>95</v>
      </c>
      <c r="D257" s="117"/>
      <c r="E257" s="118"/>
      <c r="F257" s="119"/>
      <c r="G257" s="110">
        <f>E257*F257</f>
        <v>0</v>
      </c>
      <c r="H257" s="111">
        <f>D257+G257</f>
        <v>0</v>
      </c>
      <c r="I257" s="112"/>
    </row>
    <row r="258" spans="1:9" x14ac:dyDescent="0.25">
      <c r="A258" s="1118"/>
      <c r="B258" s="96">
        <v>53202030000000</v>
      </c>
      <c r="C258" s="97" t="s">
        <v>96</v>
      </c>
      <c r="D258" s="107"/>
      <c r="E258" s="108"/>
      <c r="F258" s="109"/>
      <c r="G258" s="110">
        <f>E258*F258</f>
        <v>0</v>
      </c>
      <c r="H258" s="111">
        <f>D258+G258</f>
        <v>0</v>
      </c>
      <c r="I258" s="112"/>
    </row>
    <row r="259" spans="1:9" x14ac:dyDescent="0.25">
      <c r="A259" s="1118"/>
      <c r="B259" s="96">
        <v>53211020000000</v>
      </c>
      <c r="C259" s="97" t="s">
        <v>97</v>
      </c>
      <c r="D259" s="117"/>
      <c r="E259" s="118"/>
      <c r="F259" s="119"/>
      <c r="G259" s="110">
        <f>E259*F259</f>
        <v>0</v>
      </c>
      <c r="H259" s="111">
        <f>D259+G259</f>
        <v>0</v>
      </c>
      <c r="I259" s="112"/>
    </row>
    <row r="260" spans="1:9" x14ac:dyDescent="0.25">
      <c r="A260" s="1118"/>
      <c r="B260" s="96">
        <v>53101004030000</v>
      </c>
      <c r="C260" s="97" t="s">
        <v>98</v>
      </c>
      <c r="D260" s="107"/>
      <c r="E260" s="108"/>
      <c r="F260" s="109"/>
      <c r="G260" s="110">
        <f>E260*F260</f>
        <v>0</v>
      </c>
      <c r="H260" s="111">
        <f>D260+G260</f>
        <v>0</v>
      </c>
      <c r="I260" s="112"/>
    </row>
    <row r="261" spans="1:9" x14ac:dyDescent="0.25">
      <c r="A261" s="1118"/>
      <c r="B261" s="90"/>
      <c r="C261" s="91" t="s">
        <v>99</v>
      </c>
      <c r="D261" s="92">
        <f>SUM(D262:D263)</f>
        <v>0</v>
      </c>
      <c r="E261" s="113"/>
      <c r="F261" s="113"/>
      <c r="G261" s="114">
        <f>SUM(G262:G263)</f>
        <v>0</v>
      </c>
      <c r="H261" s="124">
        <f>SUM(H262:H263)</f>
        <v>0</v>
      </c>
      <c r="I261" s="112"/>
    </row>
    <row r="262" spans="1:9" x14ac:dyDescent="0.25">
      <c r="A262" s="1118"/>
      <c r="B262" s="96">
        <v>53205080000000</v>
      </c>
      <c r="C262" s="120" t="s">
        <v>100</v>
      </c>
      <c r="D262" s="107"/>
      <c r="E262" s="108"/>
      <c r="F262" s="109"/>
      <c r="G262" s="110">
        <f>E262*F262</f>
        <v>0</v>
      </c>
      <c r="H262" s="111">
        <f>D262+G262</f>
        <v>0</v>
      </c>
      <c r="I262" s="112"/>
    </row>
    <row r="263" spans="1:9" x14ac:dyDescent="0.25">
      <c r="A263" s="1118"/>
      <c r="B263" s="96">
        <v>53205990000000</v>
      </c>
      <c r="C263" s="97" t="s">
        <v>101</v>
      </c>
      <c r="D263" s="117"/>
      <c r="E263" s="118"/>
      <c r="F263" s="119"/>
      <c r="G263" s="110">
        <f>E263*F263</f>
        <v>0</v>
      </c>
      <c r="H263" s="111">
        <f>D263+G263</f>
        <v>0</v>
      </c>
      <c r="I263" s="112"/>
    </row>
    <row r="264" spans="1:9" x14ac:dyDescent="0.25">
      <c r="A264" s="1118"/>
      <c r="B264" s="90"/>
      <c r="C264" s="91" t="s">
        <v>102</v>
      </c>
      <c r="D264" s="92">
        <f>SUM(D265:D274)</f>
        <v>0</v>
      </c>
      <c r="E264" s="113"/>
      <c r="F264" s="113"/>
      <c r="G264" s="116">
        <f>SUM(G265:G274)</f>
        <v>0</v>
      </c>
      <c r="H264" s="115">
        <f>SUM(H265:H274)</f>
        <v>0</v>
      </c>
      <c r="I264" s="112"/>
    </row>
    <row r="265" spans="1:9" x14ac:dyDescent="0.25">
      <c r="A265" s="1118"/>
      <c r="B265" s="96">
        <v>53203010200000</v>
      </c>
      <c r="C265" s="97" t="s">
        <v>103</v>
      </c>
      <c r="D265" s="107"/>
      <c r="E265" s="107"/>
      <c r="F265" s="109"/>
      <c r="G265" s="110">
        <f t="shared" ref="G265:G274" si="22">E265*F265</f>
        <v>0</v>
      </c>
      <c r="H265" s="111">
        <f t="shared" ref="H265:H274" si="23">D265+G265</f>
        <v>0</v>
      </c>
      <c r="I265" s="112"/>
    </row>
    <row r="266" spans="1:9" x14ac:dyDescent="0.25">
      <c r="A266" s="1118"/>
      <c r="B266" s="96">
        <v>53204010000000</v>
      </c>
      <c r="C266" s="97" t="s">
        <v>104</v>
      </c>
      <c r="D266" s="117"/>
      <c r="E266" s="117"/>
      <c r="F266" s="119"/>
      <c r="G266" s="110">
        <f t="shared" si="22"/>
        <v>0</v>
      </c>
      <c r="H266" s="111">
        <f t="shared" si="23"/>
        <v>0</v>
      </c>
      <c r="I266" s="112"/>
    </row>
    <row r="267" spans="1:9" x14ac:dyDescent="0.25">
      <c r="A267" s="1118"/>
      <c r="B267" s="96">
        <v>53204040200000</v>
      </c>
      <c r="C267" s="120" t="s">
        <v>105</v>
      </c>
      <c r="D267" s="117"/>
      <c r="E267" s="117"/>
      <c r="F267" s="119"/>
      <c r="G267" s="110">
        <f t="shared" si="22"/>
        <v>0</v>
      </c>
      <c r="H267" s="111">
        <f t="shared" si="23"/>
        <v>0</v>
      </c>
      <c r="I267" s="112"/>
    </row>
    <row r="268" spans="1:9" x14ac:dyDescent="0.25">
      <c r="A268" s="1118"/>
      <c r="B268" s="96">
        <v>53204060000000</v>
      </c>
      <c r="C268" s="120" t="s">
        <v>106</v>
      </c>
      <c r="D268" s="117"/>
      <c r="E268" s="117"/>
      <c r="F268" s="119"/>
      <c r="G268" s="110">
        <f t="shared" si="22"/>
        <v>0</v>
      </c>
      <c r="H268" s="111">
        <f t="shared" si="23"/>
        <v>0</v>
      </c>
      <c r="I268" s="112"/>
    </row>
    <row r="269" spans="1:9" x14ac:dyDescent="0.25">
      <c r="A269" s="1118"/>
      <c r="B269" s="96">
        <v>53204070000000</v>
      </c>
      <c r="C269" s="97" t="s">
        <v>107</v>
      </c>
      <c r="D269" s="408"/>
      <c r="E269" s="117"/>
      <c r="F269" s="119"/>
      <c r="G269" s="110">
        <v>0</v>
      </c>
      <c r="H269" s="111">
        <f t="shared" si="23"/>
        <v>0</v>
      </c>
      <c r="I269" s="643"/>
    </row>
    <row r="270" spans="1:9" x14ac:dyDescent="0.25">
      <c r="A270" s="1118"/>
      <c r="B270" s="96">
        <v>53204080000000</v>
      </c>
      <c r="C270" s="120" t="s">
        <v>108</v>
      </c>
      <c r="D270" s="117"/>
      <c r="E270" s="117"/>
      <c r="F270" s="119"/>
      <c r="G270" s="110">
        <f t="shared" si="22"/>
        <v>0</v>
      </c>
      <c r="H270" s="111">
        <f t="shared" si="23"/>
        <v>0</v>
      </c>
      <c r="I270" s="112"/>
    </row>
    <row r="271" spans="1:9" x14ac:dyDescent="0.25">
      <c r="A271" s="1118"/>
      <c r="B271" s="96">
        <v>53214010000000</v>
      </c>
      <c r="C271" s="120" t="s">
        <v>109</v>
      </c>
      <c r="D271" s="107"/>
      <c r="E271" s="107"/>
      <c r="F271" s="109"/>
      <c r="G271" s="110">
        <f t="shared" si="22"/>
        <v>0</v>
      </c>
      <c r="H271" s="111">
        <f t="shared" si="23"/>
        <v>0</v>
      </c>
      <c r="I271" s="112"/>
    </row>
    <row r="272" spans="1:9" x14ac:dyDescent="0.25">
      <c r="A272" s="1118"/>
      <c r="B272" s="96">
        <v>53214040000000</v>
      </c>
      <c r="C272" s="97" t="s">
        <v>110</v>
      </c>
      <c r="D272" s="107"/>
      <c r="E272" s="107"/>
      <c r="F272" s="109"/>
      <c r="G272" s="110">
        <f t="shared" si="22"/>
        <v>0</v>
      </c>
      <c r="H272" s="111">
        <f t="shared" si="23"/>
        <v>0</v>
      </c>
      <c r="I272" s="112"/>
    </row>
    <row r="273" spans="1:9" x14ac:dyDescent="0.25">
      <c r="A273" s="1118"/>
      <c r="B273" s="96">
        <v>55201010100004</v>
      </c>
      <c r="C273" s="97" t="s">
        <v>111</v>
      </c>
      <c r="D273" s="107"/>
      <c r="E273" s="608"/>
      <c r="F273" s="109"/>
      <c r="G273" s="110">
        <f t="shared" si="22"/>
        <v>0</v>
      </c>
      <c r="H273" s="111">
        <f t="shared" si="23"/>
        <v>0</v>
      </c>
      <c r="I273" s="112"/>
    </row>
    <row r="274" spans="1:9" x14ac:dyDescent="0.25">
      <c r="A274" s="1118"/>
      <c r="B274" s="96">
        <v>55201010100005</v>
      </c>
      <c r="C274" s="97" t="s">
        <v>112</v>
      </c>
      <c r="D274" s="107"/>
      <c r="E274" s="107"/>
      <c r="F274" s="109"/>
      <c r="G274" s="110">
        <f t="shared" si="22"/>
        <v>0</v>
      </c>
      <c r="H274" s="111">
        <f t="shared" si="23"/>
        <v>0</v>
      </c>
      <c r="I274" s="112"/>
    </row>
    <row r="275" spans="1:9" x14ac:dyDescent="0.25">
      <c r="A275" s="1118"/>
      <c r="B275" s="90"/>
      <c r="C275" s="91" t="s">
        <v>113</v>
      </c>
      <c r="D275" s="92">
        <f>SUM(D276:D284)</f>
        <v>0</v>
      </c>
      <c r="E275" s="113"/>
      <c r="F275" s="113"/>
      <c r="G275" s="116">
        <f>SUM(G276:G284)</f>
        <v>0</v>
      </c>
      <c r="H275" s="115">
        <f>SUM(H276:H284)</f>
        <v>0</v>
      </c>
      <c r="I275" s="112"/>
    </row>
    <row r="276" spans="1:9" x14ac:dyDescent="0.25">
      <c r="A276" s="1118"/>
      <c r="B276" s="96">
        <v>53207010000000</v>
      </c>
      <c r="C276" s="97" t="s">
        <v>114</v>
      </c>
      <c r="D276" s="117"/>
      <c r="E276" s="117"/>
      <c r="F276" s="119"/>
      <c r="G276" s="110">
        <f t="shared" ref="G276:G284" si="24">E276*F276</f>
        <v>0</v>
      </c>
      <c r="H276" s="111">
        <f t="shared" ref="H276:H284" si="25">D276+G276</f>
        <v>0</v>
      </c>
      <c r="I276" s="112"/>
    </row>
    <row r="277" spans="1:9" x14ac:dyDescent="0.25">
      <c r="A277" s="1118"/>
      <c r="B277" s="96">
        <v>53207020000000</v>
      </c>
      <c r="C277" s="97" t="s">
        <v>115</v>
      </c>
      <c r="D277" s="117"/>
      <c r="E277" s="117"/>
      <c r="F277" s="119"/>
      <c r="G277" s="110">
        <f t="shared" si="24"/>
        <v>0</v>
      </c>
      <c r="H277" s="111">
        <f t="shared" si="25"/>
        <v>0</v>
      </c>
      <c r="I277" s="112"/>
    </row>
    <row r="278" spans="1:9" x14ac:dyDescent="0.25">
      <c r="A278" s="1118"/>
      <c r="B278" s="96">
        <v>53208020000000</v>
      </c>
      <c r="C278" s="97" t="s">
        <v>116</v>
      </c>
      <c r="D278" s="117"/>
      <c r="E278" s="117"/>
      <c r="F278" s="119"/>
      <c r="G278" s="110">
        <f t="shared" si="24"/>
        <v>0</v>
      </c>
      <c r="H278" s="111">
        <f t="shared" si="25"/>
        <v>0</v>
      </c>
      <c r="I278" s="112"/>
    </row>
    <row r="279" spans="1:9" x14ac:dyDescent="0.25">
      <c r="A279" s="1118"/>
      <c r="B279" s="96">
        <v>53208990000000</v>
      </c>
      <c r="C279" s="97" t="s">
        <v>117</v>
      </c>
      <c r="D279" s="117"/>
      <c r="E279" s="117"/>
      <c r="F279" s="119"/>
      <c r="G279" s="110">
        <f t="shared" si="24"/>
        <v>0</v>
      </c>
      <c r="H279" s="111">
        <f t="shared" si="25"/>
        <v>0</v>
      </c>
      <c r="I279" s="112"/>
    </row>
    <row r="280" spans="1:9" x14ac:dyDescent="0.25">
      <c r="A280" s="1118"/>
      <c r="B280" s="96">
        <v>53209010000000</v>
      </c>
      <c r="C280" s="97" t="s">
        <v>118</v>
      </c>
      <c r="D280" s="117"/>
      <c r="E280" s="117"/>
      <c r="F280" s="119"/>
      <c r="G280" s="110">
        <f t="shared" si="24"/>
        <v>0</v>
      </c>
      <c r="H280" s="111">
        <f t="shared" si="25"/>
        <v>0</v>
      </c>
      <c r="I280" s="112"/>
    </row>
    <row r="281" spans="1:9" x14ac:dyDescent="0.25">
      <c r="A281" s="1118"/>
      <c r="B281" s="96">
        <v>53209040000000</v>
      </c>
      <c r="C281" s="97" t="s">
        <v>119</v>
      </c>
      <c r="D281" s="117"/>
      <c r="E281" s="117"/>
      <c r="F281" s="119"/>
      <c r="G281" s="110">
        <f t="shared" si="24"/>
        <v>0</v>
      </c>
      <c r="H281" s="111">
        <f t="shared" si="25"/>
        <v>0</v>
      </c>
      <c r="I281" s="112"/>
    </row>
    <row r="282" spans="1:9" x14ac:dyDescent="0.25">
      <c r="A282" s="1118"/>
      <c r="B282" s="96">
        <v>53209050000000</v>
      </c>
      <c r="C282" s="97" t="s">
        <v>120</v>
      </c>
      <c r="D282" s="117"/>
      <c r="E282" s="117"/>
      <c r="F282" s="119"/>
      <c r="G282" s="110">
        <f t="shared" si="24"/>
        <v>0</v>
      </c>
      <c r="H282" s="111">
        <f t="shared" si="25"/>
        <v>0</v>
      </c>
      <c r="I282" s="112"/>
    </row>
    <row r="283" spans="1:9" x14ac:dyDescent="0.25">
      <c r="A283" s="1118"/>
      <c r="B283" s="96">
        <v>53209990000000</v>
      </c>
      <c r="C283" s="97" t="s">
        <v>121</v>
      </c>
      <c r="D283" s="117"/>
      <c r="E283" s="117"/>
      <c r="F283" s="119"/>
      <c r="G283" s="110">
        <f t="shared" si="24"/>
        <v>0</v>
      </c>
      <c r="H283" s="111">
        <f t="shared" si="25"/>
        <v>0</v>
      </c>
      <c r="I283" s="112"/>
    </row>
    <row r="284" spans="1:9" x14ac:dyDescent="0.25">
      <c r="A284" s="1118"/>
      <c r="B284" s="96">
        <v>53210020100000</v>
      </c>
      <c r="C284" s="97" t="s">
        <v>122</v>
      </c>
      <c r="D284" s="117"/>
      <c r="E284" s="117"/>
      <c r="F284" s="119"/>
      <c r="G284" s="110">
        <f t="shared" si="24"/>
        <v>0</v>
      </c>
      <c r="H284" s="111">
        <f t="shared" si="25"/>
        <v>0</v>
      </c>
      <c r="I284" s="112"/>
    </row>
    <row r="285" spans="1:9" x14ac:dyDescent="0.25">
      <c r="A285" s="1118"/>
      <c r="B285" s="90"/>
      <c r="C285" s="91" t="s">
        <v>123</v>
      </c>
      <c r="D285" s="92">
        <f>SUM(D286:D292)</f>
        <v>0</v>
      </c>
      <c r="E285" s="113"/>
      <c r="F285" s="113"/>
      <c r="G285" s="116">
        <f>SUM(G286:G292)</f>
        <v>0</v>
      </c>
      <c r="H285" s="115">
        <f>SUM(H286:H292)</f>
        <v>0</v>
      </c>
      <c r="I285" s="112"/>
    </row>
    <row r="286" spans="1:9" x14ac:dyDescent="0.25">
      <c r="A286" s="1118"/>
      <c r="B286" s="96">
        <v>53206030000000</v>
      </c>
      <c r="C286" s="97" t="s">
        <v>124</v>
      </c>
      <c r="D286" s="117"/>
      <c r="E286" s="117"/>
      <c r="F286" s="119"/>
      <c r="G286" s="110">
        <f t="shared" ref="G286:G292" si="26">E286*F286</f>
        <v>0</v>
      </c>
      <c r="H286" s="111">
        <f t="shared" ref="H286:H292" si="27">D286+G286</f>
        <v>0</v>
      </c>
      <c r="I286" s="112"/>
    </row>
    <row r="287" spans="1:9" x14ac:dyDescent="0.25">
      <c r="A287" s="1118"/>
      <c r="B287" s="96">
        <v>53206040000000</v>
      </c>
      <c r="C287" s="97" t="s">
        <v>125</v>
      </c>
      <c r="D287" s="117"/>
      <c r="E287" s="117"/>
      <c r="F287" s="119"/>
      <c r="G287" s="110">
        <f t="shared" si="26"/>
        <v>0</v>
      </c>
      <c r="H287" s="111">
        <f t="shared" si="27"/>
        <v>0</v>
      </c>
      <c r="I287" s="112"/>
    </row>
    <row r="288" spans="1:9" x14ac:dyDescent="0.25">
      <c r="A288" s="1118"/>
      <c r="B288" s="96">
        <v>53206060000000</v>
      </c>
      <c r="C288" s="97" t="s">
        <v>126</v>
      </c>
      <c r="D288" s="117"/>
      <c r="E288" s="117"/>
      <c r="F288" s="119"/>
      <c r="G288" s="110">
        <f t="shared" si="26"/>
        <v>0</v>
      </c>
      <c r="H288" s="111">
        <f t="shared" si="27"/>
        <v>0</v>
      </c>
      <c r="I288" s="643"/>
    </row>
    <row r="289" spans="1:9" x14ac:dyDescent="0.25">
      <c r="A289" s="1118"/>
      <c r="B289" s="96">
        <v>53206070000000</v>
      </c>
      <c r="C289" s="97" t="s">
        <v>127</v>
      </c>
      <c r="D289" s="117"/>
      <c r="E289" s="117"/>
      <c r="F289" s="119"/>
      <c r="G289" s="110">
        <f t="shared" si="26"/>
        <v>0</v>
      </c>
      <c r="H289" s="111">
        <f t="shared" si="27"/>
        <v>0</v>
      </c>
      <c r="I289" s="112"/>
    </row>
    <row r="290" spans="1:9" x14ac:dyDescent="0.25">
      <c r="A290" s="1118"/>
      <c r="B290" s="96">
        <v>53206990000000</v>
      </c>
      <c r="C290" s="97" t="s">
        <v>128</v>
      </c>
      <c r="D290" s="117"/>
      <c r="E290" s="117"/>
      <c r="F290" s="119"/>
      <c r="G290" s="110">
        <f t="shared" si="26"/>
        <v>0</v>
      </c>
      <c r="H290" s="111">
        <f t="shared" si="27"/>
        <v>0</v>
      </c>
      <c r="I290" s="112"/>
    </row>
    <row r="291" spans="1:9" x14ac:dyDescent="0.25">
      <c r="A291" s="1118"/>
      <c r="B291" s="96">
        <v>53208030000000</v>
      </c>
      <c r="C291" s="97" t="s">
        <v>129</v>
      </c>
      <c r="D291" s="117"/>
      <c r="E291" s="117"/>
      <c r="F291" s="119"/>
      <c r="G291" s="110">
        <f t="shared" si="26"/>
        <v>0</v>
      </c>
      <c r="H291" s="111">
        <f t="shared" si="27"/>
        <v>0</v>
      </c>
      <c r="I291" s="112"/>
    </row>
    <row r="292" spans="1:9" x14ac:dyDescent="0.25">
      <c r="A292" s="1118"/>
      <c r="B292" s="96">
        <v>53212060000000</v>
      </c>
      <c r="C292" s="97" t="s">
        <v>130</v>
      </c>
      <c r="D292" s="107"/>
      <c r="E292" s="107"/>
      <c r="F292" s="109"/>
      <c r="G292" s="110">
        <f t="shared" si="26"/>
        <v>0</v>
      </c>
      <c r="H292" s="111">
        <f t="shared" si="27"/>
        <v>0</v>
      </c>
      <c r="I292" s="112"/>
    </row>
    <row r="293" spans="1:9" x14ac:dyDescent="0.25">
      <c r="A293" s="1118"/>
      <c r="B293" s="90"/>
      <c r="C293" s="91" t="s">
        <v>131</v>
      </c>
      <c r="D293" s="92">
        <f>SUM(D294:D295)</f>
        <v>0</v>
      </c>
      <c r="E293" s="113"/>
      <c r="F293" s="113"/>
      <c r="G293" s="116">
        <f>SUM(G294:G295)</f>
        <v>0</v>
      </c>
      <c r="H293" s="115">
        <f>SUM(H294:H295)</f>
        <v>0</v>
      </c>
      <c r="I293" s="112"/>
    </row>
    <row r="294" spans="1:9" x14ac:dyDescent="0.25">
      <c r="A294" s="1118"/>
      <c r="B294" s="96">
        <v>53210020500000</v>
      </c>
      <c r="C294" s="97" t="s">
        <v>132</v>
      </c>
      <c r="D294" s="107"/>
      <c r="E294" s="107"/>
      <c r="F294" s="109"/>
      <c r="G294" s="110">
        <f>E294*F294</f>
        <v>0</v>
      </c>
      <c r="H294" s="125">
        <f>D294+G294</f>
        <v>0</v>
      </c>
      <c r="I294" s="112"/>
    </row>
    <row r="295" spans="1:9" x14ac:dyDescent="0.25">
      <c r="A295" s="1118"/>
      <c r="B295" s="126">
        <v>53204999000000</v>
      </c>
      <c r="C295" s="127" t="s">
        <v>133</v>
      </c>
      <c r="D295" s="117"/>
      <c r="E295" s="117"/>
      <c r="F295" s="119"/>
      <c r="G295" s="128">
        <f>E295*F295</f>
        <v>0</v>
      </c>
      <c r="H295" s="125">
        <f>D295+G295</f>
        <v>0</v>
      </c>
      <c r="I295" s="112"/>
    </row>
    <row r="296" spans="1:9" x14ac:dyDescent="0.25">
      <c r="A296" s="1119"/>
      <c r="B296" s="129"/>
      <c r="C296" s="130" t="s">
        <v>13</v>
      </c>
      <c r="D296" s="131">
        <f>SUM(D227,D255)</f>
        <v>0</v>
      </c>
      <c r="E296" s="132"/>
      <c r="F296" s="132"/>
      <c r="G296" s="131">
        <f>SUM(G227,G255)</f>
        <v>0</v>
      </c>
      <c r="H296" s="133">
        <f>SUM(H227,H255)</f>
        <v>0</v>
      </c>
      <c r="I296" s="112"/>
    </row>
    <row r="297" spans="1:9" x14ac:dyDescent="0.25">
      <c r="A297" s="1117" t="str">
        <f>'A) Resumen Ingresos y Egresos'!A13</f>
        <v>Quincho Cabo de Hornos</v>
      </c>
      <c r="B297" s="84"/>
      <c r="C297" s="85" t="s">
        <v>65</v>
      </c>
      <c r="D297" s="86">
        <f>SUM(D298,D303,D305)</f>
        <v>472479</v>
      </c>
      <c r="E297" s="87"/>
      <c r="F297" s="87"/>
      <c r="G297" s="88">
        <f>SUM(G298,G303,G305)</f>
        <v>0</v>
      </c>
      <c r="H297" s="89">
        <f>SUM(H298,H303,H305)</f>
        <v>472479</v>
      </c>
      <c r="I297" s="112"/>
    </row>
    <row r="298" spans="1:9" x14ac:dyDescent="0.25">
      <c r="A298" s="1118"/>
      <c r="B298" s="90"/>
      <c r="C298" s="91" t="s">
        <v>66</v>
      </c>
      <c r="D298" s="92">
        <f>SUM(D299:D302)</f>
        <v>0</v>
      </c>
      <c r="E298" s="93"/>
      <c r="F298" s="93"/>
      <c r="G298" s="94">
        <f>SUM(G299:G302)</f>
        <v>0</v>
      </c>
      <c r="H298" s="95">
        <f>SUM(H299:H302)</f>
        <v>0</v>
      </c>
      <c r="I298" s="112"/>
    </row>
    <row r="299" spans="1:9" x14ac:dyDescent="0.25">
      <c r="A299" s="1118"/>
      <c r="B299" s="96">
        <v>53103040100000</v>
      </c>
      <c r="C299" s="97" t="s">
        <v>67</v>
      </c>
      <c r="D299" s="98">
        <f>+'F) Remuneraciones'!M67</f>
        <v>0</v>
      </c>
      <c r="E299" s="99"/>
      <c r="F299" s="99"/>
      <c r="G299" s="100"/>
      <c r="H299" s="101">
        <f>D299+G299</f>
        <v>0</v>
      </c>
      <c r="I299" s="112"/>
    </row>
    <row r="300" spans="1:9" x14ac:dyDescent="0.25">
      <c r="A300" s="1118"/>
      <c r="B300" s="96">
        <v>53103050000000</v>
      </c>
      <c r="C300" s="97" t="s">
        <v>68</v>
      </c>
      <c r="D300" s="102"/>
      <c r="E300" s="103"/>
      <c r="F300" s="104"/>
      <c r="G300" s="105">
        <f>E300*F300</f>
        <v>0</v>
      </c>
      <c r="H300" s="106">
        <f>D300+G300</f>
        <v>0</v>
      </c>
      <c r="I300" s="112"/>
    </row>
    <row r="301" spans="1:9" x14ac:dyDescent="0.25">
      <c r="A301" s="1118"/>
      <c r="B301" s="96">
        <v>53103060000000</v>
      </c>
      <c r="C301" s="97" t="s">
        <v>69</v>
      </c>
      <c r="D301" s="107"/>
      <c r="E301" s="108"/>
      <c r="F301" s="109"/>
      <c r="G301" s="110">
        <f>E301*F301</f>
        <v>0</v>
      </c>
      <c r="H301" s="111">
        <f>D301+G301</f>
        <v>0</v>
      </c>
      <c r="I301" s="112"/>
    </row>
    <row r="302" spans="1:9" x14ac:dyDescent="0.25">
      <c r="A302" s="1118"/>
      <c r="B302" s="96">
        <v>53103080010000</v>
      </c>
      <c r="C302" s="97" t="s">
        <v>70</v>
      </c>
      <c r="D302" s="107"/>
      <c r="E302" s="108"/>
      <c r="F302" s="109"/>
      <c r="G302" s="110">
        <f>E302*F302</f>
        <v>0</v>
      </c>
      <c r="H302" s="111">
        <f>D302+G302</f>
        <v>0</v>
      </c>
      <c r="I302" s="112"/>
    </row>
    <row r="303" spans="1:9" x14ac:dyDescent="0.25">
      <c r="A303" s="1118"/>
      <c r="B303" s="90"/>
      <c r="C303" s="91" t="s">
        <v>71</v>
      </c>
      <c r="D303" s="92">
        <f>SUM(D304)</f>
        <v>0</v>
      </c>
      <c r="E303" s="113"/>
      <c r="F303" s="113"/>
      <c r="G303" s="114">
        <f>SUM(G304:G304)</f>
        <v>0</v>
      </c>
      <c r="H303" s="115">
        <f>SUM(H304:H304)</f>
        <v>0</v>
      </c>
      <c r="I303" s="112"/>
    </row>
    <row r="304" spans="1:9" x14ac:dyDescent="0.25">
      <c r="A304" s="1118"/>
      <c r="B304" s="96">
        <v>55201010100001</v>
      </c>
      <c r="C304" s="97" t="s">
        <v>72</v>
      </c>
      <c r="D304" s="107"/>
      <c r="E304" s="108"/>
      <c r="F304" s="109"/>
      <c r="G304" s="110">
        <f>E304*F304</f>
        <v>0</v>
      </c>
      <c r="H304" s="111">
        <f>D304+G304</f>
        <v>0</v>
      </c>
      <c r="I304" s="112"/>
    </row>
    <row r="305" spans="1:9" x14ac:dyDescent="0.25">
      <c r="A305" s="1118"/>
      <c r="B305" s="90"/>
      <c r="C305" s="91" t="s">
        <v>73</v>
      </c>
      <c r="D305" s="92">
        <f>SUM(D306:D324)</f>
        <v>472479</v>
      </c>
      <c r="E305" s="113"/>
      <c r="F305" s="113"/>
      <c r="G305" s="116">
        <f>SUM(G306:G324)</f>
        <v>0</v>
      </c>
      <c r="H305" s="115">
        <f>SUM(H306:H324)</f>
        <v>472479</v>
      </c>
      <c r="I305" s="112"/>
    </row>
    <row r="306" spans="1:9" x14ac:dyDescent="0.25">
      <c r="A306" s="1118"/>
      <c r="B306" s="96">
        <v>53201010100000</v>
      </c>
      <c r="C306" s="97" t="s">
        <v>74</v>
      </c>
      <c r="D306" s="107"/>
      <c r="E306" s="108"/>
      <c r="F306" s="109"/>
      <c r="G306" s="110">
        <f t="shared" ref="G306:G324" si="28">E306*F306</f>
        <v>0</v>
      </c>
      <c r="H306" s="111">
        <f t="shared" ref="H306:H324" si="29">D306+G306</f>
        <v>0</v>
      </c>
      <c r="I306" s="112"/>
    </row>
    <row r="307" spans="1:9" x14ac:dyDescent="0.25">
      <c r="A307" s="1118"/>
      <c r="B307" s="96">
        <v>53202010100000</v>
      </c>
      <c r="C307" s="97" t="s">
        <v>75</v>
      </c>
      <c r="D307" s="107"/>
      <c r="E307" s="108"/>
      <c r="F307" s="109"/>
      <c r="G307" s="110">
        <f t="shared" si="28"/>
        <v>0</v>
      </c>
      <c r="H307" s="111">
        <f t="shared" si="29"/>
        <v>0</v>
      </c>
      <c r="I307" s="112"/>
    </row>
    <row r="308" spans="1:9" x14ac:dyDescent="0.25">
      <c r="A308" s="1118"/>
      <c r="B308" s="96">
        <v>53203010100000</v>
      </c>
      <c r="C308" s="97" t="s">
        <v>76</v>
      </c>
      <c r="D308" s="117"/>
      <c r="E308" s="118"/>
      <c r="F308" s="119"/>
      <c r="G308" s="110">
        <f t="shared" si="28"/>
        <v>0</v>
      </c>
      <c r="H308" s="111">
        <f t="shared" si="29"/>
        <v>0</v>
      </c>
      <c r="I308" s="112"/>
    </row>
    <row r="309" spans="1:9" x14ac:dyDescent="0.25">
      <c r="A309" s="1118"/>
      <c r="B309" s="96">
        <v>53203030000000</v>
      </c>
      <c r="C309" s="97" t="s">
        <v>77</v>
      </c>
      <c r="D309" s="117"/>
      <c r="E309" s="118"/>
      <c r="F309" s="119"/>
      <c r="G309" s="110">
        <f t="shared" si="28"/>
        <v>0</v>
      </c>
      <c r="H309" s="111">
        <f t="shared" si="29"/>
        <v>0</v>
      </c>
      <c r="I309" s="112"/>
    </row>
    <row r="310" spans="1:9" x14ac:dyDescent="0.25">
      <c r="A310" s="1118"/>
      <c r="B310" s="96">
        <v>53204030000000</v>
      </c>
      <c r="C310" s="97" t="s">
        <v>78</v>
      </c>
      <c r="D310" s="117"/>
      <c r="E310" s="118"/>
      <c r="F310" s="119"/>
      <c r="G310" s="110">
        <f t="shared" si="28"/>
        <v>0</v>
      </c>
      <c r="H310" s="111">
        <f t="shared" si="29"/>
        <v>0</v>
      </c>
      <c r="I310" s="112"/>
    </row>
    <row r="311" spans="1:9" x14ac:dyDescent="0.25">
      <c r="A311" s="1118"/>
      <c r="B311" s="96">
        <v>53204100100001</v>
      </c>
      <c r="C311" s="97" t="s">
        <v>79</v>
      </c>
      <c r="D311" s="117"/>
      <c r="E311" s="118"/>
      <c r="F311" s="119"/>
      <c r="G311" s="110">
        <f t="shared" si="28"/>
        <v>0</v>
      </c>
      <c r="H311" s="111">
        <f t="shared" si="29"/>
        <v>0</v>
      </c>
      <c r="I311" s="112"/>
    </row>
    <row r="312" spans="1:9" x14ac:dyDescent="0.25">
      <c r="A312" s="1118"/>
      <c r="B312" s="96">
        <v>53204130100000</v>
      </c>
      <c r="C312" s="97" t="s">
        <v>80</v>
      </c>
      <c r="D312" s="117">
        <v>132645</v>
      </c>
      <c r="E312" s="118"/>
      <c r="F312" s="119"/>
      <c r="G312" s="110">
        <f t="shared" si="28"/>
        <v>0</v>
      </c>
      <c r="H312" s="111">
        <f t="shared" si="29"/>
        <v>132645</v>
      </c>
      <c r="I312" s="112"/>
    </row>
    <row r="313" spans="1:9" x14ac:dyDescent="0.25">
      <c r="A313" s="1118"/>
      <c r="B313" s="96">
        <v>53205010100000</v>
      </c>
      <c r="C313" s="97" t="s">
        <v>81</v>
      </c>
      <c r="D313" s="117">
        <v>140448</v>
      </c>
      <c r="E313" s="118"/>
      <c r="F313" s="119"/>
      <c r="G313" s="110">
        <f t="shared" si="28"/>
        <v>0</v>
      </c>
      <c r="H313" s="111">
        <f t="shared" si="29"/>
        <v>140448</v>
      </c>
      <c r="I313" s="112"/>
    </row>
    <row r="314" spans="1:9" x14ac:dyDescent="0.25">
      <c r="A314" s="1118"/>
      <c r="B314" s="96">
        <v>53205020100000</v>
      </c>
      <c r="C314" s="97" t="s">
        <v>82</v>
      </c>
      <c r="D314" s="117">
        <v>199386</v>
      </c>
      <c r="E314" s="118"/>
      <c r="F314" s="119"/>
      <c r="G314" s="110">
        <f t="shared" si="28"/>
        <v>0</v>
      </c>
      <c r="H314" s="111">
        <f t="shared" si="29"/>
        <v>199386</v>
      </c>
      <c r="I314" s="112"/>
    </row>
    <row r="315" spans="1:9" x14ac:dyDescent="0.25">
      <c r="A315" s="1118"/>
      <c r="B315" s="96">
        <v>53205030100000</v>
      </c>
      <c r="C315" s="97" t="s">
        <v>83</v>
      </c>
      <c r="D315" s="117"/>
      <c r="E315" s="118"/>
      <c r="F315" s="119"/>
      <c r="G315" s="110">
        <f t="shared" si="28"/>
        <v>0</v>
      </c>
      <c r="H315" s="111">
        <f t="shared" si="29"/>
        <v>0</v>
      </c>
      <c r="I315" s="112"/>
    </row>
    <row r="316" spans="1:9" x14ac:dyDescent="0.25">
      <c r="A316" s="1118"/>
      <c r="B316" s="96">
        <v>53205050100000</v>
      </c>
      <c r="C316" s="97" t="s">
        <v>84</v>
      </c>
      <c r="D316" s="117"/>
      <c r="E316" s="118"/>
      <c r="F316" s="119"/>
      <c r="G316" s="110">
        <f t="shared" si="28"/>
        <v>0</v>
      </c>
      <c r="H316" s="111">
        <f t="shared" si="29"/>
        <v>0</v>
      </c>
      <c r="I316" s="112"/>
    </row>
    <row r="317" spans="1:9" x14ac:dyDescent="0.25">
      <c r="A317" s="1118"/>
      <c r="B317" s="96">
        <v>53205060100000</v>
      </c>
      <c r="C317" s="97" t="s">
        <v>85</v>
      </c>
      <c r="D317" s="117"/>
      <c r="E317" s="118"/>
      <c r="F317" s="119"/>
      <c r="G317" s="110">
        <f t="shared" si="28"/>
        <v>0</v>
      </c>
      <c r="H317" s="111">
        <f t="shared" si="29"/>
        <v>0</v>
      </c>
      <c r="I317" s="112"/>
    </row>
    <row r="318" spans="1:9" x14ac:dyDescent="0.25">
      <c r="A318" s="1118"/>
      <c r="B318" s="96">
        <v>53205070100000</v>
      </c>
      <c r="C318" s="97" t="s">
        <v>86</v>
      </c>
      <c r="D318" s="117"/>
      <c r="E318" s="118"/>
      <c r="F318" s="119"/>
      <c r="G318" s="110">
        <f t="shared" si="28"/>
        <v>0</v>
      </c>
      <c r="H318" s="111">
        <f t="shared" si="29"/>
        <v>0</v>
      </c>
      <c r="I318" s="112"/>
    </row>
    <row r="319" spans="1:9" x14ac:dyDescent="0.25">
      <c r="A319" s="1118"/>
      <c r="B319" s="96">
        <v>53208010100000</v>
      </c>
      <c r="C319" s="97" t="s">
        <v>87</v>
      </c>
      <c r="D319" s="117"/>
      <c r="E319" s="118"/>
      <c r="F319" s="119"/>
      <c r="G319" s="110">
        <f t="shared" si="28"/>
        <v>0</v>
      </c>
      <c r="H319" s="111">
        <f t="shared" si="29"/>
        <v>0</v>
      </c>
      <c r="I319" s="112"/>
    </row>
    <row r="320" spans="1:9" x14ac:dyDescent="0.25">
      <c r="A320" s="1118"/>
      <c r="B320" s="96">
        <v>53208070100001</v>
      </c>
      <c r="C320" s="97" t="s">
        <v>88</v>
      </c>
      <c r="D320" s="117"/>
      <c r="E320" s="118"/>
      <c r="F320" s="119"/>
      <c r="G320" s="110">
        <f t="shared" si="28"/>
        <v>0</v>
      </c>
      <c r="H320" s="111">
        <f t="shared" si="29"/>
        <v>0</v>
      </c>
      <c r="I320" s="112"/>
    </row>
    <row r="321" spans="1:9" x14ac:dyDescent="0.25">
      <c r="A321" s="1118"/>
      <c r="B321" s="96">
        <v>53208100100001</v>
      </c>
      <c r="C321" s="97" t="s">
        <v>89</v>
      </c>
      <c r="D321" s="117"/>
      <c r="E321" s="118"/>
      <c r="F321" s="119"/>
      <c r="G321" s="110">
        <f t="shared" si="28"/>
        <v>0</v>
      </c>
      <c r="H321" s="111">
        <f t="shared" si="29"/>
        <v>0</v>
      </c>
      <c r="I321" s="112"/>
    </row>
    <row r="322" spans="1:9" x14ac:dyDescent="0.25">
      <c r="A322" s="1118"/>
      <c r="B322" s="96">
        <v>53211030000000</v>
      </c>
      <c r="C322" s="97" t="s">
        <v>90</v>
      </c>
      <c r="D322" s="117"/>
      <c r="E322" s="118"/>
      <c r="F322" s="119"/>
      <c r="G322" s="110">
        <f t="shared" si="28"/>
        <v>0</v>
      </c>
      <c r="H322" s="111">
        <f t="shared" si="29"/>
        <v>0</v>
      </c>
      <c r="I322" s="112"/>
    </row>
    <row r="323" spans="1:9" x14ac:dyDescent="0.25">
      <c r="A323" s="1118"/>
      <c r="B323" s="96">
        <v>53212020100000</v>
      </c>
      <c r="C323" s="97" t="s">
        <v>91</v>
      </c>
      <c r="D323" s="117"/>
      <c r="E323" s="118"/>
      <c r="F323" s="119"/>
      <c r="G323" s="110">
        <f t="shared" si="28"/>
        <v>0</v>
      </c>
      <c r="H323" s="111">
        <f t="shared" si="29"/>
        <v>0</v>
      </c>
      <c r="I323" s="112"/>
    </row>
    <row r="324" spans="1:9" x14ac:dyDescent="0.25">
      <c r="A324" s="1118"/>
      <c r="B324" s="96">
        <v>53214020000000</v>
      </c>
      <c r="C324" s="97" t="s">
        <v>92</v>
      </c>
      <c r="D324" s="107"/>
      <c r="E324" s="108"/>
      <c r="F324" s="109"/>
      <c r="G324" s="110">
        <f t="shared" si="28"/>
        <v>0</v>
      </c>
      <c r="H324" s="111">
        <f t="shared" si="29"/>
        <v>0</v>
      </c>
      <c r="I324" s="112"/>
    </row>
    <row r="325" spans="1:9" x14ac:dyDescent="0.25">
      <c r="A325" s="1118"/>
      <c r="B325" s="84"/>
      <c r="C325" s="85" t="s">
        <v>93</v>
      </c>
      <c r="D325" s="121">
        <f>SUM(D326,D331,D334,D345,D355,D363)</f>
        <v>800985</v>
      </c>
      <c r="E325" s="87"/>
      <c r="F325" s="87"/>
      <c r="G325" s="122">
        <f>SUM(G326,G331,G334,G345,G355,G363)</f>
        <v>0</v>
      </c>
      <c r="H325" s="123">
        <f>SUM(H326,H331,H334,H345,H355,H363)</f>
        <v>800985</v>
      </c>
      <c r="I325" s="112"/>
    </row>
    <row r="326" spans="1:9" x14ac:dyDescent="0.25">
      <c r="A326" s="1118"/>
      <c r="B326" s="90"/>
      <c r="C326" s="91" t="s">
        <v>94</v>
      </c>
      <c r="D326" s="92">
        <f>SUM(D327:D330)</f>
        <v>0</v>
      </c>
      <c r="E326" s="113"/>
      <c r="F326" s="113"/>
      <c r="G326" s="114">
        <f>SUM(G327:G330)</f>
        <v>0</v>
      </c>
      <c r="H326" s="124">
        <f>SUM(H327:H330)</f>
        <v>0</v>
      </c>
      <c r="I326" s="112"/>
    </row>
    <row r="327" spans="1:9" x14ac:dyDescent="0.25">
      <c r="A327" s="1118"/>
      <c r="B327" s="96">
        <v>53202020100000</v>
      </c>
      <c r="C327" s="97" t="s">
        <v>95</v>
      </c>
      <c r="D327" s="117"/>
      <c r="E327" s="118"/>
      <c r="F327" s="119"/>
      <c r="G327" s="110">
        <f>E327*F327</f>
        <v>0</v>
      </c>
      <c r="H327" s="111">
        <f>D327+G327</f>
        <v>0</v>
      </c>
      <c r="I327" s="112"/>
    </row>
    <row r="328" spans="1:9" x14ac:dyDescent="0.25">
      <c r="A328" s="1118"/>
      <c r="B328" s="96">
        <v>53202030000000</v>
      </c>
      <c r="C328" s="97" t="s">
        <v>96</v>
      </c>
      <c r="D328" s="107"/>
      <c r="E328" s="108"/>
      <c r="F328" s="109"/>
      <c r="G328" s="110">
        <f>E328*F328</f>
        <v>0</v>
      </c>
      <c r="H328" s="111">
        <f>D328+G328</f>
        <v>0</v>
      </c>
      <c r="I328" s="112"/>
    </row>
    <row r="329" spans="1:9" x14ac:dyDescent="0.25">
      <c r="A329" s="1118"/>
      <c r="B329" s="96">
        <v>53211020000000</v>
      </c>
      <c r="C329" s="97" t="s">
        <v>97</v>
      </c>
      <c r="D329" s="117"/>
      <c r="E329" s="118"/>
      <c r="F329" s="119"/>
      <c r="G329" s="110">
        <f>E329*F329</f>
        <v>0</v>
      </c>
      <c r="H329" s="111">
        <f>D329+G329</f>
        <v>0</v>
      </c>
      <c r="I329" s="112"/>
    </row>
    <row r="330" spans="1:9" x14ac:dyDescent="0.25">
      <c r="A330" s="1118"/>
      <c r="B330" s="96">
        <v>53101004030000</v>
      </c>
      <c r="C330" s="97" t="s">
        <v>98</v>
      </c>
      <c r="D330" s="107"/>
      <c r="E330" s="108"/>
      <c r="F330" s="109"/>
      <c r="G330" s="110">
        <f>E330*F330</f>
        <v>0</v>
      </c>
      <c r="H330" s="111">
        <f>D330+G330</f>
        <v>0</v>
      </c>
      <c r="I330" s="112"/>
    </row>
    <row r="331" spans="1:9" x14ac:dyDescent="0.25">
      <c r="A331" s="1118"/>
      <c r="B331" s="90"/>
      <c r="C331" s="91" t="s">
        <v>99</v>
      </c>
      <c r="D331" s="92">
        <f>SUM(D332:D333)</f>
        <v>0</v>
      </c>
      <c r="E331" s="113"/>
      <c r="F331" s="113"/>
      <c r="G331" s="114">
        <f>SUM(G332:G333)</f>
        <v>0</v>
      </c>
      <c r="H331" s="124">
        <f>SUM(H332:H333)</f>
        <v>0</v>
      </c>
      <c r="I331" s="112"/>
    </row>
    <row r="332" spans="1:9" x14ac:dyDescent="0.25">
      <c r="A332" s="1118"/>
      <c r="B332" s="96">
        <v>53205080000000</v>
      </c>
      <c r="C332" s="120" t="s">
        <v>100</v>
      </c>
      <c r="D332" s="107"/>
      <c r="E332" s="108"/>
      <c r="F332" s="109"/>
      <c r="G332" s="110">
        <f>E332*F332</f>
        <v>0</v>
      </c>
      <c r="H332" s="111">
        <f>D332+G332</f>
        <v>0</v>
      </c>
      <c r="I332" s="112"/>
    </row>
    <row r="333" spans="1:9" x14ac:dyDescent="0.25">
      <c r="A333" s="1118"/>
      <c r="B333" s="96">
        <v>53205990000000</v>
      </c>
      <c r="C333" s="97" t="s">
        <v>101</v>
      </c>
      <c r="D333" s="117"/>
      <c r="E333" s="118"/>
      <c r="F333" s="119"/>
      <c r="G333" s="110">
        <f>E333*F333</f>
        <v>0</v>
      </c>
      <c r="H333" s="111">
        <f>D333+G333</f>
        <v>0</v>
      </c>
      <c r="I333" s="112"/>
    </row>
    <row r="334" spans="1:9" x14ac:dyDescent="0.25">
      <c r="A334" s="1118"/>
      <c r="B334" s="90"/>
      <c r="C334" s="91" t="s">
        <v>102</v>
      </c>
      <c r="D334" s="92">
        <f>SUM(D335:D344)</f>
        <v>629487</v>
      </c>
      <c r="E334" s="113"/>
      <c r="F334" s="113"/>
      <c r="G334" s="116">
        <f>SUM(G335:G344)</f>
        <v>0</v>
      </c>
      <c r="H334" s="115">
        <f>SUM(H335:H344)</f>
        <v>629487</v>
      </c>
      <c r="I334" s="112"/>
    </row>
    <row r="335" spans="1:9" x14ac:dyDescent="0.25">
      <c r="A335" s="1118"/>
      <c r="B335" s="96">
        <v>53203010200000</v>
      </c>
      <c r="C335" s="97" t="s">
        <v>103</v>
      </c>
      <c r="D335" s="107"/>
      <c r="E335" s="107"/>
      <c r="F335" s="109"/>
      <c r="G335" s="110">
        <f t="shared" ref="G335:G344" si="30">E335*F335</f>
        <v>0</v>
      </c>
      <c r="H335" s="111">
        <f t="shared" ref="H335:H344" si="31">D335+G335</f>
        <v>0</v>
      </c>
      <c r="I335" s="112"/>
    </row>
    <row r="336" spans="1:9" x14ac:dyDescent="0.25">
      <c r="A336" s="1118"/>
      <c r="B336" s="96">
        <v>53204010000000</v>
      </c>
      <c r="C336" s="97" t="s">
        <v>104</v>
      </c>
      <c r="D336" s="117"/>
      <c r="E336" s="117"/>
      <c r="F336" s="119"/>
      <c r="G336" s="110">
        <f t="shared" si="30"/>
        <v>0</v>
      </c>
      <c r="H336" s="111">
        <f t="shared" si="31"/>
        <v>0</v>
      </c>
      <c r="I336" s="112"/>
    </row>
    <row r="337" spans="1:9" x14ac:dyDescent="0.25">
      <c r="A337" s="1118"/>
      <c r="B337" s="96">
        <v>53204040200000</v>
      </c>
      <c r="C337" s="120" t="s">
        <v>105</v>
      </c>
      <c r="D337" s="117"/>
      <c r="E337" s="117"/>
      <c r="F337" s="119"/>
      <c r="G337" s="110">
        <f t="shared" si="30"/>
        <v>0</v>
      </c>
      <c r="H337" s="111">
        <f t="shared" si="31"/>
        <v>0</v>
      </c>
      <c r="I337" s="112"/>
    </row>
    <row r="338" spans="1:9" x14ac:dyDescent="0.25">
      <c r="A338" s="1118"/>
      <c r="B338" s="96">
        <v>53204060000000</v>
      </c>
      <c r="C338" s="120" t="s">
        <v>106</v>
      </c>
      <c r="D338" s="117"/>
      <c r="E338" s="117"/>
      <c r="F338" s="119"/>
      <c r="G338" s="110">
        <f t="shared" si="30"/>
        <v>0</v>
      </c>
      <c r="H338" s="111">
        <f t="shared" si="31"/>
        <v>0</v>
      </c>
      <c r="I338" s="112"/>
    </row>
    <row r="339" spans="1:9" x14ac:dyDescent="0.25">
      <c r="A339" s="1118"/>
      <c r="B339" s="96">
        <v>53204070000000</v>
      </c>
      <c r="C339" s="97" t="s">
        <v>107</v>
      </c>
      <c r="D339" s="117">
        <v>614078</v>
      </c>
      <c r="E339" s="117"/>
      <c r="F339" s="119"/>
      <c r="G339" s="110">
        <f t="shared" si="30"/>
        <v>0</v>
      </c>
      <c r="H339" s="111">
        <f t="shared" si="31"/>
        <v>614078</v>
      </c>
      <c r="I339" s="643"/>
    </row>
    <row r="340" spans="1:9" x14ac:dyDescent="0.25">
      <c r="A340" s="1118"/>
      <c r="B340" s="96">
        <v>53204080000000</v>
      </c>
      <c r="C340" s="120" t="s">
        <v>108</v>
      </c>
      <c r="D340" s="117">
        <v>15409</v>
      </c>
      <c r="E340" s="117"/>
      <c r="F340" s="119"/>
      <c r="G340" s="110">
        <f t="shared" si="30"/>
        <v>0</v>
      </c>
      <c r="H340" s="111">
        <f t="shared" si="31"/>
        <v>15409</v>
      </c>
      <c r="I340" s="112"/>
    </row>
    <row r="341" spans="1:9" x14ac:dyDescent="0.25">
      <c r="A341" s="1118"/>
      <c r="B341" s="96">
        <v>53214010000000</v>
      </c>
      <c r="C341" s="120" t="s">
        <v>109</v>
      </c>
      <c r="D341" s="107"/>
      <c r="E341" s="107"/>
      <c r="F341" s="109"/>
      <c r="G341" s="110">
        <f t="shared" si="30"/>
        <v>0</v>
      </c>
      <c r="H341" s="111">
        <f t="shared" si="31"/>
        <v>0</v>
      </c>
      <c r="I341" s="112"/>
    </row>
    <row r="342" spans="1:9" x14ac:dyDescent="0.25">
      <c r="A342" s="1118"/>
      <c r="B342" s="96">
        <v>53214040000000</v>
      </c>
      <c r="C342" s="97" t="s">
        <v>110</v>
      </c>
      <c r="D342" s="107"/>
      <c r="E342" s="107"/>
      <c r="F342" s="109"/>
      <c r="G342" s="110">
        <f t="shared" si="30"/>
        <v>0</v>
      </c>
      <c r="H342" s="111">
        <f t="shared" si="31"/>
        <v>0</v>
      </c>
      <c r="I342" s="112"/>
    </row>
    <row r="343" spans="1:9" x14ac:dyDescent="0.25">
      <c r="A343" s="1118"/>
      <c r="B343" s="96">
        <v>55201010100004</v>
      </c>
      <c r="C343" s="97" t="s">
        <v>111</v>
      </c>
      <c r="D343" s="107"/>
      <c r="E343" s="608"/>
      <c r="F343" s="109"/>
      <c r="G343" s="110">
        <f t="shared" si="30"/>
        <v>0</v>
      </c>
      <c r="H343" s="111">
        <f t="shared" si="31"/>
        <v>0</v>
      </c>
      <c r="I343" s="112"/>
    </row>
    <row r="344" spans="1:9" x14ac:dyDescent="0.25">
      <c r="A344" s="1118"/>
      <c r="B344" s="96">
        <v>55201010100005</v>
      </c>
      <c r="C344" s="97" t="s">
        <v>112</v>
      </c>
      <c r="D344" s="107"/>
      <c r="E344" s="107"/>
      <c r="F344" s="109"/>
      <c r="G344" s="110">
        <f t="shared" si="30"/>
        <v>0</v>
      </c>
      <c r="H344" s="111">
        <f t="shared" si="31"/>
        <v>0</v>
      </c>
      <c r="I344" s="112"/>
    </row>
    <row r="345" spans="1:9" x14ac:dyDescent="0.25">
      <c r="A345" s="1118"/>
      <c r="B345" s="90"/>
      <c r="C345" s="91" t="s">
        <v>113</v>
      </c>
      <c r="D345" s="92">
        <f>SUM(D346:D354)</f>
        <v>119332</v>
      </c>
      <c r="E345" s="113"/>
      <c r="F345" s="113"/>
      <c r="G345" s="116">
        <f>SUM(G346:G354)</f>
        <v>0</v>
      </c>
      <c r="H345" s="115">
        <f>SUM(H346:H354)</f>
        <v>119332</v>
      </c>
      <c r="I345" s="112"/>
    </row>
    <row r="346" spans="1:9" x14ac:dyDescent="0.25">
      <c r="A346" s="1118"/>
      <c r="B346" s="96">
        <v>53207010000000</v>
      </c>
      <c r="C346" s="97" t="s">
        <v>114</v>
      </c>
      <c r="D346" s="117"/>
      <c r="E346" s="117"/>
      <c r="F346" s="119"/>
      <c r="G346" s="110">
        <f t="shared" ref="G346:G354" si="32">E346*F346</f>
        <v>0</v>
      </c>
      <c r="H346" s="111">
        <f t="shared" ref="H346:H354" si="33">D346+G346</f>
        <v>0</v>
      </c>
      <c r="I346" s="112"/>
    </row>
    <row r="347" spans="1:9" x14ac:dyDescent="0.25">
      <c r="A347" s="1118"/>
      <c r="B347" s="96">
        <v>53207020000000</v>
      </c>
      <c r="C347" s="97" t="s">
        <v>115</v>
      </c>
      <c r="D347" s="117"/>
      <c r="E347" s="117"/>
      <c r="F347" s="119"/>
      <c r="G347" s="110">
        <f t="shared" si="32"/>
        <v>0</v>
      </c>
      <c r="H347" s="111">
        <f t="shared" si="33"/>
        <v>0</v>
      </c>
      <c r="I347" s="112"/>
    </row>
    <row r="348" spans="1:9" x14ac:dyDescent="0.25">
      <c r="A348" s="1118"/>
      <c r="B348" s="96">
        <v>53208020000000</v>
      </c>
      <c r="C348" s="97" t="s">
        <v>116</v>
      </c>
      <c r="D348" s="117"/>
      <c r="E348" s="117"/>
      <c r="F348" s="119"/>
      <c r="G348" s="110">
        <f t="shared" si="32"/>
        <v>0</v>
      </c>
      <c r="H348" s="111">
        <f t="shared" si="33"/>
        <v>0</v>
      </c>
      <c r="I348" s="112"/>
    </row>
    <row r="349" spans="1:9" x14ac:dyDescent="0.25">
      <c r="A349" s="1118"/>
      <c r="B349" s="96">
        <v>53208990000000</v>
      </c>
      <c r="C349" s="97" t="s">
        <v>117</v>
      </c>
      <c r="D349" s="117">
        <v>119332</v>
      </c>
      <c r="E349" s="117"/>
      <c r="F349" s="119"/>
      <c r="G349" s="110">
        <f t="shared" si="32"/>
        <v>0</v>
      </c>
      <c r="H349" s="111">
        <f t="shared" si="33"/>
        <v>119332</v>
      </c>
      <c r="I349" s="112"/>
    </row>
    <row r="350" spans="1:9" x14ac:dyDescent="0.25">
      <c r="A350" s="1118"/>
      <c r="B350" s="96">
        <v>53209010000000</v>
      </c>
      <c r="C350" s="97" t="s">
        <v>118</v>
      </c>
      <c r="D350" s="117"/>
      <c r="E350" s="117"/>
      <c r="F350" s="119"/>
      <c r="G350" s="110">
        <f t="shared" si="32"/>
        <v>0</v>
      </c>
      <c r="H350" s="111">
        <f t="shared" si="33"/>
        <v>0</v>
      </c>
      <c r="I350" s="112"/>
    </row>
    <row r="351" spans="1:9" x14ac:dyDescent="0.25">
      <c r="A351" s="1118"/>
      <c r="B351" s="96">
        <v>53209040000000</v>
      </c>
      <c r="C351" s="97" t="s">
        <v>119</v>
      </c>
      <c r="D351" s="117"/>
      <c r="E351" s="117"/>
      <c r="F351" s="119"/>
      <c r="G351" s="110">
        <f t="shared" si="32"/>
        <v>0</v>
      </c>
      <c r="H351" s="111">
        <f t="shared" si="33"/>
        <v>0</v>
      </c>
      <c r="I351" s="112"/>
    </row>
    <row r="352" spans="1:9" x14ac:dyDescent="0.25">
      <c r="A352" s="1118"/>
      <c r="B352" s="96">
        <v>53209050000000</v>
      </c>
      <c r="C352" s="97" t="s">
        <v>120</v>
      </c>
      <c r="D352" s="117"/>
      <c r="E352" s="117"/>
      <c r="F352" s="119"/>
      <c r="G352" s="110">
        <f t="shared" si="32"/>
        <v>0</v>
      </c>
      <c r="H352" s="111">
        <f t="shared" si="33"/>
        <v>0</v>
      </c>
      <c r="I352" s="112"/>
    </row>
    <row r="353" spans="1:9" x14ac:dyDescent="0.25">
      <c r="A353" s="1118"/>
      <c r="B353" s="96">
        <v>53209990000000</v>
      </c>
      <c r="C353" s="97" t="s">
        <v>121</v>
      </c>
      <c r="D353" s="117"/>
      <c r="E353" s="117"/>
      <c r="F353" s="119"/>
      <c r="G353" s="110">
        <f t="shared" si="32"/>
        <v>0</v>
      </c>
      <c r="H353" s="111">
        <f t="shared" si="33"/>
        <v>0</v>
      </c>
      <c r="I353" s="112"/>
    </row>
    <row r="354" spans="1:9" x14ac:dyDescent="0.25">
      <c r="A354" s="1118"/>
      <c r="B354" s="96">
        <v>53210020100000</v>
      </c>
      <c r="C354" s="97" t="s">
        <v>122</v>
      </c>
      <c r="D354" s="117"/>
      <c r="E354" s="117"/>
      <c r="F354" s="119"/>
      <c r="G354" s="110">
        <f t="shared" si="32"/>
        <v>0</v>
      </c>
      <c r="H354" s="111">
        <f t="shared" si="33"/>
        <v>0</v>
      </c>
      <c r="I354" s="112"/>
    </row>
    <row r="355" spans="1:9" x14ac:dyDescent="0.25">
      <c r="A355" s="1118"/>
      <c r="B355" s="90"/>
      <c r="C355" s="91" t="s">
        <v>123</v>
      </c>
      <c r="D355" s="92">
        <f>SUM(D356:D362)</f>
        <v>0</v>
      </c>
      <c r="E355" s="113"/>
      <c r="F355" s="113"/>
      <c r="G355" s="116">
        <f>SUM(G356:G362)</f>
        <v>0</v>
      </c>
      <c r="H355" s="115">
        <f>SUM(H356:H362)</f>
        <v>0</v>
      </c>
      <c r="I355" s="112"/>
    </row>
    <row r="356" spans="1:9" x14ac:dyDescent="0.25">
      <c r="A356" s="1118"/>
      <c r="B356" s="96">
        <v>53206030000000</v>
      </c>
      <c r="C356" s="97" t="s">
        <v>124</v>
      </c>
      <c r="D356" s="117"/>
      <c r="E356" s="117"/>
      <c r="F356" s="119"/>
      <c r="G356" s="110">
        <f t="shared" ref="G356:G362" si="34">E356*F356</f>
        <v>0</v>
      </c>
      <c r="H356" s="111">
        <f t="shared" ref="H356:H362" si="35">D356+G356</f>
        <v>0</v>
      </c>
      <c r="I356" s="112"/>
    </row>
    <row r="357" spans="1:9" x14ac:dyDescent="0.25">
      <c r="A357" s="1118"/>
      <c r="B357" s="96">
        <v>53206040000000</v>
      </c>
      <c r="C357" s="97" t="s">
        <v>125</v>
      </c>
      <c r="D357" s="117"/>
      <c r="E357" s="117"/>
      <c r="F357" s="119"/>
      <c r="G357" s="110">
        <f t="shared" si="34"/>
        <v>0</v>
      </c>
      <c r="H357" s="111">
        <f t="shared" si="35"/>
        <v>0</v>
      </c>
      <c r="I357" s="112"/>
    </row>
    <row r="358" spans="1:9" x14ac:dyDescent="0.25">
      <c r="A358" s="1118"/>
      <c r="B358" s="96">
        <v>53206060000000</v>
      </c>
      <c r="C358" s="97" t="s">
        <v>126</v>
      </c>
      <c r="D358" s="117"/>
      <c r="E358" s="117"/>
      <c r="F358" s="119"/>
      <c r="G358" s="110">
        <f t="shared" si="34"/>
        <v>0</v>
      </c>
      <c r="H358" s="111">
        <f t="shared" si="35"/>
        <v>0</v>
      </c>
      <c r="I358" s="643"/>
    </row>
    <row r="359" spans="1:9" x14ac:dyDescent="0.25">
      <c r="A359" s="1118"/>
      <c r="B359" s="96">
        <v>53206070000000</v>
      </c>
      <c r="C359" s="97" t="s">
        <v>127</v>
      </c>
      <c r="D359" s="117"/>
      <c r="E359" s="117"/>
      <c r="F359" s="119"/>
      <c r="G359" s="110">
        <f t="shared" si="34"/>
        <v>0</v>
      </c>
      <c r="H359" s="111">
        <f t="shared" si="35"/>
        <v>0</v>
      </c>
      <c r="I359" s="112"/>
    </row>
    <row r="360" spans="1:9" x14ac:dyDescent="0.25">
      <c r="A360" s="1118"/>
      <c r="B360" s="96">
        <v>53206990000000</v>
      </c>
      <c r="C360" s="97" t="s">
        <v>128</v>
      </c>
      <c r="D360" s="117"/>
      <c r="E360" s="117"/>
      <c r="F360" s="119"/>
      <c r="G360" s="110">
        <f t="shared" si="34"/>
        <v>0</v>
      </c>
      <c r="H360" s="111">
        <f t="shared" si="35"/>
        <v>0</v>
      </c>
      <c r="I360" s="112"/>
    </row>
    <row r="361" spans="1:9" x14ac:dyDescent="0.25">
      <c r="A361" s="1118"/>
      <c r="B361" s="96">
        <v>53208030000000</v>
      </c>
      <c r="C361" s="97" t="s">
        <v>129</v>
      </c>
      <c r="D361" s="117"/>
      <c r="E361" s="117"/>
      <c r="F361" s="119"/>
      <c r="G361" s="110">
        <f t="shared" si="34"/>
        <v>0</v>
      </c>
      <c r="H361" s="111">
        <f t="shared" si="35"/>
        <v>0</v>
      </c>
      <c r="I361" s="112"/>
    </row>
    <row r="362" spans="1:9" x14ac:dyDescent="0.25">
      <c r="A362" s="1118"/>
      <c r="B362" s="96">
        <v>53212060000000</v>
      </c>
      <c r="C362" s="97" t="s">
        <v>130</v>
      </c>
      <c r="D362" s="107"/>
      <c r="E362" s="107"/>
      <c r="F362" s="109"/>
      <c r="G362" s="110">
        <f t="shared" si="34"/>
        <v>0</v>
      </c>
      <c r="H362" s="111">
        <f t="shared" si="35"/>
        <v>0</v>
      </c>
      <c r="I362" s="112"/>
    </row>
    <row r="363" spans="1:9" x14ac:dyDescent="0.25">
      <c r="A363" s="1118"/>
      <c r="B363" s="90"/>
      <c r="C363" s="91" t="s">
        <v>131</v>
      </c>
      <c r="D363" s="92">
        <f>SUM(D364:D365)</f>
        <v>52166</v>
      </c>
      <c r="E363" s="113"/>
      <c r="F363" s="113"/>
      <c r="G363" s="116">
        <f>SUM(G364:G365)</f>
        <v>0</v>
      </c>
      <c r="H363" s="115">
        <f>SUM(H364:H365)</f>
        <v>52166</v>
      </c>
      <c r="I363" s="112"/>
    </row>
    <row r="364" spans="1:9" x14ac:dyDescent="0.25">
      <c r="A364" s="1118"/>
      <c r="B364" s="96">
        <v>53210020500000</v>
      </c>
      <c r="C364" s="97" t="s">
        <v>132</v>
      </c>
      <c r="D364" s="107">
        <v>52166</v>
      </c>
      <c r="E364" s="107"/>
      <c r="F364" s="109"/>
      <c r="G364" s="110">
        <f>E364*F364</f>
        <v>0</v>
      </c>
      <c r="H364" s="125">
        <f>D364+G364</f>
        <v>52166</v>
      </c>
      <c r="I364" s="112"/>
    </row>
    <row r="365" spans="1:9" x14ac:dyDescent="0.25">
      <c r="A365" s="1118"/>
      <c r="B365" s="126">
        <v>53204999000000</v>
      </c>
      <c r="C365" s="127" t="s">
        <v>133</v>
      </c>
      <c r="D365" s="117"/>
      <c r="E365" s="117"/>
      <c r="F365" s="119"/>
      <c r="G365" s="128">
        <f>E365*F365</f>
        <v>0</v>
      </c>
      <c r="H365" s="125">
        <f>D365+G365</f>
        <v>0</v>
      </c>
      <c r="I365" s="112"/>
    </row>
    <row r="366" spans="1:9" x14ac:dyDescent="0.25">
      <c r="A366" s="1119"/>
      <c r="B366" s="129"/>
      <c r="C366" s="130" t="s">
        <v>13</v>
      </c>
      <c r="D366" s="131">
        <f>SUM(D297,D325)</f>
        <v>1273464</v>
      </c>
      <c r="E366" s="132"/>
      <c r="F366" s="132"/>
      <c r="G366" s="131">
        <f>SUM(G297,G325)</f>
        <v>0</v>
      </c>
      <c r="H366" s="133">
        <f>SUM(H297,H325)</f>
        <v>1273464</v>
      </c>
      <c r="I366" s="112"/>
    </row>
  </sheetData>
  <mergeCells count="35">
    <mergeCell ref="D4:E4"/>
    <mergeCell ref="A7:C7"/>
    <mergeCell ref="A9:A10"/>
    <mergeCell ref="B9:B10"/>
    <mergeCell ref="C9:C10"/>
    <mergeCell ref="D9:D10"/>
    <mergeCell ref="E9:G9"/>
    <mergeCell ref="H9:H10"/>
    <mergeCell ref="I9:I10"/>
    <mergeCell ref="A11:A80"/>
    <mergeCell ref="A81:A82"/>
    <mergeCell ref="B81:B82"/>
    <mergeCell ref="C81:C82"/>
    <mergeCell ref="D81:D82"/>
    <mergeCell ref="E81:G81"/>
    <mergeCell ref="H81:H82"/>
    <mergeCell ref="I81:I82"/>
    <mergeCell ref="A83:A152"/>
    <mergeCell ref="A153:A154"/>
    <mergeCell ref="B153:B154"/>
    <mergeCell ref="C153:C154"/>
    <mergeCell ref="D153:D154"/>
    <mergeCell ref="A297:A366"/>
    <mergeCell ref="A227:A296"/>
    <mergeCell ref="H153:H154"/>
    <mergeCell ref="I153:I154"/>
    <mergeCell ref="A155:A224"/>
    <mergeCell ref="A225:A226"/>
    <mergeCell ref="B225:B226"/>
    <mergeCell ref="C225:C226"/>
    <mergeCell ref="D225:D226"/>
    <mergeCell ref="E225:G225"/>
    <mergeCell ref="H225:H226"/>
    <mergeCell ref="I225:I226"/>
    <mergeCell ref="E153:G153"/>
  </mergeCells>
  <hyperlinks>
    <hyperlink ref="A7:C7" location="'Índice Tablas'!A1" display="TABLA 6: COSTOS DIRECTOS DE CENTROS DE BENEFICIOS" xr:uid="{00000000-0004-0000-0500-000000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AT100"/>
  <sheetViews>
    <sheetView showGridLines="0" tabSelected="1" topLeftCell="G1" zoomScale="70" zoomScaleNormal="70" workbookViewId="0">
      <selection activeCell="J15" sqref="J15"/>
    </sheetView>
  </sheetViews>
  <sheetFormatPr baseColWidth="10" defaultColWidth="11.42578125" defaultRowHeight="12.75" x14ac:dyDescent="0.2"/>
  <cols>
    <col min="1" max="1" width="7.140625" style="705" customWidth="1"/>
    <col min="2" max="2" width="28" style="705" customWidth="1"/>
    <col min="3" max="3" width="36.85546875" style="705" bestFit="1" customWidth="1"/>
    <col min="4" max="4" width="24.140625" style="705" customWidth="1"/>
    <col min="5" max="5" width="55.42578125" style="705" bestFit="1" customWidth="1"/>
    <col min="6" max="6" width="22.140625" style="705" customWidth="1"/>
    <col min="7" max="7" width="14.85546875" style="705" customWidth="1"/>
    <col min="8" max="8" width="15" style="705" customWidth="1"/>
    <col min="9" max="9" width="15.140625" style="705" customWidth="1"/>
    <col min="10" max="10" width="17.42578125" style="705" customWidth="1"/>
    <col min="11" max="11" width="19.140625" style="705" customWidth="1"/>
    <col min="12" max="12" width="4.85546875" style="705" customWidth="1"/>
    <col min="13" max="13" width="19.140625" style="705" customWidth="1"/>
    <col min="14" max="14" width="18" style="705" bestFit="1" customWidth="1"/>
    <col min="15" max="15" width="17.140625" style="705" customWidth="1"/>
    <col min="16" max="16" width="18" style="705" bestFit="1" customWidth="1"/>
    <col min="17" max="17" width="17.7109375" style="705" customWidth="1"/>
    <col min="18" max="18" width="19.85546875" style="705" bestFit="1" customWidth="1"/>
    <col min="19" max="19" width="14.140625" style="705" bestFit="1" customWidth="1"/>
    <col min="20" max="20" width="5" style="705" customWidth="1"/>
    <col min="21" max="21" width="19.85546875" style="705" bestFit="1" customWidth="1"/>
    <col min="22" max="22" width="52.140625" style="705" bestFit="1" customWidth="1"/>
    <col min="23" max="23" width="18.28515625" style="705" customWidth="1"/>
    <col min="24" max="24" width="5.7109375" style="705" customWidth="1"/>
    <col min="25" max="25" width="11.42578125" style="705"/>
    <col min="26" max="31" width="14.28515625" style="705" customWidth="1"/>
    <col min="32" max="32" width="11.28515625" style="705" customWidth="1"/>
    <col min="33" max="38" width="14.28515625" style="705" customWidth="1"/>
    <col min="39" max="39" width="11.42578125" style="705"/>
    <col min="40" max="45" width="14.28515625" style="705" customWidth="1"/>
    <col min="46" max="46" width="11.42578125" style="705"/>
    <col min="47" max="16384" width="11.42578125" style="697"/>
  </cols>
  <sheetData>
    <row r="1" spans="1:46" x14ac:dyDescent="0.2">
      <c r="A1" s="695"/>
      <c r="B1" s="695"/>
      <c r="C1" s="695"/>
      <c r="D1" s="695"/>
      <c r="E1" s="696"/>
      <c r="F1" s="696"/>
      <c r="G1" s="696"/>
      <c r="H1" s="696"/>
      <c r="I1" s="696"/>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c r="AS1" s="695"/>
      <c r="AT1" s="695"/>
    </row>
    <row r="2" spans="1:46" x14ac:dyDescent="0.2">
      <c r="A2" s="695"/>
      <c r="B2" s="695"/>
      <c r="C2" s="695"/>
      <c r="D2" s="695"/>
      <c r="E2" s="696" t="s">
        <v>134</v>
      </c>
      <c r="F2" s="696"/>
      <c r="G2" s="696"/>
      <c r="H2" s="696"/>
      <c r="I2" s="696"/>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5"/>
      <c r="AT2" s="695"/>
    </row>
    <row r="3" spans="1:46" x14ac:dyDescent="0.2">
      <c r="A3" s="695"/>
      <c r="B3" s="698"/>
      <c r="C3" s="695"/>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c r="AJ3" s="695"/>
      <c r="AK3" s="695"/>
      <c r="AL3" s="695"/>
      <c r="AM3" s="695"/>
      <c r="AN3" s="695"/>
      <c r="AO3" s="695"/>
      <c r="AP3" s="695"/>
      <c r="AQ3" s="695"/>
      <c r="AR3" s="695"/>
      <c r="AS3" s="695"/>
      <c r="AT3" s="695"/>
    </row>
    <row r="4" spans="1:46" ht="15.75" x14ac:dyDescent="0.25">
      <c r="A4" s="695"/>
      <c r="B4" s="698"/>
      <c r="C4" s="695"/>
      <c r="D4" s="699" t="s">
        <v>1</v>
      </c>
      <c r="E4" s="700" t="s">
        <v>2</v>
      </c>
      <c r="F4" s="701"/>
      <c r="G4" s="702"/>
      <c r="H4" s="702"/>
      <c r="I4" s="702"/>
      <c r="J4" s="702"/>
      <c r="K4" s="695"/>
      <c r="L4" s="695"/>
      <c r="M4" s="695"/>
      <c r="N4" s="695"/>
      <c r="O4" s="703"/>
      <c r="P4" s="695"/>
      <c r="Q4" s="695"/>
      <c r="R4" s="695"/>
      <c r="S4" s="695"/>
      <c r="T4" s="695"/>
      <c r="U4" s="695"/>
      <c r="V4" s="695"/>
      <c r="W4" s="695"/>
      <c r="X4" s="695"/>
      <c r="Y4" s="695"/>
      <c r="Z4" s="695"/>
      <c r="AA4" s="695"/>
      <c r="AB4" s="695"/>
      <c r="AC4" s="695"/>
      <c r="AD4" s="695"/>
      <c r="AE4" s="695"/>
      <c r="AF4" s="695"/>
      <c r="AG4" s="695"/>
      <c r="AH4" s="695"/>
      <c r="AI4" s="695"/>
      <c r="AJ4" s="695"/>
      <c r="AK4" s="695"/>
      <c r="AL4" s="695"/>
      <c r="AM4" s="695"/>
      <c r="AN4" s="695"/>
      <c r="AO4" s="695"/>
      <c r="AP4" s="695"/>
      <c r="AQ4" s="695"/>
      <c r="AR4" s="695"/>
      <c r="AS4" s="695"/>
      <c r="AT4" s="695"/>
    </row>
    <row r="5" spans="1:46" ht="15" x14ac:dyDescent="0.25">
      <c r="A5" s="695"/>
      <c r="B5" s="698"/>
      <c r="C5" s="695"/>
      <c r="D5" s="704"/>
      <c r="E5" s="696"/>
      <c r="F5" s="696"/>
      <c r="G5" s="696"/>
      <c r="H5" s="696"/>
      <c r="I5" s="696"/>
      <c r="J5" s="696"/>
      <c r="K5" s="695"/>
      <c r="L5" s="695"/>
      <c r="M5" s="695"/>
      <c r="N5" s="695"/>
      <c r="O5" s="703"/>
      <c r="P5" s="695"/>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row>
    <row r="6" spans="1:46" ht="15.75" thickBot="1" x14ac:dyDescent="0.3">
      <c r="A6" s="695"/>
      <c r="B6" s="698"/>
      <c r="C6" s="695"/>
      <c r="D6" s="704"/>
      <c r="E6" s="696"/>
      <c r="F6" s="696"/>
      <c r="G6" s="696"/>
      <c r="H6" s="696"/>
      <c r="I6" s="696"/>
      <c r="J6" s="696"/>
      <c r="K6" s="695"/>
      <c r="L6" s="695"/>
      <c r="M6" s="695"/>
      <c r="N6" s="695"/>
      <c r="O6" s="703"/>
      <c r="P6" s="695"/>
      <c r="Q6" s="695"/>
      <c r="R6" s="695"/>
      <c r="S6" s="695"/>
      <c r="T6" s="695"/>
      <c r="U6" s="695"/>
      <c r="V6" s="695"/>
      <c r="W6" s="695"/>
      <c r="X6" s="695"/>
      <c r="Y6" s="695"/>
      <c r="Z6" s="695"/>
      <c r="AA6" s="695"/>
      <c r="AB6" s="695"/>
      <c r="AC6" s="695"/>
      <c r="AD6" s="695"/>
      <c r="AE6" s="695"/>
      <c r="AF6" s="695"/>
      <c r="AG6" s="695"/>
      <c r="AH6" s="695"/>
      <c r="AI6" s="695"/>
      <c r="AJ6" s="695"/>
      <c r="AK6" s="695"/>
      <c r="AL6" s="695"/>
      <c r="AM6" s="695"/>
      <c r="AN6" s="695"/>
      <c r="AO6" s="695"/>
      <c r="AP6" s="695"/>
      <c r="AQ6" s="695"/>
      <c r="AR6" s="695"/>
      <c r="AS6" s="695"/>
      <c r="AT6" s="695"/>
    </row>
    <row r="7" spans="1:46" x14ac:dyDescent="0.2">
      <c r="B7" s="706"/>
      <c r="C7" s="706"/>
      <c r="D7" s="706"/>
      <c r="E7" s="706"/>
      <c r="F7" s="706"/>
      <c r="G7" s="706"/>
      <c r="H7" s="706"/>
      <c r="I7" s="706"/>
      <c r="J7" s="707"/>
      <c r="K7" s="707"/>
      <c r="L7" s="707"/>
      <c r="M7" s="707"/>
      <c r="N7" s="707"/>
      <c r="O7" s="707"/>
      <c r="P7" s="707"/>
      <c r="Q7" s="707"/>
      <c r="R7" s="707"/>
      <c r="Y7" s="708"/>
      <c r="Z7" s="709"/>
      <c r="AA7" s="709"/>
      <c r="AB7" s="709"/>
      <c r="AC7" s="709"/>
      <c r="AD7" s="709"/>
      <c r="AE7" s="709"/>
      <c r="AF7" s="709"/>
      <c r="AG7" s="709"/>
      <c r="AH7" s="709"/>
      <c r="AI7" s="709"/>
      <c r="AJ7" s="709"/>
      <c r="AK7" s="709"/>
      <c r="AL7" s="709"/>
      <c r="AM7" s="709"/>
      <c r="AN7" s="709"/>
      <c r="AO7" s="709"/>
      <c r="AP7" s="709"/>
      <c r="AQ7" s="709"/>
      <c r="AR7" s="709"/>
      <c r="AS7" s="709"/>
      <c r="AT7" s="710"/>
    </row>
    <row r="8" spans="1:46" x14ac:dyDescent="0.2">
      <c r="B8" s="706"/>
      <c r="C8" s="706"/>
      <c r="D8" s="706"/>
      <c r="E8" s="706"/>
      <c r="F8" s="706"/>
      <c r="G8" s="706"/>
      <c r="H8" s="706"/>
      <c r="I8" s="706"/>
      <c r="J8" s="707"/>
      <c r="K8" s="707"/>
      <c r="L8" s="707"/>
      <c r="M8" s="707"/>
      <c r="N8" s="707"/>
      <c r="O8" s="707"/>
      <c r="P8" s="707"/>
      <c r="Q8" s="707"/>
      <c r="R8" s="707"/>
      <c r="Y8" s="711"/>
      <c r="AT8" s="712"/>
    </row>
    <row r="9" spans="1:46" ht="15.75" x14ac:dyDescent="0.2">
      <c r="A9" s="1206" t="s">
        <v>135</v>
      </c>
      <c r="B9" s="1206"/>
      <c r="C9" s="1206"/>
      <c r="D9" s="1206"/>
      <c r="E9" s="1206"/>
      <c r="F9" s="1206"/>
      <c r="G9" s="1206"/>
      <c r="H9" s="1206"/>
      <c r="I9" s="713"/>
      <c r="J9" s="713"/>
      <c r="K9" s="713"/>
      <c r="L9" s="713"/>
      <c r="M9" s="1205" t="s">
        <v>136</v>
      </c>
      <c r="N9" s="1205"/>
      <c r="O9" s="1205"/>
      <c r="P9" s="1205"/>
      <c r="Q9" s="1205"/>
      <c r="R9" s="1205"/>
      <c r="S9" s="1205"/>
      <c r="U9" s="1205" t="s">
        <v>137</v>
      </c>
      <c r="V9" s="1205"/>
      <c r="W9" s="1205"/>
      <c r="X9" s="714"/>
      <c r="Y9" s="715"/>
      <c r="Z9" s="1205" t="s">
        <v>138</v>
      </c>
      <c r="AA9" s="1205"/>
      <c r="AB9" s="1205"/>
      <c r="AC9" s="1205"/>
      <c r="AD9" s="1205"/>
      <c r="AE9" s="1205"/>
      <c r="AF9" s="714"/>
      <c r="AG9" s="1205" t="s">
        <v>139</v>
      </c>
      <c r="AH9" s="1205"/>
      <c r="AI9" s="1205"/>
      <c r="AJ9" s="1205"/>
      <c r="AK9" s="1205"/>
      <c r="AL9" s="1205"/>
      <c r="AN9" s="1205" t="s">
        <v>140</v>
      </c>
      <c r="AO9" s="1205"/>
      <c r="AP9" s="1205"/>
      <c r="AQ9" s="1205"/>
      <c r="AR9" s="1205"/>
      <c r="AS9" s="1205"/>
      <c r="AT9" s="712"/>
    </row>
    <row r="10" spans="1:46" x14ac:dyDescent="0.2">
      <c r="B10" s="698"/>
      <c r="C10" s="704"/>
      <c r="D10" s="704"/>
      <c r="E10" s="696"/>
      <c r="F10" s="696"/>
      <c r="G10" s="696"/>
      <c r="H10" s="696"/>
      <c r="I10" s="696"/>
      <c r="J10" s="716" t="s">
        <v>288</v>
      </c>
      <c r="K10" s="717">
        <v>0</v>
      </c>
      <c r="M10" s="1205"/>
      <c r="N10" s="1205"/>
      <c r="O10" s="1205"/>
      <c r="P10" s="1205"/>
      <c r="Q10" s="1205"/>
      <c r="R10" s="1205"/>
      <c r="S10" s="1205"/>
      <c r="U10" s="1205"/>
      <c r="V10" s="1205"/>
      <c r="W10" s="1205"/>
      <c r="Y10" s="711"/>
      <c r="Z10" s="1205"/>
      <c r="AA10" s="1205"/>
      <c r="AB10" s="1205"/>
      <c r="AC10" s="1205"/>
      <c r="AD10" s="1205"/>
      <c r="AE10" s="1205"/>
      <c r="AG10" s="1205"/>
      <c r="AH10" s="1205"/>
      <c r="AI10" s="1205"/>
      <c r="AJ10" s="1205"/>
      <c r="AK10" s="1205"/>
      <c r="AL10" s="1205"/>
      <c r="AN10" s="1205"/>
      <c r="AO10" s="1205"/>
      <c r="AP10" s="1205"/>
      <c r="AQ10" s="1205"/>
      <c r="AR10" s="1205"/>
      <c r="AS10" s="1205"/>
      <c r="AT10" s="712"/>
    </row>
    <row r="11" spans="1:46" x14ac:dyDescent="0.2">
      <c r="J11" s="718" t="s">
        <v>37</v>
      </c>
      <c r="K11" s="719">
        <v>4.4999999999999998E-2</v>
      </c>
      <c r="Y11" s="711"/>
      <c r="AT11" s="712"/>
    </row>
    <row r="12" spans="1:46" ht="13.5" thickBot="1" x14ac:dyDescent="0.25">
      <c r="M12" s="1182"/>
      <c r="N12" s="1182"/>
      <c r="O12" s="1182"/>
      <c r="P12" s="1182"/>
      <c r="Q12" s="1182"/>
      <c r="R12" s="1182"/>
      <c r="Y12" s="711"/>
      <c r="AT12" s="712"/>
    </row>
    <row r="13" spans="1:46" ht="15" x14ac:dyDescent="0.2">
      <c r="A13" s="1183" t="s">
        <v>141</v>
      </c>
      <c r="B13" s="1184"/>
      <c r="C13" s="1187" t="s">
        <v>142</v>
      </c>
      <c r="D13" s="1187" t="s">
        <v>143</v>
      </c>
      <c r="E13" s="1189" t="s">
        <v>144</v>
      </c>
      <c r="F13" s="1189" t="s">
        <v>21</v>
      </c>
      <c r="G13" s="1191" t="s">
        <v>324</v>
      </c>
      <c r="H13" s="1192"/>
      <c r="I13" s="1192"/>
      <c r="J13" s="1193"/>
      <c r="K13" s="1194" t="s">
        <v>323</v>
      </c>
      <c r="L13" s="707"/>
      <c r="M13" s="1168" t="s">
        <v>145</v>
      </c>
      <c r="N13" s="1196"/>
      <c r="O13" s="1170" t="s">
        <v>146</v>
      </c>
      <c r="P13" s="1171"/>
      <c r="Q13" s="1197" t="s">
        <v>147</v>
      </c>
      <c r="R13" s="1197"/>
      <c r="S13" s="1198" t="s">
        <v>148</v>
      </c>
      <c r="U13" s="1200" t="s">
        <v>57</v>
      </c>
      <c r="V13" s="1202" t="s">
        <v>58</v>
      </c>
      <c r="W13" s="1204" t="s">
        <v>348</v>
      </c>
      <c r="Y13" s="711"/>
      <c r="Z13" s="1180" t="s">
        <v>145</v>
      </c>
      <c r="AA13" s="1181"/>
      <c r="AB13" s="1164" t="s">
        <v>146</v>
      </c>
      <c r="AC13" s="1165"/>
      <c r="AD13" s="1166" t="s">
        <v>147</v>
      </c>
      <c r="AE13" s="1167"/>
      <c r="AG13" s="1168" t="s">
        <v>145</v>
      </c>
      <c r="AH13" s="1169"/>
      <c r="AI13" s="1170" t="s">
        <v>146</v>
      </c>
      <c r="AJ13" s="1171"/>
      <c r="AK13" s="1172" t="s">
        <v>147</v>
      </c>
      <c r="AL13" s="1173"/>
      <c r="AN13" s="1168" t="s">
        <v>145</v>
      </c>
      <c r="AO13" s="1169"/>
      <c r="AP13" s="1170" t="s">
        <v>146</v>
      </c>
      <c r="AQ13" s="1171"/>
      <c r="AR13" s="1172" t="s">
        <v>147</v>
      </c>
      <c r="AS13" s="1173"/>
      <c r="AT13" s="712"/>
    </row>
    <row r="14" spans="1:46" ht="39" thickBot="1" x14ac:dyDescent="0.25">
      <c r="A14" s="1185"/>
      <c r="B14" s="1186"/>
      <c r="C14" s="1188"/>
      <c r="D14" s="1188"/>
      <c r="E14" s="1190"/>
      <c r="F14" s="1190"/>
      <c r="G14" s="720" t="s">
        <v>149</v>
      </c>
      <c r="H14" s="720" t="s">
        <v>150</v>
      </c>
      <c r="I14" s="721" t="s">
        <v>151</v>
      </c>
      <c r="J14" s="722" t="s">
        <v>322</v>
      </c>
      <c r="K14" s="1195"/>
      <c r="L14" s="707"/>
      <c r="M14" s="723" t="s">
        <v>152</v>
      </c>
      <c r="N14" s="724" t="s">
        <v>153</v>
      </c>
      <c r="O14" s="725" t="s">
        <v>152</v>
      </c>
      <c r="P14" s="726" t="s">
        <v>153</v>
      </c>
      <c r="Q14" s="727" t="s">
        <v>152</v>
      </c>
      <c r="R14" s="728" t="s">
        <v>153</v>
      </c>
      <c r="S14" s="1199"/>
      <c r="U14" s="1201"/>
      <c r="V14" s="1203"/>
      <c r="W14" s="1204"/>
      <c r="Y14" s="711"/>
      <c r="Z14" s="723" t="s">
        <v>152</v>
      </c>
      <c r="AA14" s="724" t="s">
        <v>153</v>
      </c>
      <c r="AB14" s="725" t="s">
        <v>152</v>
      </c>
      <c r="AC14" s="726" t="s">
        <v>153</v>
      </c>
      <c r="AD14" s="727" t="s">
        <v>152</v>
      </c>
      <c r="AE14" s="729" t="s">
        <v>153</v>
      </c>
      <c r="AG14" s="730" t="s">
        <v>152</v>
      </c>
      <c r="AH14" s="731" t="s">
        <v>153</v>
      </c>
      <c r="AI14" s="732" t="s">
        <v>152</v>
      </c>
      <c r="AJ14" s="733" t="s">
        <v>153</v>
      </c>
      <c r="AK14" s="734" t="s">
        <v>152</v>
      </c>
      <c r="AL14" s="735" t="s">
        <v>153</v>
      </c>
      <c r="AN14" s="1174" t="s">
        <v>154</v>
      </c>
      <c r="AO14" s="1175"/>
      <c r="AP14" s="1176" t="s">
        <v>154</v>
      </c>
      <c r="AQ14" s="1177"/>
      <c r="AR14" s="1178" t="s">
        <v>155</v>
      </c>
      <c r="AS14" s="1179"/>
      <c r="AT14" s="712"/>
    </row>
    <row r="15" spans="1:46" ht="15.75" customHeight="1" thickBot="1" x14ac:dyDescent="0.25">
      <c r="A15" s="1159" t="s">
        <v>156</v>
      </c>
      <c r="B15" s="1153" t="s">
        <v>157</v>
      </c>
      <c r="C15" s="736" t="s">
        <v>329</v>
      </c>
      <c r="D15" s="737" t="s">
        <v>332</v>
      </c>
      <c r="E15" s="738" t="s">
        <v>298</v>
      </c>
      <c r="F15" s="739" t="s">
        <v>299</v>
      </c>
      <c r="G15" s="961">
        <v>21466280</v>
      </c>
      <c r="H15" s="962">
        <v>217145</v>
      </c>
      <c r="I15" s="963">
        <f>85604+85604</f>
        <v>171208</v>
      </c>
      <c r="J15" s="969">
        <f>SUM(G15:I15)</f>
        <v>21854633</v>
      </c>
      <c r="K15" s="970">
        <f>+(((G15*(1+$K$11))*(1+$K$10))+H15+I15)</f>
        <v>22820615.599999998</v>
      </c>
      <c r="L15" s="707"/>
      <c r="M15" s="744">
        <v>0.4</v>
      </c>
      <c r="N15" s="745">
        <f t="shared" ref="N15:N61" si="0">+$K15*M15</f>
        <v>9128246.2400000002</v>
      </c>
      <c r="O15" s="744">
        <v>0.2</v>
      </c>
      <c r="P15" s="746">
        <f t="shared" ref="P15:P61" si="1">+$K15*O15</f>
        <v>4564123.12</v>
      </c>
      <c r="Q15" s="747">
        <v>0.4</v>
      </c>
      <c r="R15" s="748">
        <f t="shared" ref="R15:R61" si="2">+$K15*Q15</f>
        <v>9128246.2400000002</v>
      </c>
      <c r="S15" s="749">
        <f>+M15+O15+Q15</f>
        <v>1</v>
      </c>
      <c r="U15" s="750"/>
      <c r="V15" s="751" t="s">
        <v>65</v>
      </c>
      <c r="W15" s="752">
        <f>SUM(W16,W20)</f>
        <v>3628765</v>
      </c>
      <c r="Y15" s="711"/>
      <c r="Z15" s="753">
        <f t="shared" ref="Z15:AE15" si="3">+M62</f>
        <v>0.4</v>
      </c>
      <c r="AA15" s="754">
        <f t="shared" si="3"/>
        <v>15413217.188000001</v>
      </c>
      <c r="AB15" s="753">
        <f t="shared" si="3"/>
        <v>0.2</v>
      </c>
      <c r="AC15" s="755">
        <f t="shared" si="3"/>
        <v>7706608.5940000005</v>
      </c>
      <c r="AD15" s="756">
        <f t="shared" si="3"/>
        <v>0.4</v>
      </c>
      <c r="AE15" s="755">
        <f t="shared" si="3"/>
        <v>15413217.188000001</v>
      </c>
      <c r="AG15" s="757">
        <f>+Z15</f>
        <v>0.4</v>
      </c>
      <c r="AH15" s="758">
        <f>+AG15*W80</f>
        <v>5366947.6000000006</v>
      </c>
      <c r="AI15" s="759">
        <f>+AB15</f>
        <v>0.2</v>
      </c>
      <c r="AJ15" s="758">
        <f>+AI15*W80</f>
        <v>2683473.8000000003</v>
      </c>
      <c r="AK15" s="760">
        <f>+AD15</f>
        <v>0.4</v>
      </c>
      <c r="AL15" s="761">
        <f>+AK15*W80</f>
        <v>5366947.6000000006</v>
      </c>
      <c r="AN15" s="1162">
        <f>+AH15+AA15+K73</f>
        <v>20780164.788000003</v>
      </c>
      <c r="AO15" s="1163"/>
      <c r="AP15" s="1162">
        <f>+AJ15+AC15+K81</f>
        <v>10390082.394000001</v>
      </c>
      <c r="AQ15" s="1163"/>
      <c r="AR15" s="1162">
        <f>+AL15+AE15+K89</f>
        <v>20780164.788000003</v>
      </c>
      <c r="AS15" s="1163"/>
      <c r="AT15" s="712"/>
    </row>
    <row r="16" spans="1:46" ht="15" customHeight="1" x14ac:dyDescent="0.2">
      <c r="A16" s="1160"/>
      <c r="B16" s="1154"/>
      <c r="C16" s="762"/>
      <c r="D16" s="763"/>
      <c r="E16" s="764"/>
      <c r="F16" s="765"/>
      <c r="G16" s="961"/>
      <c r="H16" s="964"/>
      <c r="I16" s="965"/>
      <c r="J16" s="971">
        <f t="shared" ref="J16:J39" si="4">SUM(G16:I16)</f>
        <v>0</v>
      </c>
      <c r="K16" s="972">
        <f>+(((G16*(1+$K$11))*(1+$K$10))+H16+I16)</f>
        <v>0</v>
      </c>
      <c r="L16" s="707"/>
      <c r="M16" s="768"/>
      <c r="N16" s="745">
        <f t="shared" si="0"/>
        <v>0</v>
      </c>
      <c r="O16" s="768"/>
      <c r="P16" s="769">
        <f t="shared" si="1"/>
        <v>0</v>
      </c>
      <c r="Q16" s="770"/>
      <c r="R16" s="745">
        <f t="shared" si="2"/>
        <v>0</v>
      </c>
      <c r="S16" s="771">
        <f t="shared" ref="S16:S61" si="5">+M16+O16+Q16</f>
        <v>0</v>
      </c>
      <c r="U16" s="772"/>
      <c r="V16" s="773" t="s">
        <v>66</v>
      </c>
      <c r="W16" s="774">
        <f>SUM(W17:W19)</f>
        <v>0</v>
      </c>
      <c r="Y16" s="711"/>
      <c r="AT16" s="712"/>
    </row>
    <row r="17" spans="1:46" ht="15" customHeight="1" x14ac:dyDescent="0.2">
      <c r="A17" s="1160"/>
      <c r="B17" s="1154"/>
      <c r="C17" s="762" t="s">
        <v>330</v>
      </c>
      <c r="D17" s="763" t="s">
        <v>331</v>
      </c>
      <c r="E17" s="764" t="s">
        <v>300</v>
      </c>
      <c r="F17" s="765" t="s">
        <v>299</v>
      </c>
      <c r="G17" s="961">
        <v>14664186</v>
      </c>
      <c r="H17" s="961">
        <v>217145</v>
      </c>
      <c r="I17" s="966">
        <v>171208</v>
      </c>
      <c r="J17" s="971">
        <f t="shared" si="4"/>
        <v>15052539</v>
      </c>
      <c r="K17" s="972">
        <f>+(((G17*(1+$K$11))*(1+$K$10))+H17+I17)</f>
        <v>15712427.369999999</v>
      </c>
      <c r="L17" s="707"/>
      <c r="M17" s="768">
        <v>0.4</v>
      </c>
      <c r="N17" s="745">
        <f t="shared" si="0"/>
        <v>6284970.9479999999</v>
      </c>
      <c r="O17" s="768">
        <v>0.2</v>
      </c>
      <c r="P17" s="769">
        <f t="shared" si="1"/>
        <v>3142485.4739999999</v>
      </c>
      <c r="Q17" s="770">
        <v>0.4</v>
      </c>
      <c r="R17" s="745">
        <f t="shared" si="2"/>
        <v>6284970.9479999999</v>
      </c>
      <c r="S17" s="771">
        <f t="shared" si="5"/>
        <v>1</v>
      </c>
      <c r="U17" s="776">
        <v>53103050000000</v>
      </c>
      <c r="V17" s="777" t="s">
        <v>68</v>
      </c>
      <c r="W17" s="778"/>
      <c r="Y17" s="711"/>
      <c r="AT17" s="712"/>
    </row>
    <row r="18" spans="1:46" ht="15.75" customHeight="1" thickBot="1" x14ac:dyDescent="0.25">
      <c r="A18" s="1160"/>
      <c r="B18" s="1154"/>
      <c r="C18" s="762"/>
      <c r="D18" s="763"/>
      <c r="E18" s="764"/>
      <c r="F18" s="765"/>
      <c r="G18" s="961"/>
      <c r="H18" s="964"/>
      <c r="I18" s="965"/>
      <c r="J18" s="971">
        <f t="shared" si="4"/>
        <v>0</v>
      </c>
      <c r="K18" s="972">
        <f>+(((G18*(1+$K$11))*(1+$K$10))+H18+I18)</f>
        <v>0</v>
      </c>
      <c r="L18" s="707"/>
      <c r="M18" s="768"/>
      <c r="N18" s="745">
        <f t="shared" si="0"/>
        <v>0</v>
      </c>
      <c r="O18" s="768"/>
      <c r="P18" s="769">
        <f t="shared" si="1"/>
        <v>0</v>
      </c>
      <c r="Q18" s="770"/>
      <c r="R18" s="745">
        <f t="shared" si="2"/>
        <v>0</v>
      </c>
      <c r="S18" s="771">
        <f t="shared" si="5"/>
        <v>0</v>
      </c>
      <c r="U18" s="776">
        <v>53103060000000</v>
      </c>
      <c r="V18" s="777" t="s">
        <v>69</v>
      </c>
      <c r="W18" s="778"/>
      <c r="Y18" s="779"/>
      <c r="Z18" s="780"/>
      <c r="AA18" s="780"/>
      <c r="AB18" s="780"/>
      <c r="AC18" s="780"/>
      <c r="AD18" s="780"/>
      <c r="AE18" s="780"/>
      <c r="AF18" s="780"/>
      <c r="AG18" s="780"/>
      <c r="AH18" s="780"/>
      <c r="AI18" s="780"/>
      <c r="AJ18" s="780"/>
      <c r="AK18" s="780"/>
      <c r="AL18" s="780"/>
      <c r="AM18" s="780"/>
      <c r="AN18" s="780"/>
      <c r="AO18" s="780"/>
      <c r="AP18" s="780"/>
      <c r="AQ18" s="780"/>
      <c r="AR18" s="780"/>
      <c r="AS18" s="780"/>
      <c r="AT18" s="781"/>
    </row>
    <row r="19" spans="1:46" ht="15" customHeight="1" x14ac:dyDescent="0.2">
      <c r="A19" s="1160"/>
      <c r="B19" s="1154"/>
      <c r="C19" s="762"/>
      <c r="D19" s="763"/>
      <c r="E19" s="764" t="s">
        <v>313</v>
      </c>
      <c r="F19" s="765" t="s">
        <v>299</v>
      </c>
      <c r="G19" s="961"/>
      <c r="H19" s="964"/>
      <c r="I19" s="965"/>
      <c r="J19" s="971">
        <f t="shared" si="4"/>
        <v>0</v>
      </c>
      <c r="K19" s="972">
        <f>+(((G19*(1+$K$11))*(1+$K$10))+H19+I19)</f>
        <v>0</v>
      </c>
      <c r="L19" s="707"/>
      <c r="M19" s="768"/>
      <c r="N19" s="745">
        <f t="shared" si="0"/>
        <v>0</v>
      </c>
      <c r="O19" s="768"/>
      <c r="P19" s="769">
        <f t="shared" si="1"/>
        <v>0</v>
      </c>
      <c r="Q19" s="770"/>
      <c r="R19" s="745">
        <f t="shared" si="2"/>
        <v>0</v>
      </c>
      <c r="S19" s="771">
        <f t="shared" si="5"/>
        <v>0</v>
      </c>
      <c r="U19" s="776">
        <v>53103080010000</v>
      </c>
      <c r="V19" s="777" t="s">
        <v>70</v>
      </c>
      <c r="W19" s="778"/>
    </row>
    <row r="20" spans="1:46" ht="15" customHeight="1" x14ac:dyDescent="0.2">
      <c r="A20" s="1160"/>
      <c r="B20" s="1154"/>
      <c r="C20" s="762"/>
      <c r="D20" s="763"/>
      <c r="E20" s="764"/>
      <c r="F20" s="765"/>
      <c r="G20" s="961"/>
      <c r="H20" s="967"/>
      <c r="I20" s="968"/>
      <c r="J20" s="971">
        <f t="shared" si="4"/>
        <v>0</v>
      </c>
      <c r="K20" s="972">
        <f t="shared" ref="K20:K61" si="6">+((G20*(1+$K$11))+H20+I20)</f>
        <v>0</v>
      </c>
      <c r="L20" s="707"/>
      <c r="M20" s="768"/>
      <c r="N20" s="745">
        <f t="shared" si="0"/>
        <v>0</v>
      </c>
      <c r="O20" s="768"/>
      <c r="P20" s="769">
        <f t="shared" si="1"/>
        <v>0</v>
      </c>
      <c r="Q20" s="770"/>
      <c r="R20" s="745">
        <f t="shared" si="2"/>
        <v>0</v>
      </c>
      <c r="S20" s="771">
        <f t="shared" si="5"/>
        <v>0</v>
      </c>
      <c r="U20" s="772"/>
      <c r="V20" s="773" t="s">
        <v>73</v>
      </c>
      <c r="W20" s="774">
        <f>SUM(W21:W39)</f>
        <v>3628765</v>
      </c>
    </row>
    <row r="21" spans="1:46" ht="15" customHeight="1" x14ac:dyDescent="0.2">
      <c r="A21" s="1160"/>
      <c r="B21" s="1154"/>
      <c r="C21" s="762"/>
      <c r="D21" s="763"/>
      <c r="E21" s="764"/>
      <c r="F21" s="765"/>
      <c r="G21" s="961"/>
      <c r="H21" s="961"/>
      <c r="I21" s="966"/>
      <c r="J21" s="971">
        <f t="shared" si="4"/>
        <v>0</v>
      </c>
      <c r="K21" s="972">
        <f t="shared" si="6"/>
        <v>0</v>
      </c>
      <c r="L21" s="707"/>
      <c r="M21" s="768"/>
      <c r="N21" s="745">
        <f t="shared" si="0"/>
        <v>0</v>
      </c>
      <c r="O21" s="768"/>
      <c r="P21" s="769">
        <f t="shared" si="1"/>
        <v>0</v>
      </c>
      <c r="Q21" s="770"/>
      <c r="R21" s="745">
        <f t="shared" si="2"/>
        <v>0</v>
      </c>
      <c r="S21" s="771">
        <f t="shared" si="5"/>
        <v>0</v>
      </c>
      <c r="U21" s="776">
        <v>53201010100000</v>
      </c>
      <c r="V21" s="777" t="s">
        <v>74</v>
      </c>
      <c r="W21" s="782"/>
    </row>
    <row r="22" spans="1:46" ht="15" customHeight="1" x14ac:dyDescent="0.2">
      <c r="A22" s="1160"/>
      <c r="B22" s="1154"/>
      <c r="C22" s="762"/>
      <c r="D22" s="763"/>
      <c r="E22" s="764"/>
      <c r="F22" s="765"/>
      <c r="G22" s="961"/>
      <c r="H22" s="961"/>
      <c r="I22" s="966"/>
      <c r="J22" s="971">
        <f t="shared" si="4"/>
        <v>0</v>
      </c>
      <c r="K22" s="972">
        <f t="shared" si="6"/>
        <v>0</v>
      </c>
      <c r="L22" s="707"/>
      <c r="M22" s="768"/>
      <c r="N22" s="745">
        <f t="shared" si="0"/>
        <v>0</v>
      </c>
      <c r="O22" s="768"/>
      <c r="P22" s="769">
        <f t="shared" si="1"/>
        <v>0</v>
      </c>
      <c r="Q22" s="770"/>
      <c r="R22" s="745">
        <f t="shared" si="2"/>
        <v>0</v>
      </c>
      <c r="S22" s="771">
        <f t="shared" si="5"/>
        <v>0</v>
      </c>
      <c r="U22" s="776">
        <v>53202010100000</v>
      </c>
      <c r="V22" s="777" t="s">
        <v>75</v>
      </c>
      <c r="W22" s="782">
        <v>210000</v>
      </c>
    </row>
    <row r="23" spans="1:46" ht="15" customHeight="1" x14ac:dyDescent="0.2">
      <c r="A23" s="1160"/>
      <c r="B23" s="1154"/>
      <c r="C23" s="762"/>
      <c r="D23" s="763"/>
      <c r="E23" s="764"/>
      <c r="F23" s="765"/>
      <c r="G23" s="740"/>
      <c r="H23" s="740"/>
      <c r="I23" s="775"/>
      <c r="J23" s="766">
        <f t="shared" si="4"/>
        <v>0</v>
      </c>
      <c r="K23" s="767">
        <f t="shared" si="6"/>
        <v>0</v>
      </c>
      <c r="L23" s="707"/>
      <c r="M23" s="768"/>
      <c r="N23" s="745">
        <f t="shared" si="0"/>
        <v>0</v>
      </c>
      <c r="O23" s="768"/>
      <c r="P23" s="769">
        <f t="shared" si="1"/>
        <v>0</v>
      </c>
      <c r="Q23" s="770"/>
      <c r="R23" s="745">
        <f t="shared" si="2"/>
        <v>0</v>
      </c>
      <c r="S23" s="771">
        <f t="shared" si="5"/>
        <v>0</v>
      </c>
      <c r="U23" s="776">
        <v>53203010100000</v>
      </c>
      <c r="V23" s="777" t="s">
        <v>76</v>
      </c>
      <c r="W23" s="782">
        <v>2100000</v>
      </c>
    </row>
    <row r="24" spans="1:46" ht="15.75" customHeight="1" thickBot="1" x14ac:dyDescent="0.25">
      <c r="A24" s="1160"/>
      <c r="B24" s="1155"/>
      <c r="C24" s="783"/>
      <c r="D24" s="784"/>
      <c r="E24" s="785"/>
      <c r="F24" s="786"/>
      <c r="G24" s="787"/>
      <c r="H24" s="787"/>
      <c r="I24" s="788"/>
      <c r="J24" s="789">
        <f t="shared" si="4"/>
        <v>0</v>
      </c>
      <c r="K24" s="790">
        <f t="shared" si="6"/>
        <v>0</v>
      </c>
      <c r="L24" s="707"/>
      <c r="M24" s="791"/>
      <c r="N24" s="792">
        <f t="shared" si="0"/>
        <v>0</v>
      </c>
      <c r="O24" s="791"/>
      <c r="P24" s="793">
        <f t="shared" si="1"/>
        <v>0</v>
      </c>
      <c r="Q24" s="794"/>
      <c r="R24" s="792">
        <f t="shared" si="2"/>
        <v>0</v>
      </c>
      <c r="S24" s="795">
        <f t="shared" si="5"/>
        <v>0</v>
      </c>
      <c r="U24" s="776">
        <v>53203030000000</v>
      </c>
      <c r="V24" s="777" t="s">
        <v>77</v>
      </c>
      <c r="W24" s="782"/>
    </row>
    <row r="25" spans="1:46" ht="15" customHeight="1" x14ac:dyDescent="0.2">
      <c r="A25" s="1160"/>
      <c r="B25" s="1153" t="s">
        <v>158</v>
      </c>
      <c r="C25" s="736"/>
      <c r="D25" s="737"/>
      <c r="E25" s="738"/>
      <c r="F25" s="739"/>
      <c r="G25" s="741"/>
      <c r="H25" s="741"/>
      <c r="I25" s="742"/>
      <c r="J25" s="796">
        <f t="shared" si="4"/>
        <v>0</v>
      </c>
      <c r="K25" s="797">
        <f t="shared" si="6"/>
        <v>0</v>
      </c>
      <c r="L25" s="707"/>
      <c r="M25" s="744"/>
      <c r="N25" s="748">
        <f t="shared" si="0"/>
        <v>0</v>
      </c>
      <c r="O25" s="744"/>
      <c r="P25" s="746">
        <f t="shared" si="1"/>
        <v>0</v>
      </c>
      <c r="Q25" s="747"/>
      <c r="R25" s="748">
        <f t="shared" si="2"/>
        <v>0</v>
      </c>
      <c r="S25" s="749">
        <f t="shared" si="5"/>
        <v>0</v>
      </c>
      <c r="U25" s="776">
        <v>53204030000000</v>
      </c>
      <c r="V25" s="777" t="s">
        <v>78</v>
      </c>
      <c r="W25" s="782"/>
    </row>
    <row r="26" spans="1:46" ht="15" customHeight="1" x14ac:dyDescent="0.2">
      <c r="A26" s="1160"/>
      <c r="B26" s="1154"/>
      <c r="C26" s="762"/>
      <c r="D26" s="763"/>
      <c r="E26" s="764"/>
      <c r="F26" s="765"/>
      <c r="G26" s="740"/>
      <c r="H26" s="740"/>
      <c r="I26" s="775"/>
      <c r="J26" s="798">
        <f t="shared" si="4"/>
        <v>0</v>
      </c>
      <c r="K26" s="767">
        <f t="shared" si="6"/>
        <v>0</v>
      </c>
      <c r="L26" s="707"/>
      <c r="M26" s="768"/>
      <c r="N26" s="745">
        <f t="shared" si="0"/>
        <v>0</v>
      </c>
      <c r="O26" s="768"/>
      <c r="P26" s="769">
        <f t="shared" si="1"/>
        <v>0</v>
      </c>
      <c r="Q26" s="770"/>
      <c r="R26" s="745">
        <f t="shared" si="2"/>
        <v>0</v>
      </c>
      <c r="S26" s="771">
        <f t="shared" si="5"/>
        <v>0</v>
      </c>
      <c r="U26" s="776">
        <v>53204100100001</v>
      </c>
      <c r="V26" s="777" t="s">
        <v>79</v>
      </c>
      <c r="W26" s="782"/>
    </row>
    <row r="27" spans="1:46" ht="15" customHeight="1" x14ac:dyDescent="0.2">
      <c r="A27" s="1160"/>
      <c r="B27" s="1154"/>
      <c r="C27" s="762"/>
      <c r="D27" s="763"/>
      <c r="E27" s="764"/>
      <c r="F27" s="765"/>
      <c r="G27" s="740"/>
      <c r="H27" s="740"/>
      <c r="I27" s="775"/>
      <c r="J27" s="798">
        <f t="shared" si="4"/>
        <v>0</v>
      </c>
      <c r="K27" s="767">
        <f t="shared" si="6"/>
        <v>0</v>
      </c>
      <c r="L27" s="707"/>
      <c r="M27" s="768"/>
      <c r="N27" s="745">
        <f t="shared" si="0"/>
        <v>0</v>
      </c>
      <c r="O27" s="768"/>
      <c r="P27" s="769">
        <f t="shared" si="1"/>
        <v>0</v>
      </c>
      <c r="Q27" s="770"/>
      <c r="R27" s="745">
        <f t="shared" si="2"/>
        <v>0</v>
      </c>
      <c r="S27" s="771">
        <f t="shared" si="5"/>
        <v>0</v>
      </c>
      <c r="U27" s="776">
        <v>53204130100000</v>
      </c>
      <c r="V27" s="777" t="s">
        <v>80</v>
      </c>
      <c r="W27" s="782"/>
    </row>
    <row r="28" spans="1:46" ht="15" customHeight="1" x14ac:dyDescent="0.2">
      <c r="A28" s="1160"/>
      <c r="B28" s="1154"/>
      <c r="C28" s="762"/>
      <c r="D28" s="763"/>
      <c r="E28" s="764"/>
      <c r="F28" s="765"/>
      <c r="G28" s="740"/>
      <c r="H28" s="740"/>
      <c r="I28" s="775"/>
      <c r="J28" s="798">
        <f t="shared" si="4"/>
        <v>0</v>
      </c>
      <c r="K28" s="767">
        <f t="shared" si="6"/>
        <v>0</v>
      </c>
      <c r="L28" s="707"/>
      <c r="M28" s="768"/>
      <c r="N28" s="745">
        <f t="shared" si="0"/>
        <v>0</v>
      </c>
      <c r="O28" s="768"/>
      <c r="P28" s="769">
        <f t="shared" si="1"/>
        <v>0</v>
      </c>
      <c r="Q28" s="770"/>
      <c r="R28" s="745">
        <f t="shared" si="2"/>
        <v>0</v>
      </c>
      <c r="S28" s="771">
        <f t="shared" si="5"/>
        <v>0</v>
      </c>
      <c r="U28" s="776">
        <v>53205010100000</v>
      </c>
      <c r="V28" s="777" t="s">
        <v>81</v>
      </c>
      <c r="W28" s="782"/>
    </row>
    <row r="29" spans="1:46" ht="15" customHeight="1" x14ac:dyDescent="0.2">
      <c r="A29" s="1160"/>
      <c r="B29" s="1154"/>
      <c r="C29" s="762"/>
      <c r="D29" s="763"/>
      <c r="E29" s="764"/>
      <c r="F29" s="765"/>
      <c r="G29" s="740"/>
      <c r="H29" s="740"/>
      <c r="I29" s="775"/>
      <c r="J29" s="798">
        <f t="shared" si="4"/>
        <v>0</v>
      </c>
      <c r="K29" s="767">
        <f t="shared" si="6"/>
        <v>0</v>
      </c>
      <c r="L29" s="707"/>
      <c r="M29" s="768"/>
      <c r="N29" s="745">
        <f t="shared" si="0"/>
        <v>0</v>
      </c>
      <c r="O29" s="768"/>
      <c r="P29" s="769">
        <f t="shared" si="1"/>
        <v>0</v>
      </c>
      <c r="Q29" s="770"/>
      <c r="R29" s="745">
        <f t="shared" si="2"/>
        <v>0</v>
      </c>
      <c r="S29" s="771">
        <f t="shared" si="5"/>
        <v>0</v>
      </c>
      <c r="U29" s="776">
        <v>53205020100000</v>
      </c>
      <c r="V29" s="777" t="s">
        <v>82</v>
      </c>
      <c r="W29" s="782"/>
    </row>
    <row r="30" spans="1:46" ht="15" customHeight="1" x14ac:dyDescent="0.2">
      <c r="A30" s="1160"/>
      <c r="B30" s="1154"/>
      <c r="C30" s="762"/>
      <c r="D30" s="763"/>
      <c r="E30" s="764"/>
      <c r="F30" s="765"/>
      <c r="G30" s="740"/>
      <c r="H30" s="740"/>
      <c r="I30" s="775"/>
      <c r="J30" s="798">
        <f t="shared" si="4"/>
        <v>0</v>
      </c>
      <c r="K30" s="767">
        <f t="shared" si="6"/>
        <v>0</v>
      </c>
      <c r="L30" s="707"/>
      <c r="M30" s="768"/>
      <c r="N30" s="745">
        <f t="shared" si="0"/>
        <v>0</v>
      </c>
      <c r="O30" s="768"/>
      <c r="P30" s="769">
        <f t="shared" si="1"/>
        <v>0</v>
      </c>
      <c r="Q30" s="770"/>
      <c r="R30" s="745">
        <f t="shared" si="2"/>
        <v>0</v>
      </c>
      <c r="S30" s="771">
        <f t="shared" si="5"/>
        <v>0</v>
      </c>
      <c r="U30" s="776">
        <v>53205030100000</v>
      </c>
      <c r="V30" s="777" t="s">
        <v>83</v>
      </c>
      <c r="W30" s="782"/>
    </row>
    <row r="31" spans="1:46" ht="15" customHeight="1" x14ac:dyDescent="0.2">
      <c r="A31" s="1160"/>
      <c r="B31" s="1154"/>
      <c r="C31" s="762"/>
      <c r="D31" s="763"/>
      <c r="E31" s="764"/>
      <c r="F31" s="765"/>
      <c r="G31" s="740"/>
      <c r="H31" s="740"/>
      <c r="I31" s="775"/>
      <c r="J31" s="798">
        <f t="shared" si="4"/>
        <v>0</v>
      </c>
      <c r="K31" s="767">
        <f t="shared" si="6"/>
        <v>0</v>
      </c>
      <c r="L31" s="707"/>
      <c r="M31" s="768"/>
      <c r="N31" s="745">
        <f t="shared" si="0"/>
        <v>0</v>
      </c>
      <c r="O31" s="768"/>
      <c r="P31" s="769">
        <f t="shared" si="1"/>
        <v>0</v>
      </c>
      <c r="Q31" s="770"/>
      <c r="R31" s="745">
        <f t="shared" si="2"/>
        <v>0</v>
      </c>
      <c r="S31" s="771">
        <f t="shared" si="5"/>
        <v>0</v>
      </c>
      <c r="U31" s="776">
        <v>53205050100000</v>
      </c>
      <c r="V31" s="777" t="s">
        <v>84</v>
      </c>
      <c r="W31" s="782"/>
    </row>
    <row r="32" spans="1:46" ht="15" customHeight="1" x14ac:dyDescent="0.2">
      <c r="A32" s="1160"/>
      <c r="B32" s="1154"/>
      <c r="C32" s="762"/>
      <c r="D32" s="763"/>
      <c r="E32" s="764"/>
      <c r="F32" s="765"/>
      <c r="G32" s="740"/>
      <c r="H32" s="740"/>
      <c r="I32" s="775"/>
      <c r="J32" s="798">
        <f t="shared" si="4"/>
        <v>0</v>
      </c>
      <c r="K32" s="767">
        <f t="shared" si="6"/>
        <v>0</v>
      </c>
      <c r="L32" s="707"/>
      <c r="M32" s="768"/>
      <c r="N32" s="745">
        <f t="shared" si="0"/>
        <v>0</v>
      </c>
      <c r="O32" s="768"/>
      <c r="P32" s="769">
        <f t="shared" si="1"/>
        <v>0</v>
      </c>
      <c r="Q32" s="770"/>
      <c r="R32" s="745">
        <f t="shared" si="2"/>
        <v>0</v>
      </c>
      <c r="S32" s="771">
        <f t="shared" si="5"/>
        <v>0</v>
      </c>
      <c r="U32" s="776">
        <v>53205060100000</v>
      </c>
      <c r="V32" s="777" t="s">
        <v>85</v>
      </c>
      <c r="W32" s="782"/>
    </row>
    <row r="33" spans="1:23" ht="15" customHeight="1" x14ac:dyDescent="0.2">
      <c r="A33" s="1160"/>
      <c r="B33" s="1154"/>
      <c r="C33" s="762"/>
      <c r="D33" s="763"/>
      <c r="E33" s="764"/>
      <c r="F33" s="765"/>
      <c r="G33" s="740"/>
      <c r="H33" s="740"/>
      <c r="I33" s="775"/>
      <c r="J33" s="798">
        <f t="shared" si="4"/>
        <v>0</v>
      </c>
      <c r="K33" s="767">
        <f t="shared" si="6"/>
        <v>0</v>
      </c>
      <c r="L33" s="707"/>
      <c r="M33" s="768"/>
      <c r="N33" s="745">
        <f t="shared" si="0"/>
        <v>0</v>
      </c>
      <c r="O33" s="768"/>
      <c r="P33" s="769">
        <f t="shared" si="1"/>
        <v>0</v>
      </c>
      <c r="Q33" s="770"/>
      <c r="R33" s="745">
        <f t="shared" si="2"/>
        <v>0</v>
      </c>
      <c r="S33" s="771">
        <f t="shared" si="5"/>
        <v>0</v>
      </c>
      <c r="U33" s="776">
        <v>53205070100000</v>
      </c>
      <c r="V33" s="777" t="s">
        <v>86</v>
      </c>
      <c r="W33" s="782"/>
    </row>
    <row r="34" spans="1:23" ht="15.75" customHeight="1" thickBot="1" x14ac:dyDescent="0.25">
      <c r="A34" s="1160"/>
      <c r="B34" s="1155"/>
      <c r="C34" s="783"/>
      <c r="D34" s="784"/>
      <c r="E34" s="785"/>
      <c r="F34" s="786"/>
      <c r="G34" s="787"/>
      <c r="H34" s="787"/>
      <c r="I34" s="788"/>
      <c r="J34" s="799">
        <f t="shared" si="4"/>
        <v>0</v>
      </c>
      <c r="K34" s="790">
        <f t="shared" si="6"/>
        <v>0</v>
      </c>
      <c r="L34" s="707"/>
      <c r="M34" s="791"/>
      <c r="N34" s="792">
        <f t="shared" si="0"/>
        <v>0</v>
      </c>
      <c r="O34" s="791"/>
      <c r="P34" s="793">
        <f t="shared" si="1"/>
        <v>0</v>
      </c>
      <c r="Q34" s="794"/>
      <c r="R34" s="792">
        <f t="shared" si="2"/>
        <v>0</v>
      </c>
      <c r="S34" s="795">
        <f t="shared" si="5"/>
        <v>0</v>
      </c>
      <c r="U34" s="776">
        <v>53208010100000</v>
      </c>
      <c r="V34" s="777" t="s">
        <v>87</v>
      </c>
      <c r="W34" s="782"/>
    </row>
    <row r="35" spans="1:23" ht="15" customHeight="1" x14ac:dyDescent="0.2">
      <c r="A35" s="1160"/>
      <c r="B35" s="1153" t="s">
        <v>159</v>
      </c>
      <c r="C35" s="736"/>
      <c r="D35" s="737"/>
      <c r="E35" s="738"/>
      <c r="F35" s="739"/>
      <c r="G35" s="741"/>
      <c r="H35" s="741"/>
      <c r="I35" s="742"/>
      <c r="J35" s="796">
        <f t="shared" si="4"/>
        <v>0</v>
      </c>
      <c r="K35" s="743">
        <f t="shared" si="6"/>
        <v>0</v>
      </c>
      <c r="L35" s="707"/>
      <c r="M35" s="744"/>
      <c r="N35" s="748">
        <f t="shared" si="0"/>
        <v>0</v>
      </c>
      <c r="O35" s="744"/>
      <c r="P35" s="746">
        <f t="shared" si="1"/>
        <v>0</v>
      </c>
      <c r="Q35" s="747"/>
      <c r="R35" s="748">
        <f t="shared" si="2"/>
        <v>0</v>
      </c>
      <c r="S35" s="749">
        <f t="shared" si="5"/>
        <v>0</v>
      </c>
      <c r="U35" s="776">
        <v>53208070100001</v>
      </c>
      <c r="V35" s="777" t="s">
        <v>88</v>
      </c>
      <c r="W35" s="782">
        <v>452519</v>
      </c>
    </row>
    <row r="36" spans="1:23" ht="15" customHeight="1" x14ac:dyDescent="0.2">
      <c r="A36" s="1160"/>
      <c r="B36" s="1154"/>
      <c r="C36" s="762"/>
      <c r="D36" s="763"/>
      <c r="E36" s="764"/>
      <c r="F36" s="765"/>
      <c r="G36" s="740"/>
      <c r="H36" s="740"/>
      <c r="I36" s="775"/>
      <c r="J36" s="798">
        <f t="shared" si="4"/>
        <v>0</v>
      </c>
      <c r="K36" s="767">
        <f t="shared" si="6"/>
        <v>0</v>
      </c>
      <c r="L36" s="707"/>
      <c r="M36" s="768"/>
      <c r="N36" s="745">
        <f t="shared" si="0"/>
        <v>0</v>
      </c>
      <c r="O36" s="768"/>
      <c r="P36" s="769">
        <f t="shared" si="1"/>
        <v>0</v>
      </c>
      <c r="Q36" s="770"/>
      <c r="R36" s="745">
        <f t="shared" si="2"/>
        <v>0</v>
      </c>
      <c r="S36" s="771">
        <f t="shared" si="5"/>
        <v>0</v>
      </c>
      <c r="U36" s="776">
        <v>53208100100001</v>
      </c>
      <c r="V36" s="777" t="s">
        <v>89</v>
      </c>
      <c r="W36" s="782"/>
    </row>
    <row r="37" spans="1:23" ht="15" customHeight="1" x14ac:dyDescent="0.2">
      <c r="A37" s="1160"/>
      <c r="B37" s="1154"/>
      <c r="C37" s="762"/>
      <c r="D37" s="763"/>
      <c r="E37" s="764"/>
      <c r="F37" s="765"/>
      <c r="G37" s="740"/>
      <c r="H37" s="740"/>
      <c r="I37" s="775"/>
      <c r="J37" s="798">
        <f t="shared" si="4"/>
        <v>0</v>
      </c>
      <c r="K37" s="767">
        <f t="shared" si="6"/>
        <v>0</v>
      </c>
      <c r="L37" s="707"/>
      <c r="M37" s="768"/>
      <c r="N37" s="745">
        <f t="shared" si="0"/>
        <v>0</v>
      </c>
      <c r="O37" s="768"/>
      <c r="P37" s="769">
        <f t="shared" si="1"/>
        <v>0</v>
      </c>
      <c r="Q37" s="770"/>
      <c r="R37" s="745">
        <f t="shared" si="2"/>
        <v>0</v>
      </c>
      <c r="S37" s="771">
        <f t="shared" si="5"/>
        <v>0</v>
      </c>
      <c r="U37" s="776">
        <v>53211030000000</v>
      </c>
      <c r="V37" s="777" t="s">
        <v>90</v>
      </c>
      <c r="W37" s="782"/>
    </row>
    <row r="38" spans="1:23" ht="15" customHeight="1" x14ac:dyDescent="0.2">
      <c r="A38" s="1160"/>
      <c r="B38" s="1154"/>
      <c r="C38" s="762"/>
      <c r="D38" s="763"/>
      <c r="E38" s="764"/>
      <c r="F38" s="765"/>
      <c r="G38" s="740"/>
      <c r="H38" s="740"/>
      <c r="I38" s="775"/>
      <c r="J38" s="798">
        <f t="shared" si="4"/>
        <v>0</v>
      </c>
      <c r="K38" s="767">
        <f t="shared" si="6"/>
        <v>0</v>
      </c>
      <c r="L38" s="707"/>
      <c r="M38" s="768"/>
      <c r="N38" s="745">
        <f t="shared" si="0"/>
        <v>0</v>
      </c>
      <c r="O38" s="768"/>
      <c r="P38" s="769">
        <f t="shared" si="1"/>
        <v>0</v>
      </c>
      <c r="Q38" s="770"/>
      <c r="R38" s="745">
        <f t="shared" si="2"/>
        <v>0</v>
      </c>
      <c r="S38" s="771">
        <f t="shared" si="5"/>
        <v>0</v>
      </c>
      <c r="U38" s="776">
        <v>53212020100000</v>
      </c>
      <c r="V38" s="777" t="s">
        <v>91</v>
      </c>
      <c r="W38" s="782">
        <v>866246</v>
      </c>
    </row>
    <row r="39" spans="1:23" ht="15.75" customHeight="1" thickBot="1" x14ac:dyDescent="0.25">
      <c r="A39" s="1160"/>
      <c r="B39" s="1155"/>
      <c r="C39" s="783"/>
      <c r="D39" s="784"/>
      <c r="E39" s="785"/>
      <c r="F39" s="786"/>
      <c r="G39" s="787"/>
      <c r="H39" s="787"/>
      <c r="I39" s="788"/>
      <c r="J39" s="799">
        <f t="shared" si="4"/>
        <v>0</v>
      </c>
      <c r="K39" s="790">
        <f t="shared" si="6"/>
        <v>0</v>
      </c>
      <c r="L39" s="707"/>
      <c r="M39" s="791"/>
      <c r="N39" s="792">
        <f t="shared" si="0"/>
        <v>0</v>
      </c>
      <c r="O39" s="791"/>
      <c r="P39" s="793">
        <f t="shared" si="1"/>
        <v>0</v>
      </c>
      <c r="Q39" s="794"/>
      <c r="R39" s="792">
        <f t="shared" si="2"/>
        <v>0</v>
      </c>
      <c r="S39" s="795">
        <f t="shared" si="5"/>
        <v>0</v>
      </c>
      <c r="U39" s="776">
        <v>53214020000000</v>
      </c>
      <c r="V39" s="777" t="s">
        <v>92</v>
      </c>
      <c r="W39" s="782"/>
    </row>
    <row r="40" spans="1:23" ht="15" customHeight="1" x14ac:dyDescent="0.2">
      <c r="A40" s="1160"/>
      <c r="B40" s="1156" t="s">
        <v>160</v>
      </c>
      <c r="C40" s="800"/>
      <c r="D40" s="801"/>
      <c r="E40" s="802"/>
      <c r="F40" s="803"/>
      <c r="G40" s="741"/>
      <c r="H40" s="741"/>
      <c r="I40" s="742"/>
      <c r="J40" s="804">
        <f t="shared" ref="J40:J61" si="7">SUM(G40:I40)</f>
        <v>0</v>
      </c>
      <c r="K40" s="805">
        <f t="shared" si="6"/>
        <v>0</v>
      </c>
      <c r="L40" s="707"/>
      <c r="M40" s="744"/>
      <c r="N40" s="748">
        <f t="shared" si="0"/>
        <v>0</v>
      </c>
      <c r="O40" s="744"/>
      <c r="P40" s="746">
        <f t="shared" si="1"/>
        <v>0</v>
      </c>
      <c r="Q40" s="747"/>
      <c r="R40" s="748">
        <f t="shared" si="2"/>
        <v>0</v>
      </c>
      <c r="S40" s="749">
        <f t="shared" si="5"/>
        <v>0</v>
      </c>
      <c r="U40" s="750"/>
      <c r="V40" s="751" t="s">
        <v>93</v>
      </c>
      <c r="W40" s="752">
        <f>SUM(W41,W46,W49,W60,W70,W78)</f>
        <v>9788604</v>
      </c>
    </row>
    <row r="41" spans="1:23" ht="15" customHeight="1" x14ac:dyDescent="0.2">
      <c r="A41" s="1160"/>
      <c r="B41" s="1157"/>
      <c r="C41" s="806"/>
      <c r="D41" s="807"/>
      <c r="E41" s="808"/>
      <c r="F41" s="809"/>
      <c r="G41" s="740"/>
      <c r="H41" s="740"/>
      <c r="I41" s="775"/>
      <c r="J41" s="810">
        <f t="shared" si="7"/>
        <v>0</v>
      </c>
      <c r="K41" s="811">
        <f t="shared" si="6"/>
        <v>0</v>
      </c>
      <c r="L41" s="707"/>
      <c r="M41" s="768"/>
      <c r="N41" s="745">
        <f t="shared" si="0"/>
        <v>0</v>
      </c>
      <c r="O41" s="768"/>
      <c r="P41" s="769">
        <f t="shared" si="1"/>
        <v>0</v>
      </c>
      <c r="Q41" s="770"/>
      <c r="R41" s="745">
        <f t="shared" si="2"/>
        <v>0</v>
      </c>
      <c r="S41" s="771">
        <f t="shared" si="5"/>
        <v>0</v>
      </c>
      <c r="U41" s="772"/>
      <c r="V41" s="773" t="s">
        <v>94</v>
      </c>
      <c r="W41" s="774">
        <f>SUM(W42:W45)</f>
        <v>105000</v>
      </c>
    </row>
    <row r="42" spans="1:23" ht="15" customHeight="1" x14ac:dyDescent="0.2">
      <c r="A42" s="1160"/>
      <c r="B42" s="1157"/>
      <c r="C42" s="806"/>
      <c r="D42" s="807"/>
      <c r="E42" s="808"/>
      <c r="F42" s="809"/>
      <c r="G42" s="740"/>
      <c r="H42" s="740"/>
      <c r="I42" s="775"/>
      <c r="J42" s="810">
        <f t="shared" si="7"/>
        <v>0</v>
      </c>
      <c r="K42" s="811">
        <f t="shared" si="6"/>
        <v>0</v>
      </c>
      <c r="L42" s="707"/>
      <c r="M42" s="768"/>
      <c r="N42" s="745">
        <f t="shared" si="0"/>
        <v>0</v>
      </c>
      <c r="O42" s="768"/>
      <c r="P42" s="769">
        <f t="shared" si="1"/>
        <v>0</v>
      </c>
      <c r="Q42" s="770"/>
      <c r="R42" s="745">
        <f t="shared" si="2"/>
        <v>0</v>
      </c>
      <c r="S42" s="771">
        <f t="shared" si="5"/>
        <v>0</v>
      </c>
      <c r="U42" s="776">
        <v>53202020100000</v>
      </c>
      <c r="V42" s="777" t="s">
        <v>95</v>
      </c>
      <c r="W42" s="778">
        <v>105000</v>
      </c>
    </row>
    <row r="43" spans="1:23" ht="15" customHeight="1" x14ac:dyDescent="0.2">
      <c r="A43" s="1160"/>
      <c r="B43" s="1157"/>
      <c r="C43" s="806"/>
      <c r="D43" s="807"/>
      <c r="E43" s="808"/>
      <c r="F43" s="809"/>
      <c r="G43" s="740"/>
      <c r="H43" s="740"/>
      <c r="I43" s="775"/>
      <c r="J43" s="810">
        <f t="shared" si="7"/>
        <v>0</v>
      </c>
      <c r="K43" s="811">
        <f t="shared" si="6"/>
        <v>0</v>
      </c>
      <c r="L43" s="707"/>
      <c r="M43" s="768"/>
      <c r="N43" s="745">
        <f t="shared" si="0"/>
        <v>0</v>
      </c>
      <c r="O43" s="768"/>
      <c r="P43" s="769">
        <f t="shared" si="1"/>
        <v>0</v>
      </c>
      <c r="Q43" s="770"/>
      <c r="R43" s="745">
        <f t="shared" si="2"/>
        <v>0</v>
      </c>
      <c r="S43" s="771">
        <f t="shared" si="5"/>
        <v>0</v>
      </c>
      <c r="U43" s="776">
        <v>53202030000000</v>
      </c>
      <c r="V43" s="777" t="s">
        <v>96</v>
      </c>
      <c r="W43" s="778"/>
    </row>
    <row r="44" spans="1:23" ht="15" customHeight="1" x14ac:dyDescent="0.2">
      <c r="A44" s="1160"/>
      <c r="B44" s="1157"/>
      <c r="C44" s="806"/>
      <c r="D44" s="807"/>
      <c r="E44" s="808"/>
      <c r="F44" s="809"/>
      <c r="G44" s="740"/>
      <c r="H44" s="740"/>
      <c r="I44" s="775"/>
      <c r="J44" s="810">
        <f t="shared" si="7"/>
        <v>0</v>
      </c>
      <c r="K44" s="811">
        <f t="shared" si="6"/>
        <v>0</v>
      </c>
      <c r="L44" s="707"/>
      <c r="M44" s="768"/>
      <c r="N44" s="745">
        <f t="shared" si="0"/>
        <v>0</v>
      </c>
      <c r="O44" s="768"/>
      <c r="P44" s="769">
        <f t="shared" si="1"/>
        <v>0</v>
      </c>
      <c r="Q44" s="770"/>
      <c r="R44" s="745">
        <f t="shared" si="2"/>
        <v>0</v>
      </c>
      <c r="S44" s="771">
        <f t="shared" si="5"/>
        <v>0</v>
      </c>
      <c r="U44" s="776">
        <v>53211020000000</v>
      </c>
      <c r="V44" s="777" t="s">
        <v>97</v>
      </c>
      <c r="W44" s="778"/>
    </row>
    <row r="45" spans="1:23" ht="15" customHeight="1" x14ac:dyDescent="0.2">
      <c r="A45" s="1160"/>
      <c r="B45" s="1157"/>
      <c r="C45" s="806"/>
      <c r="D45" s="807"/>
      <c r="E45" s="808"/>
      <c r="F45" s="809"/>
      <c r="G45" s="740"/>
      <c r="H45" s="740"/>
      <c r="I45" s="775"/>
      <c r="J45" s="810">
        <f t="shared" si="7"/>
        <v>0</v>
      </c>
      <c r="K45" s="811">
        <f t="shared" si="6"/>
        <v>0</v>
      </c>
      <c r="L45" s="707"/>
      <c r="M45" s="768"/>
      <c r="N45" s="745">
        <f t="shared" si="0"/>
        <v>0</v>
      </c>
      <c r="O45" s="768"/>
      <c r="P45" s="769">
        <f t="shared" si="1"/>
        <v>0</v>
      </c>
      <c r="Q45" s="770"/>
      <c r="R45" s="745">
        <f t="shared" si="2"/>
        <v>0</v>
      </c>
      <c r="S45" s="771">
        <f t="shared" si="5"/>
        <v>0</v>
      </c>
      <c r="U45" s="776">
        <v>53101004030000</v>
      </c>
      <c r="V45" s="777" t="s">
        <v>98</v>
      </c>
      <c r="W45" s="778"/>
    </row>
    <row r="46" spans="1:23" ht="15" customHeight="1" x14ac:dyDescent="0.2">
      <c r="A46" s="1160"/>
      <c r="B46" s="1157"/>
      <c r="C46" s="806"/>
      <c r="D46" s="807"/>
      <c r="E46" s="808"/>
      <c r="F46" s="809"/>
      <c r="G46" s="740"/>
      <c r="H46" s="740"/>
      <c r="I46" s="775"/>
      <c r="J46" s="810">
        <f t="shared" si="7"/>
        <v>0</v>
      </c>
      <c r="K46" s="811">
        <f t="shared" si="6"/>
        <v>0</v>
      </c>
      <c r="L46" s="707"/>
      <c r="M46" s="768"/>
      <c r="N46" s="745">
        <f t="shared" si="0"/>
        <v>0</v>
      </c>
      <c r="O46" s="768"/>
      <c r="P46" s="769">
        <f t="shared" si="1"/>
        <v>0</v>
      </c>
      <c r="Q46" s="770"/>
      <c r="R46" s="745">
        <f t="shared" si="2"/>
        <v>0</v>
      </c>
      <c r="S46" s="771">
        <f t="shared" si="5"/>
        <v>0</v>
      </c>
      <c r="U46" s="772"/>
      <c r="V46" s="773" t="s">
        <v>99</v>
      </c>
      <c r="W46" s="774">
        <f>SUM(W47:W48)</f>
        <v>0</v>
      </c>
    </row>
    <row r="47" spans="1:23" ht="15" customHeight="1" x14ac:dyDescent="0.2">
      <c r="A47" s="1160"/>
      <c r="B47" s="1157"/>
      <c r="C47" s="806"/>
      <c r="D47" s="807"/>
      <c r="E47" s="808"/>
      <c r="F47" s="809"/>
      <c r="G47" s="740"/>
      <c r="H47" s="740"/>
      <c r="I47" s="775"/>
      <c r="J47" s="810">
        <f t="shared" si="7"/>
        <v>0</v>
      </c>
      <c r="K47" s="811">
        <f t="shared" si="6"/>
        <v>0</v>
      </c>
      <c r="L47" s="707"/>
      <c r="M47" s="768"/>
      <c r="N47" s="745">
        <f t="shared" si="0"/>
        <v>0</v>
      </c>
      <c r="O47" s="768"/>
      <c r="P47" s="769">
        <f t="shared" si="1"/>
        <v>0</v>
      </c>
      <c r="Q47" s="770"/>
      <c r="R47" s="745">
        <f t="shared" si="2"/>
        <v>0</v>
      </c>
      <c r="S47" s="771">
        <f t="shared" si="5"/>
        <v>0</v>
      </c>
      <c r="U47" s="776">
        <v>53205080000000</v>
      </c>
      <c r="V47" s="777" t="s">
        <v>100</v>
      </c>
      <c r="W47" s="778"/>
    </row>
    <row r="48" spans="1:23" ht="15" customHeight="1" x14ac:dyDescent="0.2">
      <c r="A48" s="1160"/>
      <c r="B48" s="1157"/>
      <c r="C48" s="806"/>
      <c r="D48" s="807"/>
      <c r="E48" s="808"/>
      <c r="F48" s="809"/>
      <c r="G48" s="740"/>
      <c r="H48" s="740"/>
      <c r="I48" s="775"/>
      <c r="J48" s="810">
        <f t="shared" si="7"/>
        <v>0</v>
      </c>
      <c r="K48" s="811">
        <f t="shared" si="6"/>
        <v>0</v>
      </c>
      <c r="L48" s="707"/>
      <c r="M48" s="768"/>
      <c r="N48" s="745">
        <f t="shared" si="0"/>
        <v>0</v>
      </c>
      <c r="O48" s="768"/>
      <c r="P48" s="769">
        <f t="shared" si="1"/>
        <v>0</v>
      </c>
      <c r="Q48" s="770"/>
      <c r="R48" s="745">
        <f t="shared" si="2"/>
        <v>0</v>
      </c>
      <c r="S48" s="771">
        <f t="shared" si="5"/>
        <v>0</v>
      </c>
      <c r="U48" s="776">
        <v>53205990000000</v>
      </c>
      <c r="V48" s="777" t="s">
        <v>101</v>
      </c>
      <c r="W48" s="778"/>
    </row>
    <row r="49" spans="1:23" ht="15" customHeight="1" x14ac:dyDescent="0.2">
      <c r="A49" s="1160"/>
      <c r="B49" s="1157"/>
      <c r="C49" s="806"/>
      <c r="D49" s="807"/>
      <c r="E49" s="808"/>
      <c r="F49" s="809"/>
      <c r="G49" s="740"/>
      <c r="H49" s="740"/>
      <c r="I49" s="775"/>
      <c r="J49" s="810">
        <f t="shared" si="7"/>
        <v>0</v>
      </c>
      <c r="K49" s="811">
        <f t="shared" si="6"/>
        <v>0</v>
      </c>
      <c r="L49" s="707"/>
      <c r="M49" s="768"/>
      <c r="N49" s="745">
        <f t="shared" si="0"/>
        <v>0</v>
      </c>
      <c r="O49" s="768"/>
      <c r="P49" s="769">
        <f t="shared" si="1"/>
        <v>0</v>
      </c>
      <c r="Q49" s="770"/>
      <c r="R49" s="745">
        <f t="shared" si="2"/>
        <v>0</v>
      </c>
      <c r="S49" s="771">
        <f t="shared" si="5"/>
        <v>0</v>
      </c>
      <c r="U49" s="772"/>
      <c r="V49" s="773" t="s">
        <v>102</v>
      </c>
      <c r="W49" s="774">
        <f>SUM(W50:W59)</f>
        <v>2968350</v>
      </c>
    </row>
    <row r="50" spans="1:23" ht="15" customHeight="1" x14ac:dyDescent="0.2">
      <c r="A50" s="1160"/>
      <c r="B50" s="1157"/>
      <c r="C50" s="806"/>
      <c r="D50" s="807"/>
      <c r="E50" s="808"/>
      <c r="F50" s="809"/>
      <c r="G50" s="740"/>
      <c r="H50" s="740"/>
      <c r="I50" s="775"/>
      <c r="J50" s="810">
        <f t="shared" si="7"/>
        <v>0</v>
      </c>
      <c r="K50" s="811">
        <f t="shared" si="6"/>
        <v>0</v>
      </c>
      <c r="L50" s="707"/>
      <c r="M50" s="768"/>
      <c r="N50" s="745">
        <f t="shared" si="0"/>
        <v>0</v>
      </c>
      <c r="O50" s="768"/>
      <c r="P50" s="769">
        <f t="shared" si="1"/>
        <v>0</v>
      </c>
      <c r="Q50" s="770"/>
      <c r="R50" s="745">
        <f t="shared" si="2"/>
        <v>0</v>
      </c>
      <c r="S50" s="771">
        <f t="shared" si="5"/>
        <v>0</v>
      </c>
      <c r="U50" s="776">
        <v>53203010200000</v>
      </c>
      <c r="V50" s="777" t="s">
        <v>103</v>
      </c>
      <c r="W50" s="778"/>
    </row>
    <row r="51" spans="1:23" ht="15" customHeight="1" x14ac:dyDescent="0.2">
      <c r="A51" s="1160"/>
      <c r="B51" s="1157"/>
      <c r="C51" s="806"/>
      <c r="D51" s="807"/>
      <c r="E51" s="808"/>
      <c r="F51" s="809"/>
      <c r="G51" s="740"/>
      <c r="H51" s="740"/>
      <c r="I51" s="775"/>
      <c r="J51" s="810">
        <f t="shared" si="7"/>
        <v>0</v>
      </c>
      <c r="K51" s="811">
        <f t="shared" si="6"/>
        <v>0</v>
      </c>
      <c r="L51" s="707"/>
      <c r="M51" s="768"/>
      <c r="N51" s="745">
        <f t="shared" si="0"/>
        <v>0</v>
      </c>
      <c r="O51" s="768"/>
      <c r="P51" s="769">
        <f t="shared" si="1"/>
        <v>0</v>
      </c>
      <c r="Q51" s="770"/>
      <c r="R51" s="745">
        <f t="shared" si="2"/>
        <v>0</v>
      </c>
      <c r="S51" s="771">
        <f t="shared" si="5"/>
        <v>0</v>
      </c>
      <c r="U51" s="776">
        <v>53204010000000</v>
      </c>
      <c r="V51" s="777" t="s">
        <v>104</v>
      </c>
      <c r="W51" s="812">
        <v>1575000</v>
      </c>
    </row>
    <row r="52" spans="1:23" ht="15" customHeight="1" x14ac:dyDescent="0.2">
      <c r="A52" s="1160"/>
      <c r="B52" s="1157"/>
      <c r="C52" s="806"/>
      <c r="D52" s="807"/>
      <c r="E52" s="808"/>
      <c r="F52" s="809"/>
      <c r="G52" s="740"/>
      <c r="H52" s="740"/>
      <c r="I52" s="775"/>
      <c r="J52" s="810">
        <f t="shared" si="7"/>
        <v>0</v>
      </c>
      <c r="K52" s="811">
        <f t="shared" si="6"/>
        <v>0</v>
      </c>
      <c r="L52" s="707"/>
      <c r="M52" s="768"/>
      <c r="N52" s="745">
        <f t="shared" si="0"/>
        <v>0</v>
      </c>
      <c r="O52" s="768"/>
      <c r="P52" s="769">
        <f t="shared" si="1"/>
        <v>0</v>
      </c>
      <c r="Q52" s="770"/>
      <c r="R52" s="745">
        <f t="shared" si="2"/>
        <v>0</v>
      </c>
      <c r="S52" s="771">
        <f t="shared" si="5"/>
        <v>0</v>
      </c>
      <c r="U52" s="776">
        <v>53204040200000</v>
      </c>
      <c r="V52" s="777" t="s">
        <v>105</v>
      </c>
      <c r="W52" s="812">
        <v>294000</v>
      </c>
    </row>
    <row r="53" spans="1:23" ht="15" customHeight="1" x14ac:dyDescent="0.2">
      <c r="A53" s="1160"/>
      <c r="B53" s="1157"/>
      <c r="C53" s="806"/>
      <c r="D53" s="807"/>
      <c r="E53" s="808"/>
      <c r="F53" s="809"/>
      <c r="G53" s="740"/>
      <c r="H53" s="740"/>
      <c r="I53" s="775"/>
      <c r="J53" s="810">
        <f t="shared" si="7"/>
        <v>0</v>
      </c>
      <c r="K53" s="811">
        <f t="shared" si="6"/>
        <v>0</v>
      </c>
      <c r="L53" s="707"/>
      <c r="M53" s="768"/>
      <c r="N53" s="745">
        <f t="shared" si="0"/>
        <v>0</v>
      </c>
      <c r="O53" s="768"/>
      <c r="P53" s="769">
        <f t="shared" si="1"/>
        <v>0</v>
      </c>
      <c r="Q53" s="770"/>
      <c r="R53" s="745">
        <f t="shared" si="2"/>
        <v>0</v>
      </c>
      <c r="S53" s="771">
        <f t="shared" si="5"/>
        <v>0</v>
      </c>
      <c r="U53" s="776">
        <v>53204060000000</v>
      </c>
      <c r="V53" s="777" t="s">
        <v>106</v>
      </c>
      <c r="W53" s="812"/>
    </row>
    <row r="54" spans="1:23" ht="15" customHeight="1" x14ac:dyDescent="0.2">
      <c r="A54" s="1160"/>
      <c r="B54" s="1157"/>
      <c r="C54" s="806"/>
      <c r="D54" s="807"/>
      <c r="E54" s="808"/>
      <c r="F54" s="809"/>
      <c r="G54" s="740"/>
      <c r="H54" s="740"/>
      <c r="I54" s="775"/>
      <c r="J54" s="810">
        <f t="shared" si="7"/>
        <v>0</v>
      </c>
      <c r="K54" s="811">
        <f t="shared" si="6"/>
        <v>0</v>
      </c>
      <c r="L54" s="707"/>
      <c r="M54" s="768"/>
      <c r="N54" s="745">
        <f t="shared" si="0"/>
        <v>0</v>
      </c>
      <c r="O54" s="768"/>
      <c r="P54" s="769">
        <f t="shared" si="1"/>
        <v>0</v>
      </c>
      <c r="Q54" s="770"/>
      <c r="R54" s="745">
        <f t="shared" si="2"/>
        <v>0</v>
      </c>
      <c r="S54" s="771">
        <f t="shared" si="5"/>
        <v>0</v>
      </c>
      <c r="U54" s="776">
        <v>53204070000000</v>
      </c>
      <c r="V54" s="777" t="s">
        <v>161</v>
      </c>
      <c r="W54" s="812">
        <v>840000</v>
      </c>
    </row>
    <row r="55" spans="1:23" ht="15" customHeight="1" x14ac:dyDescent="0.2">
      <c r="A55" s="1160"/>
      <c r="B55" s="1157"/>
      <c r="C55" s="806"/>
      <c r="D55" s="807"/>
      <c r="E55" s="808"/>
      <c r="F55" s="809"/>
      <c r="G55" s="740"/>
      <c r="H55" s="740"/>
      <c r="I55" s="775"/>
      <c r="J55" s="810">
        <f t="shared" si="7"/>
        <v>0</v>
      </c>
      <c r="K55" s="811">
        <f t="shared" si="6"/>
        <v>0</v>
      </c>
      <c r="L55" s="707"/>
      <c r="M55" s="768"/>
      <c r="N55" s="745">
        <f t="shared" si="0"/>
        <v>0</v>
      </c>
      <c r="O55" s="768"/>
      <c r="P55" s="769">
        <f t="shared" si="1"/>
        <v>0</v>
      </c>
      <c r="Q55" s="770"/>
      <c r="R55" s="745">
        <f t="shared" si="2"/>
        <v>0</v>
      </c>
      <c r="S55" s="771">
        <f t="shared" si="5"/>
        <v>0</v>
      </c>
      <c r="U55" s="776">
        <v>53204080000000</v>
      </c>
      <c r="V55" s="777" t="s">
        <v>108</v>
      </c>
      <c r="W55" s="812">
        <v>84000</v>
      </c>
    </row>
    <row r="56" spans="1:23" ht="15" customHeight="1" x14ac:dyDescent="0.2">
      <c r="A56" s="1160"/>
      <c r="B56" s="1157"/>
      <c r="C56" s="806"/>
      <c r="D56" s="807"/>
      <c r="E56" s="808"/>
      <c r="F56" s="809"/>
      <c r="G56" s="740"/>
      <c r="H56" s="740"/>
      <c r="I56" s="775"/>
      <c r="J56" s="810">
        <f t="shared" si="7"/>
        <v>0</v>
      </c>
      <c r="K56" s="811">
        <f t="shared" si="6"/>
        <v>0</v>
      </c>
      <c r="L56" s="707"/>
      <c r="M56" s="768"/>
      <c r="N56" s="745">
        <f t="shared" si="0"/>
        <v>0</v>
      </c>
      <c r="O56" s="768"/>
      <c r="P56" s="769">
        <f t="shared" si="1"/>
        <v>0</v>
      </c>
      <c r="Q56" s="770"/>
      <c r="R56" s="745">
        <f t="shared" si="2"/>
        <v>0</v>
      </c>
      <c r="S56" s="771">
        <f t="shared" si="5"/>
        <v>0</v>
      </c>
      <c r="U56" s="776">
        <v>53214010000000</v>
      </c>
      <c r="V56" s="777" t="s">
        <v>109</v>
      </c>
      <c r="W56" s="812"/>
    </row>
    <row r="57" spans="1:23" ht="15" customHeight="1" x14ac:dyDescent="0.2">
      <c r="A57" s="1160"/>
      <c r="B57" s="1157"/>
      <c r="C57" s="806"/>
      <c r="D57" s="807"/>
      <c r="E57" s="808"/>
      <c r="F57" s="809"/>
      <c r="G57" s="740"/>
      <c r="H57" s="740"/>
      <c r="I57" s="775"/>
      <c r="J57" s="810">
        <f t="shared" si="7"/>
        <v>0</v>
      </c>
      <c r="K57" s="811">
        <f t="shared" si="6"/>
        <v>0</v>
      </c>
      <c r="L57" s="707"/>
      <c r="M57" s="768"/>
      <c r="N57" s="745">
        <f t="shared" si="0"/>
        <v>0</v>
      </c>
      <c r="O57" s="768"/>
      <c r="P57" s="769">
        <f t="shared" si="1"/>
        <v>0</v>
      </c>
      <c r="Q57" s="770"/>
      <c r="R57" s="745">
        <f t="shared" si="2"/>
        <v>0</v>
      </c>
      <c r="S57" s="771">
        <f t="shared" si="5"/>
        <v>0</v>
      </c>
      <c r="U57" s="776">
        <v>53214040000000</v>
      </c>
      <c r="V57" s="777" t="s">
        <v>110</v>
      </c>
      <c r="W57" s="812">
        <v>175350</v>
      </c>
    </row>
    <row r="58" spans="1:23" ht="15" customHeight="1" x14ac:dyDescent="0.2">
      <c r="A58" s="1160"/>
      <c r="B58" s="1157"/>
      <c r="C58" s="806"/>
      <c r="D58" s="807"/>
      <c r="E58" s="808"/>
      <c r="F58" s="809"/>
      <c r="G58" s="740"/>
      <c r="H58" s="740"/>
      <c r="I58" s="775"/>
      <c r="J58" s="810">
        <f t="shared" si="7"/>
        <v>0</v>
      </c>
      <c r="K58" s="811">
        <f t="shared" si="6"/>
        <v>0</v>
      </c>
      <c r="L58" s="707"/>
      <c r="M58" s="768"/>
      <c r="N58" s="745">
        <f t="shared" si="0"/>
        <v>0</v>
      </c>
      <c r="O58" s="768"/>
      <c r="P58" s="769">
        <f t="shared" si="1"/>
        <v>0</v>
      </c>
      <c r="Q58" s="770"/>
      <c r="R58" s="745">
        <f t="shared" si="2"/>
        <v>0</v>
      </c>
      <c r="S58" s="771">
        <f t="shared" si="5"/>
        <v>0</v>
      </c>
      <c r="U58" s="776">
        <v>55201010100004</v>
      </c>
      <c r="V58" s="777" t="s">
        <v>111</v>
      </c>
      <c r="W58" s="778"/>
    </row>
    <row r="59" spans="1:23" ht="15" customHeight="1" x14ac:dyDescent="0.2">
      <c r="A59" s="1160"/>
      <c r="B59" s="1157"/>
      <c r="C59" s="806"/>
      <c r="D59" s="807"/>
      <c r="E59" s="808"/>
      <c r="F59" s="809"/>
      <c r="G59" s="740"/>
      <c r="H59" s="740"/>
      <c r="I59" s="775"/>
      <c r="J59" s="810">
        <f t="shared" si="7"/>
        <v>0</v>
      </c>
      <c r="K59" s="811">
        <f t="shared" si="6"/>
        <v>0</v>
      </c>
      <c r="L59" s="707"/>
      <c r="M59" s="768"/>
      <c r="N59" s="745">
        <f t="shared" si="0"/>
        <v>0</v>
      </c>
      <c r="O59" s="768"/>
      <c r="P59" s="769">
        <f t="shared" si="1"/>
        <v>0</v>
      </c>
      <c r="Q59" s="770"/>
      <c r="R59" s="745">
        <f t="shared" si="2"/>
        <v>0</v>
      </c>
      <c r="S59" s="771">
        <f t="shared" si="5"/>
        <v>0</v>
      </c>
      <c r="U59" s="776">
        <v>55201010100005</v>
      </c>
      <c r="V59" s="777" t="s">
        <v>112</v>
      </c>
      <c r="W59" s="778"/>
    </row>
    <row r="60" spans="1:23" ht="15" customHeight="1" x14ac:dyDescent="0.2">
      <c r="A60" s="1160"/>
      <c r="B60" s="1157"/>
      <c r="C60" s="806"/>
      <c r="D60" s="807"/>
      <c r="E60" s="808"/>
      <c r="F60" s="809"/>
      <c r="G60" s="740"/>
      <c r="H60" s="740"/>
      <c r="I60" s="775"/>
      <c r="J60" s="810">
        <f t="shared" si="7"/>
        <v>0</v>
      </c>
      <c r="K60" s="811">
        <f t="shared" si="6"/>
        <v>0</v>
      </c>
      <c r="L60" s="707"/>
      <c r="M60" s="768"/>
      <c r="N60" s="745">
        <f t="shared" si="0"/>
        <v>0</v>
      </c>
      <c r="O60" s="768"/>
      <c r="P60" s="769">
        <f t="shared" si="1"/>
        <v>0</v>
      </c>
      <c r="Q60" s="770"/>
      <c r="R60" s="745">
        <f t="shared" si="2"/>
        <v>0</v>
      </c>
      <c r="S60" s="771">
        <f t="shared" si="5"/>
        <v>0</v>
      </c>
      <c r="U60" s="772"/>
      <c r="V60" s="773" t="s">
        <v>113</v>
      </c>
      <c r="W60" s="774">
        <f>SUM(W61:W69)</f>
        <v>1764000</v>
      </c>
    </row>
    <row r="61" spans="1:23" ht="15.75" customHeight="1" thickBot="1" x14ac:dyDescent="0.25">
      <c r="A61" s="1161"/>
      <c r="B61" s="1158"/>
      <c r="C61" s="783"/>
      <c r="D61" s="784"/>
      <c r="E61" s="785"/>
      <c r="F61" s="786"/>
      <c r="G61" s="787"/>
      <c r="H61" s="787"/>
      <c r="I61" s="788"/>
      <c r="J61" s="799">
        <f t="shared" si="7"/>
        <v>0</v>
      </c>
      <c r="K61" s="790">
        <f t="shared" si="6"/>
        <v>0</v>
      </c>
      <c r="L61" s="707"/>
      <c r="M61" s="791"/>
      <c r="N61" s="792">
        <f t="shared" si="0"/>
        <v>0</v>
      </c>
      <c r="O61" s="791"/>
      <c r="P61" s="793">
        <f t="shared" si="1"/>
        <v>0</v>
      </c>
      <c r="Q61" s="794"/>
      <c r="R61" s="792">
        <f t="shared" si="2"/>
        <v>0</v>
      </c>
      <c r="S61" s="795">
        <f t="shared" si="5"/>
        <v>0</v>
      </c>
      <c r="U61" s="776">
        <v>53207010000000</v>
      </c>
      <c r="V61" s="777" t="s">
        <v>114</v>
      </c>
      <c r="W61" s="778"/>
    </row>
    <row r="62" spans="1:23" ht="16.5" thickBot="1" x14ac:dyDescent="0.25">
      <c r="K62" s="813">
        <f>SUM(K15:K61)</f>
        <v>38533042.969999999</v>
      </c>
      <c r="M62" s="814">
        <f>+IFERROR(N62/$K$62,0)</f>
        <v>0.4</v>
      </c>
      <c r="N62" s="815">
        <f>SUM(N15:N61)</f>
        <v>15413217.188000001</v>
      </c>
      <c r="O62" s="814">
        <f>+IFERROR(P62/$K$62,0)</f>
        <v>0.2</v>
      </c>
      <c r="P62" s="815">
        <f>SUM(P15:P61)</f>
        <v>7706608.5940000005</v>
      </c>
      <c r="Q62" s="814">
        <f>+IFERROR(R62/$K$62,0)</f>
        <v>0.4</v>
      </c>
      <c r="R62" s="815">
        <f>SUM(R15:R61)</f>
        <v>15413217.188000001</v>
      </c>
      <c r="U62" s="776">
        <v>53207020000000</v>
      </c>
      <c r="V62" s="777" t="s">
        <v>115</v>
      </c>
      <c r="W62" s="778"/>
    </row>
    <row r="63" spans="1:23" ht="15" x14ac:dyDescent="0.2">
      <c r="K63" s="816">
        <v>1</v>
      </c>
      <c r="U63" s="776">
        <v>53208020000000</v>
      </c>
      <c r="V63" s="777" t="s">
        <v>116</v>
      </c>
      <c r="W63" s="778"/>
    </row>
    <row r="64" spans="1:23" ht="15" x14ac:dyDescent="0.2">
      <c r="U64" s="776">
        <v>53208990000000</v>
      </c>
      <c r="V64" s="777" t="s">
        <v>117</v>
      </c>
      <c r="W64" s="778">
        <v>84000</v>
      </c>
    </row>
    <row r="65" spans="1:23" ht="15" x14ac:dyDescent="0.2">
      <c r="U65" s="776">
        <v>53209010000000</v>
      </c>
      <c r="V65" s="777" t="s">
        <v>118</v>
      </c>
      <c r="W65" s="778"/>
    </row>
    <row r="66" spans="1:23" ht="15" x14ac:dyDescent="0.2">
      <c r="L66" s="707"/>
      <c r="U66" s="776">
        <v>53209040000000</v>
      </c>
      <c r="V66" s="777" t="s">
        <v>119</v>
      </c>
      <c r="W66" s="778"/>
    </row>
    <row r="67" spans="1:23" ht="15.75" thickBot="1" x14ac:dyDescent="0.25">
      <c r="L67" s="707"/>
      <c r="U67" s="776">
        <v>53209050000000</v>
      </c>
      <c r="V67" s="777" t="s">
        <v>120</v>
      </c>
      <c r="W67" s="778"/>
    </row>
    <row r="68" spans="1:23" ht="15" x14ac:dyDescent="0.2">
      <c r="A68" s="1147" t="s">
        <v>162</v>
      </c>
      <c r="B68" s="1150" t="s">
        <v>163</v>
      </c>
      <c r="C68" s="736"/>
      <c r="D68" s="737"/>
      <c r="E68" s="738"/>
      <c r="F68" s="739"/>
      <c r="G68" s="741"/>
      <c r="H68" s="741"/>
      <c r="I68" s="742"/>
      <c r="J68" s="796">
        <f>SUM(G68:I68)</f>
        <v>0</v>
      </c>
      <c r="K68" s="743">
        <f>G68*(1+$K$11)+H68+I68</f>
        <v>0</v>
      </c>
      <c r="L68" s="707"/>
      <c r="U68" s="776">
        <v>53209990000000</v>
      </c>
      <c r="V68" s="777" t="s">
        <v>121</v>
      </c>
      <c r="W68" s="778">
        <v>1680000</v>
      </c>
    </row>
    <row r="69" spans="1:23" ht="15" x14ac:dyDescent="0.2">
      <c r="A69" s="1148"/>
      <c r="B69" s="1151"/>
      <c r="C69" s="817"/>
      <c r="D69" s="818"/>
      <c r="E69" s="819"/>
      <c r="F69" s="820"/>
      <c r="G69" s="740"/>
      <c r="H69" s="740"/>
      <c r="I69" s="775"/>
      <c r="J69" s="798">
        <f>SUM(G69:I69)</f>
        <v>0</v>
      </c>
      <c r="K69" s="767">
        <f>G69*(1+$K$11)+H69+I69</f>
        <v>0</v>
      </c>
      <c r="L69" s="707"/>
      <c r="U69" s="776">
        <v>53210020100000</v>
      </c>
      <c r="V69" s="777" t="s">
        <v>122</v>
      </c>
      <c r="W69" s="778"/>
    </row>
    <row r="70" spans="1:23" ht="15" x14ac:dyDescent="0.2">
      <c r="A70" s="1148"/>
      <c r="B70" s="1151"/>
      <c r="C70" s="817"/>
      <c r="D70" s="818"/>
      <c r="E70" s="819"/>
      <c r="F70" s="820"/>
      <c r="G70" s="740"/>
      <c r="H70" s="740"/>
      <c r="I70" s="775"/>
      <c r="J70" s="798">
        <f>SUM(G70:I70)</f>
        <v>0</v>
      </c>
      <c r="K70" s="767">
        <f>G70*(1+$K$11)+H70+I70</f>
        <v>0</v>
      </c>
      <c r="L70" s="707"/>
      <c r="U70" s="772"/>
      <c r="V70" s="773" t="s">
        <v>123</v>
      </c>
      <c r="W70" s="774">
        <f>SUM(W71:W77)</f>
        <v>4951254</v>
      </c>
    </row>
    <row r="71" spans="1:23" ht="15" x14ac:dyDescent="0.2">
      <c r="A71" s="1148"/>
      <c r="B71" s="1151"/>
      <c r="C71" s="762"/>
      <c r="D71" s="763"/>
      <c r="E71" s="764"/>
      <c r="F71" s="765"/>
      <c r="G71" s="740"/>
      <c r="H71" s="740"/>
      <c r="I71" s="775"/>
      <c r="J71" s="798">
        <f>SUM(G71:I71)</f>
        <v>0</v>
      </c>
      <c r="K71" s="767">
        <f>G71*(1+$K$11)+H71+I71</f>
        <v>0</v>
      </c>
      <c r="L71" s="707"/>
      <c r="M71" s="821"/>
      <c r="O71" s="821"/>
      <c r="Q71" s="821"/>
      <c r="U71" s="776">
        <v>53206030000000</v>
      </c>
      <c r="V71" s="777" t="s">
        <v>124</v>
      </c>
      <c r="W71" s="778">
        <v>4951254</v>
      </c>
    </row>
    <row r="72" spans="1:23" ht="15.75" thickBot="1" x14ac:dyDescent="0.25">
      <c r="A72" s="1149"/>
      <c r="B72" s="1152"/>
      <c r="C72" s="783"/>
      <c r="D72" s="784"/>
      <c r="E72" s="785"/>
      <c r="F72" s="786"/>
      <c r="G72" s="787"/>
      <c r="H72" s="787"/>
      <c r="I72" s="788"/>
      <c r="J72" s="799">
        <f>SUM(G72:I72)</f>
        <v>0</v>
      </c>
      <c r="K72" s="790">
        <f>G72*(1+$K$11)+H72+I72</f>
        <v>0</v>
      </c>
      <c r="U72" s="776">
        <v>53206040000000</v>
      </c>
      <c r="V72" s="777" t="s">
        <v>125</v>
      </c>
      <c r="W72" s="822"/>
    </row>
    <row r="73" spans="1:23" ht="16.5" thickBot="1" x14ac:dyDescent="0.25">
      <c r="C73" s="706"/>
      <c r="D73" s="706"/>
      <c r="E73" s="823"/>
      <c r="F73" s="823"/>
      <c r="G73" s="823"/>
      <c r="H73" s="823"/>
      <c r="I73" s="823"/>
      <c r="K73" s="824">
        <f>SUM(K68:K72)</f>
        <v>0</v>
      </c>
      <c r="U73" s="776">
        <v>53206060000000</v>
      </c>
      <c r="V73" s="777" t="s">
        <v>126</v>
      </c>
      <c r="W73" s="822"/>
    </row>
    <row r="74" spans="1:23" x14ac:dyDescent="0.2">
      <c r="K74" s="816">
        <v>1</v>
      </c>
      <c r="U74" s="776">
        <v>53206070000000</v>
      </c>
      <c r="V74" s="777" t="s">
        <v>127</v>
      </c>
      <c r="W74" s="822"/>
    </row>
    <row r="75" spans="1:23" ht="12.75" customHeight="1" thickBot="1" x14ac:dyDescent="0.25">
      <c r="H75" s="714"/>
      <c r="U75" s="776">
        <v>53206990000000</v>
      </c>
      <c r="V75" s="777" t="s">
        <v>128</v>
      </c>
      <c r="W75" s="778"/>
    </row>
    <row r="76" spans="1:23" ht="12.75" customHeight="1" x14ac:dyDescent="0.2">
      <c r="A76" s="1147" t="s">
        <v>162</v>
      </c>
      <c r="B76" s="1150" t="s">
        <v>314</v>
      </c>
      <c r="C76" s="736"/>
      <c r="D76" s="737"/>
      <c r="E76" s="738"/>
      <c r="F76" s="739"/>
      <c r="G76" s="741"/>
      <c r="H76" s="741"/>
      <c r="I76" s="742"/>
      <c r="J76" s="796">
        <f>SUM(G76:I76)</f>
        <v>0</v>
      </c>
      <c r="K76" s="743">
        <f>G76*(1+$K$11)+H76+I76</f>
        <v>0</v>
      </c>
      <c r="U76" s="776">
        <v>53208030000000</v>
      </c>
      <c r="V76" s="777" t="s">
        <v>129</v>
      </c>
      <c r="W76" s="778"/>
    </row>
    <row r="77" spans="1:23" ht="12.75" customHeight="1" x14ac:dyDescent="0.2">
      <c r="A77" s="1148"/>
      <c r="B77" s="1151"/>
      <c r="C77" s="817"/>
      <c r="D77" s="818"/>
      <c r="E77" s="819"/>
      <c r="F77" s="820"/>
      <c r="G77" s="740"/>
      <c r="H77" s="740"/>
      <c r="I77" s="775"/>
      <c r="J77" s="798">
        <f>SUM(G77:I77)</f>
        <v>0</v>
      </c>
      <c r="K77" s="767">
        <f>G77*(1+$K$11)+H77+I77</f>
        <v>0</v>
      </c>
      <c r="U77" s="776">
        <v>53212060000000</v>
      </c>
      <c r="V77" s="777" t="s">
        <v>130</v>
      </c>
      <c r="W77" s="778"/>
    </row>
    <row r="78" spans="1:23" ht="12.75" customHeight="1" x14ac:dyDescent="0.2">
      <c r="A78" s="1148"/>
      <c r="B78" s="1151"/>
      <c r="C78" s="817"/>
      <c r="D78" s="818"/>
      <c r="E78" s="819"/>
      <c r="F78" s="820"/>
      <c r="G78" s="740"/>
      <c r="H78" s="740"/>
      <c r="I78" s="775"/>
      <c r="J78" s="798">
        <f>SUM(G78:I78)</f>
        <v>0</v>
      </c>
      <c r="K78" s="767">
        <f>G78*(1+$K$11)+H78+I78</f>
        <v>0</v>
      </c>
      <c r="U78" s="772"/>
      <c r="V78" s="773" t="s">
        <v>131</v>
      </c>
      <c r="W78" s="774">
        <f>SUM(W79:W79)</f>
        <v>0</v>
      </c>
    </row>
    <row r="79" spans="1:23" ht="13.5" customHeight="1" x14ac:dyDescent="0.2">
      <c r="A79" s="1148"/>
      <c r="B79" s="1151"/>
      <c r="C79" s="762"/>
      <c r="D79" s="763"/>
      <c r="E79" s="764"/>
      <c r="F79" s="765"/>
      <c r="G79" s="740"/>
      <c r="H79" s="740"/>
      <c r="I79" s="775"/>
      <c r="J79" s="798">
        <f>SUM(G79:I79)</f>
        <v>0</v>
      </c>
      <c r="K79" s="767">
        <f>G79*(1+$K$11)+H79+I79</f>
        <v>0</v>
      </c>
      <c r="U79" s="776">
        <v>53204999000000</v>
      </c>
      <c r="V79" s="777" t="s">
        <v>133</v>
      </c>
      <c r="W79" s="778"/>
    </row>
    <row r="80" spans="1:23" ht="15.75" thickBot="1" x14ac:dyDescent="0.25">
      <c r="A80" s="1149"/>
      <c r="B80" s="1152"/>
      <c r="C80" s="783"/>
      <c r="D80" s="784"/>
      <c r="E80" s="785"/>
      <c r="F80" s="786"/>
      <c r="G80" s="787"/>
      <c r="H80" s="787"/>
      <c r="I80" s="788"/>
      <c r="J80" s="799">
        <f>SUM(G80:I80)</f>
        <v>0</v>
      </c>
      <c r="K80" s="790">
        <f>G80*(1+$K$11)+H80+I80</f>
        <v>0</v>
      </c>
      <c r="U80" s="825"/>
      <c r="V80" s="826" t="s">
        <v>164</v>
      </c>
      <c r="W80" s="827">
        <f>+W40+W15</f>
        <v>13417369</v>
      </c>
    </row>
    <row r="81" spans="1:12" ht="16.5" thickBot="1" x14ac:dyDescent="0.25">
      <c r="C81" s="706"/>
      <c r="D81" s="706"/>
      <c r="E81" s="823"/>
      <c r="F81" s="823"/>
      <c r="G81" s="823"/>
      <c r="H81" s="823"/>
      <c r="I81" s="823"/>
      <c r="K81" s="824">
        <f>SUM(K76:K80)</f>
        <v>0</v>
      </c>
    </row>
    <row r="82" spans="1:12" x14ac:dyDescent="0.2">
      <c r="K82" s="816">
        <v>1</v>
      </c>
    </row>
    <row r="83" spans="1:12" ht="13.5" thickBot="1" x14ac:dyDescent="0.25"/>
    <row r="84" spans="1:12" ht="15" x14ac:dyDescent="0.2">
      <c r="A84" s="1147" t="s">
        <v>162</v>
      </c>
      <c r="B84" s="1150" t="s">
        <v>315</v>
      </c>
      <c r="C84" s="736"/>
      <c r="D84" s="737"/>
      <c r="E84" s="738"/>
      <c r="F84" s="739"/>
      <c r="G84" s="741"/>
      <c r="H84" s="741"/>
      <c r="I84" s="742"/>
      <c r="J84" s="796">
        <f>SUM(G84:I84)</f>
        <v>0</v>
      </c>
      <c r="K84" s="743">
        <f>G84*(1+$K$11)+H84+I84</f>
        <v>0</v>
      </c>
    </row>
    <row r="85" spans="1:12" ht="15" x14ac:dyDescent="0.2">
      <c r="A85" s="1148"/>
      <c r="B85" s="1151"/>
      <c r="C85" s="817"/>
      <c r="D85" s="818"/>
      <c r="E85" s="819"/>
      <c r="F85" s="820"/>
      <c r="G85" s="740"/>
      <c r="H85" s="740"/>
      <c r="I85" s="775"/>
      <c r="J85" s="798">
        <f>SUM(G85:I85)</f>
        <v>0</v>
      </c>
      <c r="K85" s="767">
        <f>G85*(1+$K$11)+H85+I85</f>
        <v>0</v>
      </c>
    </row>
    <row r="86" spans="1:12" ht="15" x14ac:dyDescent="0.2">
      <c r="A86" s="1148"/>
      <c r="B86" s="1151"/>
      <c r="C86" s="817"/>
      <c r="D86" s="818"/>
      <c r="E86" s="819"/>
      <c r="F86" s="820"/>
      <c r="G86" s="740"/>
      <c r="H86" s="740"/>
      <c r="I86" s="775"/>
      <c r="J86" s="798">
        <f>SUM(G86:I86)</f>
        <v>0</v>
      </c>
      <c r="K86" s="767">
        <f>G86*(1+$K$11)+H86+I86</f>
        <v>0</v>
      </c>
    </row>
    <row r="87" spans="1:12" ht="15" x14ac:dyDescent="0.2">
      <c r="A87" s="1148"/>
      <c r="B87" s="1151"/>
      <c r="C87" s="762"/>
      <c r="D87" s="763"/>
      <c r="E87" s="764"/>
      <c r="F87" s="765"/>
      <c r="G87" s="740"/>
      <c r="H87" s="740"/>
      <c r="I87" s="775"/>
      <c r="J87" s="798">
        <f>SUM(G87:I87)</f>
        <v>0</v>
      </c>
      <c r="K87" s="767">
        <f>G87*(1+$K$11)+H87+I87</f>
        <v>0</v>
      </c>
    </row>
    <row r="88" spans="1:12" ht="15.75" thickBot="1" x14ac:dyDescent="0.25">
      <c r="A88" s="1149"/>
      <c r="B88" s="1152"/>
      <c r="C88" s="783"/>
      <c r="D88" s="784"/>
      <c r="E88" s="785"/>
      <c r="F88" s="786"/>
      <c r="G88" s="787"/>
      <c r="H88" s="787"/>
      <c r="I88" s="788"/>
      <c r="J88" s="799">
        <f>SUM(G88:I88)</f>
        <v>0</v>
      </c>
      <c r="K88" s="790">
        <f>G88*(1+$K$11)+H88+I88</f>
        <v>0</v>
      </c>
    </row>
    <row r="89" spans="1:12" ht="16.5" thickBot="1" x14ac:dyDescent="0.25">
      <c r="C89" s="706"/>
      <c r="D89" s="706"/>
      <c r="E89" s="823"/>
      <c r="F89" s="823"/>
      <c r="G89" s="823"/>
      <c r="H89" s="823"/>
      <c r="I89" s="823"/>
      <c r="K89" s="824">
        <f>SUM(K84:K88)</f>
        <v>0</v>
      </c>
    </row>
    <row r="90" spans="1:12" x14ac:dyDescent="0.2">
      <c r="K90" s="816">
        <v>1</v>
      </c>
    </row>
    <row r="93" spans="1:12" x14ac:dyDescent="0.2">
      <c r="L93" s="828"/>
    </row>
    <row r="98" spans="11:11" ht="15" x14ac:dyDescent="0.25">
      <c r="K98" s="829"/>
    </row>
    <row r="100" spans="11:11" x14ac:dyDescent="0.2">
      <c r="K100" s="830"/>
    </row>
  </sheetData>
  <mergeCells count="47">
    <mergeCell ref="AN9:AS10"/>
    <mergeCell ref="A9:H9"/>
    <mergeCell ref="M9:S10"/>
    <mergeCell ref="U9:W10"/>
    <mergeCell ref="Z9:AE10"/>
    <mergeCell ref="AG9:AL10"/>
    <mergeCell ref="Z13:AA13"/>
    <mergeCell ref="M12:R12"/>
    <mergeCell ref="A13:B14"/>
    <mergeCell ref="C13:C14"/>
    <mergeCell ref="D13:D14"/>
    <mergeCell ref="E13:E14"/>
    <mergeCell ref="F13:F14"/>
    <mergeCell ref="G13:J13"/>
    <mergeCell ref="K13:K14"/>
    <mergeCell ref="M13:N13"/>
    <mergeCell ref="O13:P13"/>
    <mergeCell ref="Q13:R13"/>
    <mergeCell ref="S13:S14"/>
    <mergeCell ref="U13:U14"/>
    <mergeCell ref="V13:V14"/>
    <mergeCell ref="W13:W14"/>
    <mergeCell ref="AN15:AO15"/>
    <mergeCell ref="AP15:AQ15"/>
    <mergeCell ref="AR15:AS15"/>
    <mergeCell ref="AB13:AC13"/>
    <mergeCell ref="AD13:AE13"/>
    <mergeCell ref="AG13:AH13"/>
    <mergeCell ref="AI13:AJ13"/>
    <mergeCell ref="AK13:AL13"/>
    <mergeCell ref="AN13:AO13"/>
    <mergeCell ref="AP13:AQ13"/>
    <mergeCell ref="AR13:AS13"/>
    <mergeCell ref="AN14:AO14"/>
    <mergeCell ref="AP14:AQ14"/>
    <mergeCell ref="AR14:AS14"/>
    <mergeCell ref="A76:A80"/>
    <mergeCell ref="B76:B80"/>
    <mergeCell ref="A84:A88"/>
    <mergeCell ref="B84:B88"/>
    <mergeCell ref="B25:B34"/>
    <mergeCell ref="B35:B39"/>
    <mergeCell ref="B40:B61"/>
    <mergeCell ref="A68:A72"/>
    <mergeCell ref="B68:B72"/>
    <mergeCell ref="A15:A61"/>
    <mergeCell ref="B15:B24"/>
  </mergeCells>
  <conditionalFormatting sqref="S15:S61">
    <cfRule type="cellIs" dxfId="12" priority="1" operator="equal">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Instructivo</vt:lpstr>
      <vt:lpstr>Índice Tablas</vt:lpstr>
      <vt:lpstr>Analisis</vt:lpstr>
      <vt:lpstr>A) Resumen Ingresos y Egresos</vt:lpstr>
      <vt:lpstr>B) Reajuste Tarifas y Ocupación</vt:lpstr>
      <vt:lpstr>Hoja1</vt:lpstr>
      <vt:lpstr>% Reajuste</vt:lpstr>
      <vt:lpstr>C) Estimación Costos Directos</vt:lpstr>
      <vt:lpstr>D) Costos Indirectos </vt:lpstr>
      <vt:lpstr>E) Resumen Tarifado </vt:lpstr>
      <vt:lpstr>F) Remuneraciones</vt:lpstr>
      <vt:lpstr>G) Comparación Mercado</vt:lpstr>
      <vt:lpstr>H) Detalle Datos</vt:lpstr>
      <vt:lpstr>I) Costo Desayuno</vt:lpstr>
      <vt:lpstr>J) Estructura Económica Mensual</vt:lpstr>
      <vt:lpstr>'A) Resumen Ingresos y Egresos'!Área_de_impresión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352 Joaquin Rodrigo</dc:creator>
  <cp:lastModifiedBy>130 Carolina Vera</cp:lastModifiedBy>
  <cp:lastPrinted>2025-10-10T13:50:05Z</cp:lastPrinted>
  <dcterms:created xsi:type="dcterms:W3CDTF">2022-05-03T15:48:52Z</dcterms:created>
  <dcterms:modified xsi:type="dcterms:W3CDTF">2025-10-29T20:08:26Z</dcterms:modified>
</cp:coreProperties>
</file>