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34268840\Desktop\TARIFAS 2026\A. EDUCACIONAL\PLANILLAS 2026 EDUBIEN\"/>
    </mc:Choice>
  </mc:AlternateContent>
  <xr:revisionPtr revIDLastSave="0" documentId="13_ncr:1_{466DB9A1-2E21-41DE-A1F7-A77ACF8146D0}" xr6:coauthVersionLast="47" xr6:coauthVersionMax="47" xr10:uidLastSave="{00000000-0000-0000-0000-000000000000}"/>
  <bookViews>
    <workbookView xWindow="-120" yWindow="-120" windowWidth="29040" windowHeight="15720" tabRatio="929" firstSheet="1" activeTab="2" xr2:uid="{00000000-000D-0000-FFFF-FFFF00000000}"/>
  </bookViews>
  <sheets>
    <sheet name="Instrucciones" sheetId="18" r:id="rId1"/>
    <sheet name="Índice Tablas" sheetId="11" r:id="rId2"/>
    <sheet name="A) Resumen Ingresos y Egresos" sheetId="2" r:id="rId3"/>
    <sheet name="B) Reajuste Tarifas y Ocupación" sheetId="7" r:id="rId4"/>
    <sheet name="C) Costos Directos" sheetId="3" r:id="rId5"/>
    <sheet name="D) Costos Indirectos" sheetId="13" r:id="rId6"/>
    <sheet name="E) Resumen Tarifado " sheetId="5" r:id="rId7"/>
    <sheet name="F) Remuneraciones" sheetId="12" r:id="rId8"/>
    <sheet name="G) Comparación Mercado" sheetId="1" r:id="rId9"/>
    <sheet name="H) Detalle Datos" sheetId="9" r:id="rId10"/>
    <sheet name="I) Proyección Mensual." sheetId="16" r:id="rId11"/>
  </sheets>
  <definedNames>
    <definedName name="__xlnm_Print_Area">'A) Resumen Ingresos y Egresos'!$A$1:$N$30</definedName>
    <definedName name="__xlnm_Print_Area_1">'C) Costos Directos'!$A$1:$H$38</definedName>
    <definedName name="__xlnm_Print_Area_2">'E) Resumen Tarifado '!$A$4:$G$12</definedName>
    <definedName name="__xlnm_Print_Titles">'A) Resumen Ingresos y Egresos'!$1:$20</definedName>
    <definedName name="__xlnm_Print_Titles_1">'C) Costos Directos'!$1:$11</definedName>
    <definedName name="__xlnm_Print_Titles_2">NA()</definedName>
    <definedName name="_xlnm.Print_Area" localSheetId="2">'A) Resumen Ingresos y Egresos'!$A$1:$N$30</definedName>
    <definedName name="_xlnm.Print_Area" localSheetId="4">'C) Costos Directos'!$A$1:$H$75</definedName>
    <definedName name="_xlnm.Print_Area" localSheetId="6">'E) Resumen Tarifado '!$A$4:$G$12</definedName>
    <definedName name="bienique1">'A) Resumen Ingresos y Egresos'!$A$8</definedName>
    <definedName name="Excel_BuiltIn_Print_Area" localSheetId="4">'C) Costos Directos'!$A$1:$H$38</definedName>
    <definedName name="Excel_BuiltIn_Print_Area_1_1">NA()</definedName>
    <definedName name="Excel_BuiltIn_Print_Area_4_1">NA()</definedName>
    <definedName name="Excel_BuiltIn_Print_Area_5_1">NA()</definedName>
    <definedName name="Excel_BuiltIn_Print_Titles_4">NA()</definedName>
    <definedName name="Excel_BuiltIn_Print_Titles_5">NA()</definedName>
    <definedName name="_xlnm.Print_Titles" localSheetId="2">'A) Resumen Ingresos y Egresos'!$1:$20</definedName>
    <definedName name="_xlnm.Print_Titles" localSheetId="4">'C) Costos Directos'!$1:$11</definedName>
  </definedNames>
  <calcPr calcId="181029"/>
</workbook>
</file>

<file path=xl/calcChain.xml><?xml version="1.0" encoding="utf-8"?>
<calcChain xmlns="http://schemas.openxmlformats.org/spreadsheetml/2006/main">
  <c r="I32" i="9" l="1"/>
  <c r="I33" i="9" s="1"/>
  <c r="H27" i="9"/>
  <c r="H24" i="9"/>
  <c r="H22" i="9"/>
  <c r="F84" i="3" l="1"/>
  <c r="F83" i="3"/>
  <c r="M50" i="3"/>
  <c r="M21" i="3"/>
  <c r="M22" i="3"/>
  <c r="M24" i="3" l="1"/>
  <c r="E20" i="3" l="1"/>
  <c r="F19" i="3"/>
  <c r="G25" i="13"/>
  <c r="G17" i="13"/>
  <c r="G35" i="13"/>
  <c r="G19" i="13"/>
  <c r="G16" i="13"/>
  <c r="G15" i="13"/>
  <c r="G26" i="3" l="1"/>
  <c r="J12" i="12"/>
  <c r="K12" i="12" s="1"/>
  <c r="J13" i="12"/>
  <c r="K13" i="12" s="1"/>
  <c r="J14" i="12"/>
  <c r="K14" i="12" s="1"/>
  <c r="J15" i="12"/>
  <c r="K15" i="12" s="1"/>
  <c r="J16" i="12"/>
  <c r="K16" i="12" s="1"/>
  <c r="J17" i="12"/>
  <c r="K17" i="12" s="1"/>
  <c r="J18" i="12"/>
  <c r="K18" i="12" s="1"/>
  <c r="J19" i="12"/>
  <c r="K19" i="12"/>
  <c r="J20" i="12"/>
  <c r="K20" i="12"/>
  <c r="J21" i="12"/>
  <c r="K21" i="12" s="1"/>
  <c r="J22" i="12"/>
  <c r="K22" i="12" s="1"/>
  <c r="J23" i="12"/>
  <c r="K23" i="12" s="1"/>
  <c r="J24" i="12"/>
  <c r="K24" i="12" s="1"/>
  <c r="J25" i="12"/>
  <c r="K25" i="12" s="1"/>
  <c r="J26" i="12"/>
  <c r="K26" i="12" s="1"/>
  <c r="J27" i="12"/>
  <c r="K27" i="12"/>
  <c r="J28" i="12"/>
  <c r="K28" i="12" s="1"/>
  <c r="J29" i="12"/>
  <c r="K29" i="12"/>
  <c r="J30" i="12"/>
  <c r="K30" i="12" s="1"/>
  <c r="J11" i="12"/>
  <c r="K11" i="12" s="1"/>
  <c r="J15" i="13"/>
  <c r="K15" i="13" s="1"/>
  <c r="H27" i="7"/>
  <c r="K37" i="12" l="1"/>
  <c r="L23" i="12"/>
  <c r="L11" i="12"/>
  <c r="M14" i="7"/>
  <c r="M13" i="7"/>
  <c r="M12" i="7"/>
  <c r="M21" i="16" l="1"/>
  <c r="D21" i="16"/>
  <c r="E21" i="16"/>
  <c r="B21" i="16"/>
  <c r="I21" i="16"/>
  <c r="C21" i="16"/>
  <c r="G21" i="16"/>
  <c r="H21" i="16"/>
  <c r="J21" i="16"/>
  <c r="K21" i="16"/>
  <c r="L21" i="16"/>
  <c r="F21" i="16"/>
  <c r="F10" i="16"/>
  <c r="J10" i="16"/>
  <c r="B10" i="16"/>
  <c r="C10" i="16"/>
  <c r="G10" i="16"/>
  <c r="K10" i="16"/>
  <c r="D10" i="16"/>
  <c r="H10" i="16"/>
  <c r="L10" i="16"/>
  <c r="E10" i="16"/>
  <c r="I10" i="16"/>
  <c r="M10" i="16"/>
  <c r="L37" i="12"/>
  <c r="C17" i="16"/>
  <c r="D17" i="16"/>
  <c r="E17" i="16"/>
  <c r="F17" i="16"/>
  <c r="G17" i="16"/>
  <c r="H17" i="16"/>
  <c r="I17" i="16"/>
  <c r="J17" i="16"/>
  <c r="K17" i="16"/>
  <c r="L17" i="16"/>
  <c r="M17" i="16"/>
  <c r="B17" i="16"/>
  <c r="C6" i="16"/>
  <c r="D6" i="16"/>
  <c r="E6" i="16"/>
  <c r="F6" i="16"/>
  <c r="G6" i="16"/>
  <c r="H6" i="16"/>
  <c r="I6" i="16"/>
  <c r="J6" i="16"/>
  <c r="K6" i="16"/>
  <c r="L6" i="16"/>
  <c r="M6" i="16"/>
  <c r="B6" i="16"/>
  <c r="H28" i="7"/>
  <c r="H26" i="7"/>
  <c r="H25" i="7"/>
  <c r="H24" i="7"/>
  <c r="H23" i="7"/>
  <c r="B27" i="7"/>
  <c r="N10" i="16" l="1"/>
  <c r="I28" i="7"/>
  <c r="F138" i="3" s="1"/>
  <c r="I25" i="7"/>
  <c r="F74" i="3" l="1"/>
  <c r="N21" i="16"/>
  <c r="F125" i="3"/>
  <c r="F16" i="16"/>
  <c r="G16" i="16"/>
  <c r="K16" i="16"/>
  <c r="I16" i="16"/>
  <c r="H16" i="16"/>
  <c r="L16" i="16"/>
  <c r="E16" i="16"/>
  <c r="M16" i="16"/>
  <c r="J16" i="16"/>
  <c r="D16" i="16"/>
  <c r="F61" i="3"/>
  <c r="F5" i="16"/>
  <c r="G5" i="16"/>
  <c r="K5" i="16"/>
  <c r="L5" i="16"/>
  <c r="J5" i="16"/>
  <c r="D5" i="16"/>
  <c r="H5" i="16"/>
  <c r="E5" i="16"/>
  <c r="I5" i="16"/>
  <c r="M5" i="16"/>
  <c r="L15" i="5" l="1"/>
  <c r="K15" i="5"/>
  <c r="J15" i="5"/>
  <c r="I15" i="5"/>
  <c r="H15" i="5"/>
  <c r="L13" i="5"/>
  <c r="K13" i="5"/>
  <c r="J13" i="5"/>
  <c r="I13" i="5"/>
  <c r="H13" i="5"/>
  <c r="J38" i="2" l="1"/>
  <c r="E38" i="2" s="1"/>
  <c r="K38" i="2"/>
  <c r="F38" i="2" s="1"/>
  <c r="L38" i="2"/>
  <c r="G38" i="2" s="1"/>
  <c r="M38" i="2"/>
  <c r="H38" i="2" s="1"/>
  <c r="I38" i="2"/>
  <c r="J35" i="2"/>
  <c r="K35" i="2"/>
  <c r="L35" i="2"/>
  <c r="M35" i="2"/>
  <c r="I35" i="2"/>
  <c r="J32" i="2"/>
  <c r="K32" i="2"/>
  <c r="L32" i="2"/>
  <c r="M32" i="2"/>
  <c r="S15" i="13" l="1"/>
  <c r="S16" i="13"/>
  <c r="B31" i="12"/>
  <c r="B23" i="12"/>
  <c r="G138" i="3"/>
  <c r="G137" i="3" s="1"/>
  <c r="D137" i="3"/>
  <c r="G136" i="3"/>
  <c r="G135" i="3"/>
  <c r="G134" i="3"/>
  <c r="G133" i="3"/>
  <c r="G132" i="3"/>
  <c r="G131" i="3"/>
  <c r="G130" i="3"/>
  <c r="G128" i="3"/>
  <c r="G127" i="3"/>
  <c r="G126" i="3"/>
  <c r="G125" i="3"/>
  <c r="H125" i="3" s="1"/>
  <c r="G124" i="3"/>
  <c r="G123" i="3"/>
  <c r="G122" i="3"/>
  <c r="G121" i="3"/>
  <c r="G119" i="3"/>
  <c r="G118" i="3"/>
  <c r="G117" i="3"/>
  <c r="G116" i="3"/>
  <c r="G115" i="3"/>
  <c r="G114" i="3"/>
  <c r="G113" i="3"/>
  <c r="G112" i="3"/>
  <c r="G110" i="3"/>
  <c r="G109" i="3" s="1"/>
  <c r="G108" i="3"/>
  <c r="G107" i="3"/>
  <c r="G106" i="3"/>
  <c r="G105" i="3"/>
  <c r="H105" i="3" s="1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H85" i="3" s="1"/>
  <c r="G84" i="3"/>
  <c r="H84" i="3" s="1"/>
  <c r="G83" i="3"/>
  <c r="H83" i="3" s="1"/>
  <c r="G81" i="3"/>
  <c r="H81" i="3" s="1"/>
  <c r="G80" i="3"/>
  <c r="H80" i="3" s="1"/>
  <c r="G79" i="3"/>
  <c r="H79" i="3" s="1"/>
  <c r="G78" i="3"/>
  <c r="G129" i="3" l="1"/>
  <c r="G77" i="3"/>
  <c r="G111" i="3"/>
  <c r="H138" i="3"/>
  <c r="H137" i="3" s="1"/>
  <c r="G104" i="3"/>
  <c r="G120" i="3"/>
  <c r="H106" i="3"/>
  <c r="G82" i="3"/>
  <c r="G76" i="3" l="1"/>
  <c r="G139" i="3" s="1"/>
  <c r="D39" i="2"/>
  <c r="J36" i="2"/>
  <c r="D36" i="2"/>
  <c r="M36" i="2"/>
  <c r="G35" i="2"/>
  <c r="G36" i="2" s="1"/>
  <c r="K36" i="2"/>
  <c r="F35" i="2"/>
  <c r="F36" i="2" s="1"/>
  <c r="E35" i="2"/>
  <c r="E36" i="2" s="1"/>
  <c r="D33" i="2"/>
  <c r="H35" i="2" l="1"/>
  <c r="H36" i="2" s="1"/>
  <c r="L36" i="2"/>
  <c r="N14" i="3"/>
  <c r="O14" i="3"/>
  <c r="D86" i="3" s="1"/>
  <c r="N15" i="3"/>
  <c r="D23" i="3" s="1"/>
  <c r="O15" i="3"/>
  <c r="D87" i="3" s="1"/>
  <c r="H87" i="3" s="1"/>
  <c r="N16" i="3"/>
  <c r="O16" i="3"/>
  <c r="D88" i="3" s="1"/>
  <c r="H88" i="3" s="1"/>
  <c r="N17" i="3"/>
  <c r="D25" i="3" s="1"/>
  <c r="O17" i="3"/>
  <c r="D89" i="3" s="1"/>
  <c r="H89" i="3" s="1"/>
  <c r="N18" i="3"/>
  <c r="D26" i="3" s="1"/>
  <c r="H26" i="3" s="1"/>
  <c r="O18" i="3"/>
  <c r="N19" i="3"/>
  <c r="O19" i="3"/>
  <c r="D91" i="3" s="1"/>
  <c r="H91" i="3" s="1"/>
  <c r="N20" i="3"/>
  <c r="O20" i="3"/>
  <c r="D92" i="3" s="1"/>
  <c r="H92" i="3" s="1"/>
  <c r="N21" i="3"/>
  <c r="O21" i="3"/>
  <c r="D93" i="3" s="1"/>
  <c r="H93" i="3" s="1"/>
  <c r="N22" i="3"/>
  <c r="O22" i="3"/>
  <c r="D94" i="3" s="1"/>
  <c r="H94" i="3" s="1"/>
  <c r="N23" i="3"/>
  <c r="O23" i="3"/>
  <c r="D95" i="3" s="1"/>
  <c r="H95" i="3" s="1"/>
  <c r="N24" i="3"/>
  <c r="O24" i="3"/>
  <c r="D96" i="3" s="1"/>
  <c r="H96" i="3" s="1"/>
  <c r="N25" i="3"/>
  <c r="O25" i="3"/>
  <c r="N26" i="3"/>
  <c r="D34" i="3" s="1"/>
  <c r="O26" i="3"/>
  <c r="D98" i="3" s="1"/>
  <c r="H98" i="3" s="1"/>
  <c r="N27" i="3"/>
  <c r="O27" i="3"/>
  <c r="D99" i="3" s="1"/>
  <c r="H99" i="3" s="1"/>
  <c r="N28" i="3"/>
  <c r="O28" i="3"/>
  <c r="D100" i="3" s="1"/>
  <c r="H100" i="3" s="1"/>
  <c r="N29" i="3"/>
  <c r="O29" i="3"/>
  <c r="D101" i="3" s="1"/>
  <c r="H101" i="3" s="1"/>
  <c r="N30" i="3"/>
  <c r="O30" i="3"/>
  <c r="D102" i="3" s="1"/>
  <c r="H102" i="3" s="1"/>
  <c r="N33" i="3"/>
  <c r="O33" i="3"/>
  <c r="D107" i="3" s="1"/>
  <c r="N34" i="3"/>
  <c r="O34" i="3"/>
  <c r="D108" i="3" s="1"/>
  <c r="H108" i="3" s="1"/>
  <c r="N36" i="3"/>
  <c r="D46" i="3" s="1"/>
  <c r="O36" i="3"/>
  <c r="D110" i="3" s="1"/>
  <c r="N38" i="3"/>
  <c r="D48" i="3" s="1"/>
  <c r="O38" i="3"/>
  <c r="D112" i="3" s="1"/>
  <c r="N39" i="3"/>
  <c r="O39" i="3"/>
  <c r="D113" i="3" s="1"/>
  <c r="H113" i="3" s="1"/>
  <c r="N40" i="3"/>
  <c r="O40" i="3"/>
  <c r="D114" i="3" s="1"/>
  <c r="H114" i="3" s="1"/>
  <c r="N41" i="3"/>
  <c r="O41" i="3"/>
  <c r="D115" i="3" s="1"/>
  <c r="H115" i="3" s="1"/>
  <c r="N42" i="3"/>
  <c r="O42" i="3"/>
  <c r="D116" i="3" s="1"/>
  <c r="H116" i="3" s="1"/>
  <c r="N43" i="3"/>
  <c r="O43" i="3"/>
  <c r="D117" i="3" s="1"/>
  <c r="H117" i="3" s="1"/>
  <c r="N44" i="3"/>
  <c r="O44" i="3"/>
  <c r="D118" i="3" s="1"/>
  <c r="H118" i="3" s="1"/>
  <c r="N45" i="3"/>
  <c r="O45" i="3"/>
  <c r="D119" i="3" s="1"/>
  <c r="H119" i="3" s="1"/>
  <c r="N47" i="3"/>
  <c r="O47" i="3"/>
  <c r="D121" i="3" s="1"/>
  <c r="H121" i="3" s="1"/>
  <c r="N48" i="3"/>
  <c r="O48" i="3"/>
  <c r="D122" i="3" s="1"/>
  <c r="N49" i="3"/>
  <c r="O49" i="3"/>
  <c r="N50" i="3"/>
  <c r="O50" i="3"/>
  <c r="D124" i="3" s="1"/>
  <c r="H124" i="3" s="1"/>
  <c r="N51" i="3"/>
  <c r="O51" i="3"/>
  <c r="D126" i="3" s="1"/>
  <c r="H126" i="3" s="1"/>
  <c r="N52" i="3"/>
  <c r="O52" i="3"/>
  <c r="D127" i="3" s="1"/>
  <c r="H127" i="3" s="1"/>
  <c r="N53" i="3"/>
  <c r="O53" i="3"/>
  <c r="N55" i="3"/>
  <c r="O55" i="3"/>
  <c r="D130" i="3" s="1"/>
  <c r="N56" i="3"/>
  <c r="O56" i="3"/>
  <c r="D131" i="3" s="1"/>
  <c r="H131" i="3" s="1"/>
  <c r="N57" i="3"/>
  <c r="O57" i="3"/>
  <c r="D132" i="3" s="1"/>
  <c r="H132" i="3" s="1"/>
  <c r="N58" i="3"/>
  <c r="O58" i="3"/>
  <c r="D133" i="3" s="1"/>
  <c r="H133" i="3" s="1"/>
  <c r="N59" i="3"/>
  <c r="O59" i="3"/>
  <c r="D134" i="3" s="1"/>
  <c r="H134" i="3" s="1"/>
  <c r="N60" i="3"/>
  <c r="O60" i="3"/>
  <c r="D135" i="3" s="1"/>
  <c r="H135" i="3" s="1"/>
  <c r="N61" i="3"/>
  <c r="O61" i="3"/>
  <c r="D136" i="3" s="1"/>
  <c r="H136" i="3" s="1"/>
  <c r="D90" i="3" l="1"/>
  <c r="H90" i="3" s="1"/>
  <c r="D123" i="3"/>
  <c r="H123" i="3" s="1"/>
  <c r="D97" i="3"/>
  <c r="D82" i="3" s="1"/>
  <c r="H128" i="3"/>
  <c r="H112" i="3"/>
  <c r="H111" i="3" s="1"/>
  <c r="D111" i="3"/>
  <c r="H86" i="3"/>
  <c r="H130" i="3"/>
  <c r="H129" i="3" s="1"/>
  <c r="D129" i="3"/>
  <c r="H122" i="3"/>
  <c r="D109" i="3"/>
  <c r="H110" i="3"/>
  <c r="H109" i="3" s="1"/>
  <c r="H107" i="3"/>
  <c r="H104" i="3" s="1"/>
  <c r="D104" i="3"/>
  <c r="D201" i="3"/>
  <c r="D193" i="3"/>
  <c r="D184" i="3"/>
  <c r="D175" i="3"/>
  <c r="D173" i="3"/>
  <c r="D172" i="3"/>
  <c r="D171" i="3"/>
  <c r="A19" i="1"/>
  <c r="B19" i="1"/>
  <c r="Q19" i="1"/>
  <c r="B20" i="1"/>
  <c r="Q20" i="1"/>
  <c r="B21" i="1"/>
  <c r="Q21" i="1"/>
  <c r="A13" i="5"/>
  <c r="B13" i="5"/>
  <c r="B14" i="5"/>
  <c r="B15" i="5"/>
  <c r="D67" i="3"/>
  <c r="D68" i="3"/>
  <c r="D69" i="3"/>
  <c r="D70" i="3"/>
  <c r="D72" i="3"/>
  <c r="D66" i="3"/>
  <c r="D63" i="3"/>
  <c r="D62" i="3"/>
  <c r="D58" i="3"/>
  <c r="D59" i="3"/>
  <c r="D60" i="3"/>
  <c r="D57" i="3"/>
  <c r="D55" i="3"/>
  <c r="D54" i="3"/>
  <c r="D49" i="3"/>
  <c r="D50" i="3"/>
  <c r="D51" i="3"/>
  <c r="D52" i="3"/>
  <c r="D44" i="3"/>
  <c r="D43" i="3"/>
  <c r="D38" i="3"/>
  <c r="D36" i="3"/>
  <c r="D37" i="3"/>
  <c r="D35" i="3"/>
  <c r="D27" i="3"/>
  <c r="D28" i="3"/>
  <c r="D29" i="3"/>
  <c r="D32" i="3"/>
  <c r="D33" i="3"/>
  <c r="D24" i="3"/>
  <c r="D22" i="3"/>
  <c r="D30" i="3"/>
  <c r="D31" i="3"/>
  <c r="D53" i="3"/>
  <c r="D71" i="3"/>
  <c r="B34" i="2"/>
  <c r="B31" i="2"/>
  <c r="E32" i="2"/>
  <c r="F32" i="2"/>
  <c r="G32" i="2"/>
  <c r="H32" i="2"/>
  <c r="I32" i="2"/>
  <c r="B37" i="2"/>
  <c r="A31" i="2"/>
  <c r="A19" i="16" s="1"/>
  <c r="B26" i="7"/>
  <c r="B28" i="7"/>
  <c r="B23" i="7"/>
  <c r="A26" i="7"/>
  <c r="H97" i="3" l="1"/>
  <c r="H82" i="3" s="1"/>
  <c r="H120" i="3"/>
  <c r="H103" i="3" s="1"/>
  <c r="D120" i="3"/>
  <c r="D40" i="3"/>
  <c r="P40" i="2"/>
  <c r="D168" i="3"/>
  <c r="D167" i="3" s="1"/>
  <c r="D103" i="3"/>
  <c r="J20" i="1"/>
  <c r="D18" i="3"/>
  <c r="K20" i="1"/>
  <c r="D78" i="3"/>
  <c r="L20" i="1"/>
  <c r="H20" i="1"/>
  <c r="I20" i="1"/>
  <c r="D40" i="2"/>
  <c r="A23" i="7"/>
  <c r="J138" i="3" l="1"/>
  <c r="H78" i="3"/>
  <c r="H77" i="3" s="1"/>
  <c r="H76" i="3" s="1"/>
  <c r="H139" i="3" s="1"/>
  <c r="D77" i="3"/>
  <c r="D76" i="3" s="1"/>
  <c r="D139" i="3" s="1"/>
  <c r="N36" i="2"/>
  <c r="I36" i="2"/>
  <c r="G202" i="3"/>
  <c r="G201" i="3" s="1"/>
  <c r="G200" i="3"/>
  <c r="H200" i="3" s="1"/>
  <c r="G199" i="3"/>
  <c r="H199" i="3" s="1"/>
  <c r="G198" i="3"/>
  <c r="H198" i="3" s="1"/>
  <c r="G197" i="3"/>
  <c r="H197" i="3" s="1"/>
  <c r="G196" i="3"/>
  <c r="H196" i="3" s="1"/>
  <c r="G195" i="3"/>
  <c r="H195" i="3" s="1"/>
  <c r="G194" i="3"/>
  <c r="G192" i="3"/>
  <c r="H192" i="3" s="1"/>
  <c r="G191" i="3"/>
  <c r="H191" i="3" s="1"/>
  <c r="G190" i="3"/>
  <c r="H190" i="3" s="1"/>
  <c r="G189" i="3"/>
  <c r="H189" i="3" s="1"/>
  <c r="G188" i="3"/>
  <c r="H188" i="3" s="1"/>
  <c r="G187" i="3"/>
  <c r="H187" i="3" s="1"/>
  <c r="G186" i="3"/>
  <c r="H186" i="3" s="1"/>
  <c r="G185" i="3"/>
  <c r="G183" i="3"/>
  <c r="H183" i="3" s="1"/>
  <c r="G182" i="3"/>
  <c r="H182" i="3" s="1"/>
  <c r="G181" i="3"/>
  <c r="H181" i="3" s="1"/>
  <c r="G180" i="3"/>
  <c r="H180" i="3" s="1"/>
  <c r="G179" i="3"/>
  <c r="H179" i="3" s="1"/>
  <c r="G178" i="3"/>
  <c r="H178" i="3" s="1"/>
  <c r="G177" i="3"/>
  <c r="H177" i="3" s="1"/>
  <c r="G176" i="3"/>
  <c r="H176" i="3" s="1"/>
  <c r="G174" i="3"/>
  <c r="G173" i="3" s="1"/>
  <c r="G172" i="3"/>
  <c r="H172" i="3" s="1"/>
  <c r="G171" i="3"/>
  <c r="H171" i="3" s="1"/>
  <c r="G170" i="3"/>
  <c r="H170" i="3" s="1"/>
  <c r="G169" i="3"/>
  <c r="H169" i="3" s="1"/>
  <c r="G166" i="3"/>
  <c r="H166" i="3" s="1"/>
  <c r="G165" i="3"/>
  <c r="H165" i="3" s="1"/>
  <c r="G164" i="3"/>
  <c r="H164" i="3" s="1"/>
  <c r="G163" i="3"/>
  <c r="H163" i="3" s="1"/>
  <c r="G162" i="3"/>
  <c r="H162" i="3" s="1"/>
  <c r="G161" i="3"/>
  <c r="H161" i="3" s="1"/>
  <c r="G160" i="3"/>
  <c r="H160" i="3" s="1"/>
  <c r="G159" i="3"/>
  <c r="H159" i="3" s="1"/>
  <c r="G158" i="3"/>
  <c r="H158" i="3" s="1"/>
  <c r="G157" i="3"/>
  <c r="H157" i="3" s="1"/>
  <c r="G156" i="3"/>
  <c r="H156" i="3" s="1"/>
  <c r="G155" i="3"/>
  <c r="H155" i="3" s="1"/>
  <c r="G154" i="3"/>
  <c r="H154" i="3" s="1"/>
  <c r="G153" i="3"/>
  <c r="H153" i="3" s="1"/>
  <c r="G152" i="3"/>
  <c r="H152" i="3" s="1"/>
  <c r="G151" i="3"/>
  <c r="H151" i="3" s="1"/>
  <c r="G150" i="3"/>
  <c r="H150" i="3" s="1"/>
  <c r="G149" i="3"/>
  <c r="H149" i="3" s="1"/>
  <c r="G148" i="3"/>
  <c r="H148" i="3" s="1"/>
  <c r="G147" i="3"/>
  <c r="D146" i="3"/>
  <c r="G145" i="3"/>
  <c r="H145" i="3" s="1"/>
  <c r="G144" i="3"/>
  <c r="H144" i="3" s="1"/>
  <c r="G143" i="3"/>
  <c r="H143" i="3" s="1"/>
  <c r="G142" i="3"/>
  <c r="G74" i="3"/>
  <c r="G73" i="3" s="1"/>
  <c r="D73" i="3"/>
  <c r="G72" i="3"/>
  <c r="H72" i="3" s="1"/>
  <c r="G71" i="3"/>
  <c r="H71" i="3" s="1"/>
  <c r="G70" i="3"/>
  <c r="H70" i="3" s="1"/>
  <c r="G69" i="3"/>
  <c r="H69" i="3" s="1"/>
  <c r="G68" i="3"/>
  <c r="H68" i="3" s="1"/>
  <c r="G67" i="3"/>
  <c r="H67" i="3" s="1"/>
  <c r="G66" i="3"/>
  <c r="D65" i="3"/>
  <c r="G64" i="3"/>
  <c r="H64" i="3" s="1"/>
  <c r="G63" i="3"/>
  <c r="H63" i="3" s="1"/>
  <c r="G62" i="3"/>
  <c r="H62" i="3" s="1"/>
  <c r="G61" i="3"/>
  <c r="H61" i="3" s="1"/>
  <c r="G60" i="3"/>
  <c r="H60" i="3" s="1"/>
  <c r="G59" i="3"/>
  <c r="H59" i="3" s="1"/>
  <c r="G58" i="3"/>
  <c r="H58" i="3" s="1"/>
  <c r="G57" i="3"/>
  <c r="D56" i="3"/>
  <c r="G55" i="3"/>
  <c r="H55" i="3" s="1"/>
  <c r="G54" i="3"/>
  <c r="H54" i="3" s="1"/>
  <c r="G53" i="3"/>
  <c r="H53" i="3" s="1"/>
  <c r="G52" i="3"/>
  <c r="H52" i="3" s="1"/>
  <c r="G51" i="3"/>
  <c r="H51" i="3" s="1"/>
  <c r="G50" i="3"/>
  <c r="H50" i="3" s="1"/>
  <c r="G49" i="3"/>
  <c r="H49" i="3" s="1"/>
  <c r="G48" i="3"/>
  <c r="H48" i="3" s="1"/>
  <c r="D47" i="3"/>
  <c r="G46" i="3"/>
  <c r="G45" i="3" s="1"/>
  <c r="D45" i="3"/>
  <c r="G44" i="3"/>
  <c r="H44" i="3" s="1"/>
  <c r="G43" i="3"/>
  <c r="H43" i="3" s="1"/>
  <c r="G42" i="3"/>
  <c r="H42" i="3" s="1"/>
  <c r="G41" i="3"/>
  <c r="G38" i="3"/>
  <c r="H38" i="3" s="1"/>
  <c r="G37" i="3"/>
  <c r="H37" i="3" s="1"/>
  <c r="G36" i="3"/>
  <c r="H36" i="3" s="1"/>
  <c r="G35" i="3"/>
  <c r="H35" i="3" s="1"/>
  <c r="G34" i="3"/>
  <c r="H34" i="3" s="1"/>
  <c r="G33" i="3"/>
  <c r="H33" i="3" s="1"/>
  <c r="G32" i="3"/>
  <c r="H32" i="3" s="1"/>
  <c r="G31" i="3"/>
  <c r="H31" i="3" s="1"/>
  <c r="G30" i="3"/>
  <c r="H30" i="3" s="1"/>
  <c r="G29" i="3"/>
  <c r="H29" i="3" s="1"/>
  <c r="G28" i="3"/>
  <c r="H28" i="3" s="1"/>
  <c r="G27" i="3"/>
  <c r="H27" i="3" s="1"/>
  <c r="G25" i="3"/>
  <c r="H25" i="3" s="1"/>
  <c r="G24" i="3"/>
  <c r="H24" i="3" s="1"/>
  <c r="G23" i="3"/>
  <c r="H23" i="3" s="1"/>
  <c r="G22" i="3"/>
  <c r="H22" i="3" s="1"/>
  <c r="G21" i="3"/>
  <c r="H21" i="3" s="1"/>
  <c r="G20" i="3"/>
  <c r="H20" i="3" s="1"/>
  <c r="G19" i="3"/>
  <c r="G17" i="3"/>
  <c r="H17" i="3" s="1"/>
  <c r="G16" i="3"/>
  <c r="H16" i="3" s="1"/>
  <c r="G15" i="3"/>
  <c r="H15" i="3" s="1"/>
  <c r="G14" i="3"/>
  <c r="J139" i="3" l="1"/>
  <c r="C22" i="16"/>
  <c r="G22" i="16"/>
  <c r="K22" i="16"/>
  <c r="D22" i="16"/>
  <c r="H22" i="16"/>
  <c r="L22" i="16"/>
  <c r="E22" i="16"/>
  <c r="I22" i="16"/>
  <c r="M22" i="16"/>
  <c r="F22" i="16"/>
  <c r="J22" i="16"/>
  <c r="B22" i="16"/>
  <c r="G13" i="3"/>
  <c r="G18" i="3"/>
  <c r="H41" i="3"/>
  <c r="H40" i="3" s="1"/>
  <c r="G40" i="3"/>
  <c r="D39" i="3"/>
  <c r="G193" i="3"/>
  <c r="G141" i="3"/>
  <c r="G168" i="3"/>
  <c r="G175" i="3"/>
  <c r="G146" i="3"/>
  <c r="G56" i="3"/>
  <c r="G65" i="3"/>
  <c r="G184" i="3"/>
  <c r="O36" i="2"/>
  <c r="D142" i="3"/>
  <c r="H142" i="3" s="1"/>
  <c r="H141" i="3" s="1"/>
  <c r="H168" i="3"/>
  <c r="H175" i="3"/>
  <c r="H194" i="3"/>
  <c r="H193" i="3" s="1"/>
  <c r="H147" i="3"/>
  <c r="H146" i="3" s="1"/>
  <c r="H174" i="3"/>
  <c r="H173" i="3" s="1"/>
  <c r="H185" i="3"/>
  <c r="H184" i="3" s="1"/>
  <c r="H202" i="3"/>
  <c r="H201" i="3" s="1"/>
  <c r="H47" i="3"/>
  <c r="G47" i="3"/>
  <c r="H66" i="3"/>
  <c r="H19" i="3"/>
  <c r="H18" i="3" s="1"/>
  <c r="H46" i="3"/>
  <c r="H45" i="3" s="1"/>
  <c r="H57" i="3"/>
  <c r="H56" i="3" s="1"/>
  <c r="H74" i="3"/>
  <c r="H73" i="3" s="1"/>
  <c r="N22" i="16" l="1"/>
  <c r="D141" i="3"/>
  <c r="D140" i="3" s="1"/>
  <c r="D203" i="3" s="1"/>
  <c r="J74" i="3"/>
  <c r="F10" i="2"/>
  <c r="Q36" i="2"/>
  <c r="J202" i="3"/>
  <c r="G167" i="3"/>
  <c r="G12" i="3"/>
  <c r="H140" i="3"/>
  <c r="G140" i="3"/>
  <c r="H65" i="3"/>
  <c r="H39" i="3" s="1"/>
  <c r="H167" i="3"/>
  <c r="G203" i="3" l="1"/>
  <c r="J206" i="3"/>
  <c r="G75" i="3"/>
  <c r="H203" i="3"/>
  <c r="J203" i="3" s="1"/>
  <c r="E204" i="3" l="1"/>
  <c r="F204" i="3"/>
  <c r="G204" i="3"/>
  <c r="J25" i="2" l="1"/>
  <c r="K25" i="2"/>
  <c r="L25" i="2"/>
  <c r="M25" i="2"/>
  <c r="I25" i="2"/>
  <c r="Q17" i="1"/>
  <c r="B17" i="1"/>
  <c r="R11" i="5"/>
  <c r="H11" i="5"/>
  <c r="I11" i="5"/>
  <c r="J11" i="5"/>
  <c r="K11" i="5"/>
  <c r="L11" i="5"/>
  <c r="B11" i="5"/>
  <c r="P24" i="2"/>
  <c r="C11" i="5"/>
  <c r="L13" i="7"/>
  <c r="K13" i="7"/>
  <c r="J13" i="7"/>
  <c r="I13" i="7"/>
  <c r="N13" i="7" s="1"/>
  <c r="M11" i="5" l="1"/>
  <c r="O13" i="7"/>
  <c r="E11" i="5" s="1"/>
  <c r="P13" i="7"/>
  <c r="F11" i="5" s="1"/>
  <c r="Q13" i="7"/>
  <c r="M24" i="2" s="1"/>
  <c r="D17" i="1"/>
  <c r="I17" i="1" s="1"/>
  <c r="U11" i="5"/>
  <c r="I24" i="2"/>
  <c r="T11" i="5"/>
  <c r="S11" i="5"/>
  <c r="C17" i="1"/>
  <c r="H17" i="1" s="1"/>
  <c r="V11" i="5"/>
  <c r="B24" i="7"/>
  <c r="B25" i="7"/>
  <c r="P11" i="5" l="1"/>
  <c r="O11" i="5"/>
  <c r="K24" i="2"/>
  <c r="K26" i="2" s="1"/>
  <c r="E17" i="1"/>
  <c r="J17" i="1" s="1"/>
  <c r="G11" i="5"/>
  <c r="L24" i="2"/>
  <c r="L26" i="2" s="1"/>
  <c r="F17" i="1"/>
  <c r="K17" i="1" s="1"/>
  <c r="G17" i="1"/>
  <c r="L17" i="1" s="1"/>
  <c r="D11" i="5"/>
  <c r="J24" i="2"/>
  <c r="E24" i="2" s="1"/>
  <c r="P26" i="2"/>
  <c r="M26" i="2"/>
  <c r="I26" i="2"/>
  <c r="G25" i="2"/>
  <c r="E25" i="2"/>
  <c r="H24" i="2"/>
  <c r="D24" i="2"/>
  <c r="F24" i="2" l="1"/>
  <c r="N11" i="5"/>
  <c r="Q11" i="5"/>
  <c r="E26" i="2"/>
  <c r="J26" i="2"/>
  <c r="O26" i="2" s="1"/>
  <c r="G24" i="2"/>
  <c r="G26" i="2" s="1"/>
  <c r="F25" i="2"/>
  <c r="D25" i="2"/>
  <c r="D26" i="2" s="1"/>
  <c r="H25" i="2"/>
  <c r="H26" i="2" s="1"/>
  <c r="F26" i="2" l="1"/>
  <c r="N26" i="2" s="1"/>
  <c r="Q26" i="2" s="1"/>
  <c r="I12" i="7" l="1"/>
  <c r="N12" i="7" s="1"/>
  <c r="S17" i="13" l="1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J48" i="13"/>
  <c r="K48" i="13" s="1"/>
  <c r="J47" i="13"/>
  <c r="K47" i="13" s="1"/>
  <c r="J46" i="13"/>
  <c r="K46" i="13" s="1"/>
  <c r="R46" i="13" s="1"/>
  <c r="J45" i="13"/>
  <c r="K45" i="13" s="1"/>
  <c r="J44" i="13"/>
  <c r="K44" i="13" s="1"/>
  <c r="J43" i="13"/>
  <c r="K43" i="13" s="1"/>
  <c r="J42" i="13"/>
  <c r="K42" i="13" s="1"/>
  <c r="R42" i="13" s="1"/>
  <c r="J41" i="13"/>
  <c r="K41" i="13" s="1"/>
  <c r="J53" i="13"/>
  <c r="K53" i="13" s="1"/>
  <c r="R53" i="13" s="1"/>
  <c r="J52" i="13"/>
  <c r="K52" i="13" s="1"/>
  <c r="J51" i="13"/>
  <c r="K51" i="13" s="1"/>
  <c r="J50" i="13"/>
  <c r="K50" i="13" s="1"/>
  <c r="R45" i="13" l="1"/>
  <c r="P45" i="13"/>
  <c r="N45" i="13"/>
  <c r="N48" i="13"/>
  <c r="R48" i="13"/>
  <c r="P48" i="13"/>
  <c r="P43" i="13"/>
  <c r="N43" i="13"/>
  <c r="R43" i="13"/>
  <c r="R41" i="13"/>
  <c r="P41" i="13"/>
  <c r="N41" i="13"/>
  <c r="N44" i="13"/>
  <c r="R44" i="13"/>
  <c r="P44" i="13"/>
  <c r="P47" i="13"/>
  <c r="N47" i="13"/>
  <c r="R47" i="13"/>
  <c r="N42" i="13"/>
  <c r="N46" i="13"/>
  <c r="P42" i="13"/>
  <c r="P46" i="13"/>
  <c r="N51" i="13"/>
  <c r="R51" i="13"/>
  <c r="P51" i="13"/>
  <c r="R52" i="13"/>
  <c r="P52" i="13"/>
  <c r="N52" i="13"/>
  <c r="P50" i="13"/>
  <c r="N50" i="13"/>
  <c r="R50" i="13"/>
  <c r="N53" i="13"/>
  <c r="P53" i="13"/>
  <c r="Q16" i="1"/>
  <c r="R12" i="5"/>
  <c r="R10" i="5"/>
  <c r="H12" i="5"/>
  <c r="I12" i="5"/>
  <c r="J12" i="5"/>
  <c r="K12" i="5"/>
  <c r="L12" i="5"/>
  <c r="J10" i="5"/>
  <c r="K10" i="5"/>
  <c r="L10" i="5"/>
  <c r="W78" i="13"/>
  <c r="W70" i="13"/>
  <c r="W60" i="13"/>
  <c r="W49" i="13"/>
  <c r="W46" i="13"/>
  <c r="W41" i="13"/>
  <c r="W20" i="13"/>
  <c r="W16" i="13"/>
  <c r="J69" i="13"/>
  <c r="K69" i="13" s="1"/>
  <c r="J68" i="13"/>
  <c r="K68" i="13" s="1"/>
  <c r="J67" i="13"/>
  <c r="K67" i="13" s="1"/>
  <c r="J66" i="13"/>
  <c r="K66" i="13" s="1"/>
  <c r="J65" i="13"/>
  <c r="K65" i="13" s="1"/>
  <c r="J61" i="13"/>
  <c r="K61" i="13" s="1"/>
  <c r="J60" i="13"/>
  <c r="K60" i="13" s="1"/>
  <c r="J59" i="13"/>
  <c r="K59" i="13" s="1"/>
  <c r="J58" i="13"/>
  <c r="K58" i="13" s="1"/>
  <c r="J57" i="13"/>
  <c r="K57" i="13" s="1"/>
  <c r="J56" i="13"/>
  <c r="K56" i="13" s="1"/>
  <c r="J55" i="13"/>
  <c r="K55" i="13" s="1"/>
  <c r="J54" i="13"/>
  <c r="K54" i="13" s="1"/>
  <c r="J49" i="13"/>
  <c r="K49" i="13" s="1"/>
  <c r="P49" i="13" s="1"/>
  <c r="J40" i="13"/>
  <c r="K40" i="13" s="1"/>
  <c r="J39" i="13"/>
  <c r="K39" i="13" s="1"/>
  <c r="J38" i="13"/>
  <c r="K38" i="13" s="1"/>
  <c r="R38" i="13" s="1"/>
  <c r="J37" i="13"/>
  <c r="K37" i="13" s="1"/>
  <c r="J36" i="13"/>
  <c r="K36" i="13" s="1"/>
  <c r="J35" i="13"/>
  <c r="K35" i="13" s="1"/>
  <c r="J34" i="13"/>
  <c r="K34" i="13" s="1"/>
  <c r="J33" i="13"/>
  <c r="K33" i="13" s="1"/>
  <c r="J32" i="13"/>
  <c r="K32" i="13" s="1"/>
  <c r="J31" i="13"/>
  <c r="K31" i="13" s="1"/>
  <c r="J30" i="13"/>
  <c r="K30" i="13" s="1"/>
  <c r="J29" i="13"/>
  <c r="K29" i="13" s="1"/>
  <c r="J28" i="13"/>
  <c r="K28" i="13" s="1"/>
  <c r="J27" i="13"/>
  <c r="K27" i="13" s="1"/>
  <c r="J26" i="13"/>
  <c r="K26" i="13" s="1"/>
  <c r="J25" i="13"/>
  <c r="K25" i="13" s="1"/>
  <c r="J24" i="13"/>
  <c r="K24" i="13" s="1"/>
  <c r="J23" i="13"/>
  <c r="K23" i="13" s="1"/>
  <c r="J22" i="13"/>
  <c r="K22" i="13" s="1"/>
  <c r="J21" i="13"/>
  <c r="K21" i="13" s="1"/>
  <c r="J20" i="13"/>
  <c r="K20" i="13" s="1"/>
  <c r="J19" i="13"/>
  <c r="K19" i="13" s="1"/>
  <c r="J18" i="13"/>
  <c r="K18" i="13" s="1"/>
  <c r="J17" i="13"/>
  <c r="K17" i="13" s="1"/>
  <c r="J16" i="13"/>
  <c r="K16" i="13" s="1"/>
  <c r="E4" i="13"/>
  <c r="K70" i="13" l="1"/>
  <c r="K62" i="13"/>
  <c r="N15" i="13"/>
  <c r="W40" i="13"/>
  <c r="P15" i="13"/>
  <c r="W15" i="13"/>
  <c r="R34" i="13"/>
  <c r="P60" i="13"/>
  <c r="P61" i="13"/>
  <c r="N57" i="13"/>
  <c r="R61" i="13"/>
  <c r="P57" i="13"/>
  <c r="P56" i="13"/>
  <c r="N56" i="13"/>
  <c r="N28" i="13"/>
  <c r="P28" i="13"/>
  <c r="R19" i="13"/>
  <c r="P22" i="13"/>
  <c r="N25" i="13"/>
  <c r="N29" i="13"/>
  <c r="N37" i="13"/>
  <c r="R22" i="13"/>
  <c r="P25" i="13"/>
  <c r="P29" i="13"/>
  <c r="R33" i="13"/>
  <c r="R37" i="13"/>
  <c r="R57" i="13"/>
  <c r="R29" i="13"/>
  <c r="R15" i="13"/>
  <c r="R17" i="13"/>
  <c r="P17" i="13"/>
  <c r="N17" i="13"/>
  <c r="N18" i="13"/>
  <c r="P18" i="13"/>
  <c r="P55" i="13"/>
  <c r="N55" i="13"/>
  <c r="R55" i="13"/>
  <c r="R16" i="13"/>
  <c r="P16" i="13"/>
  <c r="N16" i="13"/>
  <c r="R18" i="13"/>
  <c r="P21" i="13"/>
  <c r="R21" i="13"/>
  <c r="N21" i="13"/>
  <c r="N26" i="13"/>
  <c r="P26" i="13"/>
  <c r="R26" i="13"/>
  <c r="N30" i="13"/>
  <c r="R30" i="13"/>
  <c r="P30" i="13"/>
  <c r="P31" i="13"/>
  <c r="R31" i="13"/>
  <c r="N31" i="13"/>
  <c r="P39" i="13"/>
  <c r="R39" i="13"/>
  <c r="N39" i="13"/>
  <c r="R40" i="13"/>
  <c r="P40" i="13"/>
  <c r="N40" i="13"/>
  <c r="N54" i="13"/>
  <c r="P54" i="13"/>
  <c r="R32" i="13"/>
  <c r="N32" i="13"/>
  <c r="P32" i="13"/>
  <c r="R54" i="13"/>
  <c r="P59" i="13"/>
  <c r="R59" i="13"/>
  <c r="N59" i="13"/>
  <c r="P27" i="13"/>
  <c r="N27" i="13"/>
  <c r="R27" i="13"/>
  <c r="R36" i="13"/>
  <c r="P36" i="13"/>
  <c r="N36" i="13"/>
  <c r="N58" i="13"/>
  <c r="R58" i="13"/>
  <c r="P58" i="13"/>
  <c r="R20" i="13"/>
  <c r="P20" i="13"/>
  <c r="P23" i="13"/>
  <c r="R24" i="13"/>
  <c r="P35" i="13"/>
  <c r="P19" i="13"/>
  <c r="N20" i="13"/>
  <c r="N23" i="13"/>
  <c r="N24" i="13"/>
  <c r="N33" i="13"/>
  <c r="N34" i="13"/>
  <c r="N35" i="13"/>
  <c r="N38" i="13"/>
  <c r="R49" i="13"/>
  <c r="N19" i="13"/>
  <c r="N22" i="13"/>
  <c r="R23" i="13"/>
  <c r="P24" i="13"/>
  <c r="R25" i="13"/>
  <c r="P33" i="13"/>
  <c r="P34" i="13"/>
  <c r="R35" i="13"/>
  <c r="P37" i="13"/>
  <c r="P38" i="13"/>
  <c r="N49" i="13"/>
  <c r="R60" i="13"/>
  <c r="R28" i="13"/>
  <c r="R56" i="13"/>
  <c r="N60" i="13"/>
  <c r="N61" i="13"/>
  <c r="I22" i="2"/>
  <c r="R62" i="13" l="1"/>
  <c r="P62" i="13"/>
  <c r="N62" i="13"/>
  <c r="W80" i="13"/>
  <c r="AD15" i="13" l="1"/>
  <c r="AK15" i="13" s="1"/>
  <c r="AL15" i="13" s="1"/>
  <c r="AE15" i="13"/>
  <c r="AB15" i="13"/>
  <c r="AI15" i="13" s="1"/>
  <c r="AJ15" i="13" s="1"/>
  <c r="AC15" i="13"/>
  <c r="Z15" i="13"/>
  <c r="AG15" i="13" s="1"/>
  <c r="AH15" i="13" s="1"/>
  <c r="AA15" i="13"/>
  <c r="I21" i="2"/>
  <c r="AP15" i="13" l="1"/>
  <c r="AN15" i="13"/>
  <c r="AR15" i="13"/>
  <c r="C12" i="5"/>
  <c r="C18" i="1"/>
  <c r="D16" i="1"/>
  <c r="I16" i="1" s="1"/>
  <c r="S10" i="5"/>
  <c r="L14" i="7"/>
  <c r="Q14" i="7" s="1"/>
  <c r="K14" i="7"/>
  <c r="P14" i="7" s="1"/>
  <c r="J14" i="7"/>
  <c r="O14" i="7" s="1"/>
  <c r="I14" i="7"/>
  <c r="N14" i="7" s="1"/>
  <c r="L12" i="7"/>
  <c r="Q12" i="7" s="1"/>
  <c r="K12" i="7"/>
  <c r="P12" i="7" s="1"/>
  <c r="M12" i="5" l="1"/>
  <c r="F16" i="1"/>
  <c r="K16" i="1" s="1"/>
  <c r="U10" i="5"/>
  <c r="G16" i="1"/>
  <c r="L16" i="1" s="1"/>
  <c r="V10" i="5"/>
  <c r="U12" i="5"/>
  <c r="V12" i="5"/>
  <c r="S12" i="5"/>
  <c r="T12" i="5"/>
  <c r="P21" i="2"/>
  <c r="E12" i="5" l="1"/>
  <c r="E18" i="1"/>
  <c r="G12" i="5"/>
  <c r="G18" i="1"/>
  <c r="D12" i="5"/>
  <c r="D18" i="1"/>
  <c r="F12" i="5"/>
  <c r="F18" i="1"/>
  <c r="L21" i="2"/>
  <c r="P27" i="2"/>
  <c r="P29" i="2" s="1"/>
  <c r="P12" i="5" l="1"/>
  <c r="Q12" i="5"/>
  <c r="N12" i="5"/>
  <c r="O12" i="5"/>
  <c r="P23" i="2"/>
  <c r="P30" i="2" s="1"/>
  <c r="K28" i="2" l="1"/>
  <c r="F28" i="2" s="1"/>
  <c r="K22" i="2"/>
  <c r="F22" i="2" s="1"/>
  <c r="J12" i="7"/>
  <c r="O12" i="7" s="1"/>
  <c r="P41" i="2" l="1"/>
  <c r="B9" i="16"/>
  <c r="T10" i="5"/>
  <c r="K21" i="2"/>
  <c r="E16" i="1" l="1"/>
  <c r="J16" i="1" s="1"/>
  <c r="E10" i="5"/>
  <c r="F21" i="2"/>
  <c r="F23" i="2" s="1"/>
  <c r="K23" i="2"/>
  <c r="O10" i="5" l="1"/>
  <c r="K27" i="2"/>
  <c r="D9" i="2"/>
  <c r="D12" i="2" s="1"/>
  <c r="F27" i="2" l="1"/>
  <c r="F29" i="2" s="1"/>
  <c r="K29" i="2"/>
  <c r="E4" i="12"/>
  <c r="B11" i="12"/>
  <c r="K30" i="2" l="1"/>
  <c r="F30" i="2"/>
  <c r="D14" i="3"/>
  <c r="C16" i="1" l="1"/>
  <c r="H16" i="1" s="1"/>
  <c r="D13" i="3" l="1"/>
  <c r="D12" i="3" s="1"/>
  <c r="H14" i="3"/>
  <c r="H13" i="3" s="1"/>
  <c r="H12" i="3" s="1"/>
  <c r="H75" i="3" s="1"/>
  <c r="J28" i="2"/>
  <c r="E28" i="2" s="1"/>
  <c r="L28" i="2"/>
  <c r="M28" i="2"/>
  <c r="I28" i="2"/>
  <c r="I27" i="2"/>
  <c r="D27" i="2" s="1"/>
  <c r="J22" i="2"/>
  <c r="E22" i="2" s="1"/>
  <c r="L22" i="2"/>
  <c r="G22" i="2" s="1"/>
  <c r="M22" i="2"/>
  <c r="D22" i="2"/>
  <c r="B27" i="2"/>
  <c r="B21" i="2"/>
  <c r="I10" i="5"/>
  <c r="H10" i="5"/>
  <c r="B12" i="5"/>
  <c r="B18" i="1"/>
  <c r="B16" i="1"/>
  <c r="M27" i="2"/>
  <c r="H27" i="2" s="1"/>
  <c r="M21" i="2"/>
  <c r="H21" i="2" s="1"/>
  <c r="D21" i="2"/>
  <c r="A16" i="1"/>
  <c r="C8" i="2"/>
  <c r="B8" i="2"/>
  <c r="E11" i="16" l="1"/>
  <c r="I11" i="16"/>
  <c r="M11" i="16"/>
  <c r="H11" i="16"/>
  <c r="F11" i="16"/>
  <c r="J11" i="16"/>
  <c r="D11" i="16"/>
  <c r="G11" i="16"/>
  <c r="K11" i="16"/>
  <c r="C11" i="16"/>
  <c r="L11" i="16"/>
  <c r="B11" i="16"/>
  <c r="B12" i="16" s="1"/>
  <c r="J75" i="3"/>
  <c r="J207" i="3" s="1"/>
  <c r="H204" i="3"/>
  <c r="D23" i="2"/>
  <c r="H22" i="2"/>
  <c r="M23" i="2"/>
  <c r="D28" i="2"/>
  <c r="I29" i="2"/>
  <c r="H28" i="2"/>
  <c r="M29" i="2"/>
  <c r="G28" i="2"/>
  <c r="I23" i="2"/>
  <c r="G21" i="2"/>
  <c r="L23" i="2"/>
  <c r="L27" i="2"/>
  <c r="L29" i="2" s="1"/>
  <c r="F10" i="5"/>
  <c r="C10" i="5"/>
  <c r="G10" i="5"/>
  <c r="P10" i="5" l="1"/>
  <c r="M10" i="5"/>
  <c r="Q10" i="5"/>
  <c r="I30" i="2"/>
  <c r="L30" i="2"/>
  <c r="M30" i="2"/>
  <c r="N11" i="16"/>
  <c r="G27" i="2"/>
  <c r="J4" i="9" l="1"/>
  <c r="Q18" i="1" l="1"/>
  <c r="H18" i="1" l="1"/>
  <c r="I18" i="1"/>
  <c r="J18" i="1"/>
  <c r="K18" i="1"/>
  <c r="L18" i="1"/>
  <c r="G4" i="5"/>
  <c r="D4" i="1"/>
  <c r="B10" i="5" l="1"/>
  <c r="A10" i="5"/>
  <c r="A21" i="2" l="1"/>
  <c r="A8" i="16" s="1"/>
  <c r="A9" i="2"/>
  <c r="A12" i="3"/>
  <c r="A9" i="5" l="1"/>
  <c r="B9" i="5"/>
  <c r="G23" i="2" l="1"/>
  <c r="H23" i="2"/>
  <c r="G29" i="2"/>
  <c r="D29" i="2"/>
  <c r="D30" i="2" s="1"/>
  <c r="H29" i="2"/>
  <c r="H30" i="2" l="1"/>
  <c r="G30" i="2"/>
  <c r="D41" i="2"/>
  <c r="F9" i="2" l="1"/>
  <c r="F12" i="2" l="1"/>
  <c r="J27" i="2"/>
  <c r="G10" i="2" l="1"/>
  <c r="G9" i="2"/>
  <c r="J29" i="2"/>
  <c r="E27" i="2"/>
  <c r="E29" i="2" s="1"/>
  <c r="H10" i="2" l="1"/>
  <c r="H9" i="2"/>
  <c r="G12" i="2"/>
  <c r="N29" i="2"/>
  <c r="O29" i="2"/>
  <c r="H12" i="2" l="1"/>
  <c r="L11" i="2"/>
  <c r="L10" i="2"/>
  <c r="L9" i="2"/>
  <c r="Q29" i="2"/>
  <c r="L12" i="2" l="1"/>
  <c r="D10" i="5"/>
  <c r="J21" i="2"/>
  <c r="J23" i="2" s="1"/>
  <c r="N10" i="5" l="1"/>
  <c r="J30" i="2"/>
  <c r="E21" i="2"/>
  <c r="E23" i="2" s="1"/>
  <c r="O23" i="2"/>
  <c r="E30" i="2" l="1"/>
  <c r="O30" i="2"/>
  <c r="N23" i="2"/>
  <c r="N30" i="2" s="1"/>
  <c r="F9" i="16" l="1"/>
  <c r="F12" i="16" s="1"/>
  <c r="J9" i="16"/>
  <c r="J12" i="16" s="1"/>
  <c r="E9" i="16"/>
  <c r="E12" i="16" s="1"/>
  <c r="G9" i="16"/>
  <c r="G12" i="16" s="1"/>
  <c r="K9" i="16"/>
  <c r="K12" i="16" s="1"/>
  <c r="H9" i="16"/>
  <c r="H12" i="16" s="1"/>
  <c r="L9" i="16"/>
  <c r="L12" i="16" s="1"/>
  <c r="I9" i="16"/>
  <c r="I12" i="16" s="1"/>
  <c r="M9" i="16"/>
  <c r="M12" i="16" s="1"/>
  <c r="C9" i="16"/>
  <c r="C12" i="16" s="1"/>
  <c r="D9" i="16"/>
  <c r="D12" i="16" s="1"/>
  <c r="C9" i="2"/>
  <c r="Q23" i="2"/>
  <c r="Q30" i="2" s="1"/>
  <c r="N9" i="16" l="1"/>
  <c r="N12" i="16" s="1"/>
  <c r="B9" i="2"/>
  <c r="E9" i="2" l="1"/>
  <c r="I9" i="2" l="1"/>
  <c r="D75" i="3"/>
  <c r="D204" i="3" s="1"/>
  <c r="M15" i="7" l="1"/>
  <c r="R13" i="5"/>
  <c r="I15" i="7"/>
  <c r="J15" i="7"/>
  <c r="K15" i="7"/>
  <c r="L15" i="7"/>
  <c r="M17" i="7"/>
  <c r="R15" i="5"/>
  <c r="I17" i="7"/>
  <c r="J17" i="7"/>
  <c r="K17" i="7"/>
  <c r="L17" i="7"/>
  <c r="Q17" i="7" l="1"/>
  <c r="V15" i="5"/>
  <c r="T13" i="5"/>
  <c r="O15" i="7"/>
  <c r="P17" i="7"/>
  <c r="U15" i="5"/>
  <c r="C15" i="5"/>
  <c r="M15" i="5" s="1"/>
  <c r="C21" i="1"/>
  <c r="H21" i="1" s="1"/>
  <c r="I37" i="2"/>
  <c r="I39" i="2" s="1"/>
  <c r="N15" i="7"/>
  <c r="S13" i="5"/>
  <c r="T15" i="5"/>
  <c r="O17" i="7"/>
  <c r="Q15" i="7"/>
  <c r="V13" i="5"/>
  <c r="N17" i="7"/>
  <c r="S15" i="5"/>
  <c r="P15" i="7"/>
  <c r="U13" i="5"/>
  <c r="C13" i="5"/>
  <c r="M13" i="5" s="1"/>
  <c r="I31" i="2"/>
  <c r="I33" i="2" s="1"/>
  <c r="D15" i="5" l="1"/>
  <c r="N15" i="5" s="1"/>
  <c r="D21" i="1"/>
  <c r="I21" i="1" s="1"/>
  <c r="J37" i="2"/>
  <c r="E13" i="5"/>
  <c r="O13" i="5" s="1"/>
  <c r="E19" i="1"/>
  <c r="J19" i="1" s="1"/>
  <c r="K31" i="2"/>
  <c r="F19" i="1"/>
  <c r="K19" i="1" s="1"/>
  <c r="F13" i="5"/>
  <c r="P13" i="5" s="1"/>
  <c r="L31" i="2"/>
  <c r="G19" i="1"/>
  <c r="L19" i="1" s="1"/>
  <c r="G13" i="5"/>
  <c r="Q13" i="5" s="1"/>
  <c r="M31" i="2"/>
  <c r="D13" i="5"/>
  <c r="N13" i="5" s="1"/>
  <c r="D19" i="1"/>
  <c r="I19" i="1" s="1"/>
  <c r="J31" i="2"/>
  <c r="I40" i="2"/>
  <c r="I41" i="2" s="1"/>
  <c r="E21" i="1"/>
  <c r="J21" i="1" s="1"/>
  <c r="E15" i="5"/>
  <c r="O15" i="5" s="1"/>
  <c r="K37" i="2"/>
  <c r="F21" i="1"/>
  <c r="K21" i="1" s="1"/>
  <c r="F15" i="5"/>
  <c r="P15" i="5" s="1"/>
  <c r="L37" i="2"/>
  <c r="G21" i="1"/>
  <c r="L21" i="1" s="1"/>
  <c r="G15" i="5"/>
  <c r="Q15" i="5" s="1"/>
  <c r="M37" i="2"/>
  <c r="G37" i="2" l="1"/>
  <c r="G39" i="2" s="1"/>
  <c r="L39" i="2"/>
  <c r="F37" i="2"/>
  <c r="F39" i="2" s="1"/>
  <c r="K39" i="2"/>
  <c r="M33" i="2"/>
  <c r="H31" i="2"/>
  <c r="H33" i="2" s="1"/>
  <c r="M39" i="2"/>
  <c r="H37" i="2"/>
  <c r="H39" i="2" s="1"/>
  <c r="J33" i="2"/>
  <c r="E31" i="2"/>
  <c r="E33" i="2" s="1"/>
  <c r="J39" i="2"/>
  <c r="E37" i="2"/>
  <c r="E39" i="2" s="1"/>
  <c r="F31" i="2"/>
  <c r="F33" i="2" s="1"/>
  <c r="K33" i="2"/>
  <c r="L33" i="2"/>
  <c r="L40" i="2" s="1"/>
  <c r="L41" i="2" s="1"/>
  <c r="G31" i="2"/>
  <c r="G33" i="2" s="1"/>
  <c r="G40" i="2" s="1"/>
  <c r="G41" i="2" s="1"/>
  <c r="N39" i="2" l="1"/>
  <c r="O39" i="2"/>
  <c r="K40" i="2"/>
  <c r="K41" i="2" s="1"/>
  <c r="E40" i="2"/>
  <c r="E41" i="2" s="1"/>
  <c r="N33" i="2"/>
  <c r="H40" i="2"/>
  <c r="H41" i="2" s="1"/>
  <c r="F40" i="2"/>
  <c r="F41" i="2" s="1"/>
  <c r="J40" i="2"/>
  <c r="J41" i="2" s="1"/>
  <c r="O33" i="2"/>
  <c r="M40" i="2"/>
  <c r="M41" i="2" s="1"/>
  <c r="O40" i="2" l="1"/>
  <c r="O41" i="2" s="1"/>
  <c r="C10" i="2"/>
  <c r="C12" i="2" s="1"/>
  <c r="N40" i="2"/>
  <c r="Q33" i="2"/>
  <c r="Q40" i="2" s="1"/>
  <c r="Q41" i="2" s="1"/>
  <c r="B10" i="2"/>
  <c r="Q39" i="2"/>
  <c r="D20" i="16" l="1"/>
  <c r="D23" i="16" s="1"/>
  <c r="I20" i="16"/>
  <c r="I23" i="16" s="1"/>
  <c r="B20" i="16"/>
  <c r="H20" i="16"/>
  <c r="H23" i="16" s="1"/>
  <c r="M20" i="16"/>
  <c r="M23" i="16" s="1"/>
  <c r="C20" i="16"/>
  <c r="C23" i="16" s="1"/>
  <c r="L20" i="16"/>
  <c r="L23" i="16" s="1"/>
  <c r="F20" i="16"/>
  <c r="F23" i="16" s="1"/>
  <c r="G20" i="16"/>
  <c r="G23" i="16" s="1"/>
  <c r="E20" i="16"/>
  <c r="E23" i="16" s="1"/>
  <c r="J20" i="16"/>
  <c r="J23" i="16" s="1"/>
  <c r="K20" i="16"/>
  <c r="K23" i="16" s="1"/>
  <c r="N41" i="2"/>
  <c r="E10" i="2"/>
  <c r="B12" i="2"/>
  <c r="B23" i="16" l="1"/>
  <c r="N20" i="16"/>
  <c r="N23" i="16" s="1"/>
  <c r="I10" i="2"/>
  <c r="I12" i="2" s="1"/>
  <c r="E1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J20" authorId="0" shapeId="0" xr:uid="{00000000-0006-0000-0900-000001000000}">
      <text>
        <r>
          <rPr>
            <b/>
            <sz val="8"/>
            <color indexed="8"/>
            <rFont val="Tahoma"/>
            <family val="2"/>
          </rPr>
          <t xml:space="preserve">PC:
</t>
        </r>
        <r>
          <rPr>
            <sz val="8"/>
            <color indexed="8"/>
            <rFont val="Tahoma"/>
            <family val="2"/>
          </rPr>
          <t>Nivel 1: Mantención
Nivel 2: reparación.
Nivel 3: construcción.</t>
        </r>
      </text>
    </comment>
  </commentList>
</comments>
</file>

<file path=xl/sharedStrings.xml><?xml version="1.0" encoding="utf-8"?>
<sst xmlns="http://schemas.openxmlformats.org/spreadsheetml/2006/main" count="886" uniqueCount="385">
  <si>
    <t>REPARTICION:</t>
  </si>
  <si>
    <t xml:space="preserve">TOTAL </t>
  </si>
  <si>
    <t>Cálculo Ingreso</t>
  </si>
  <si>
    <t>Ocupación / Cargo</t>
  </si>
  <si>
    <t>Reajuste</t>
  </si>
  <si>
    <t>Prestación</t>
  </si>
  <si>
    <t>Total</t>
  </si>
  <si>
    <t>Meta Ocupación</t>
  </si>
  <si>
    <t>Total Prestaciones</t>
  </si>
  <si>
    <t>Ingreso anual</t>
  </si>
  <si>
    <t>Ingreso total anual</t>
  </si>
  <si>
    <t>COSTOS DE OPERACIÓN</t>
  </si>
  <si>
    <t>REMUNERACIONES DIRECTAS</t>
  </si>
  <si>
    <t>SUPLENCIAS Y REEMPLAZOS</t>
  </si>
  <si>
    <t>PERSONAL A TRATO Y TEMPORAL</t>
  </si>
  <si>
    <t>OTRAS REMUNERACIONES</t>
  </si>
  <si>
    <t>GASTO DE OPERACIÓN</t>
  </si>
  <si>
    <t>ALIMENTOS Y BEBIDAS</t>
  </si>
  <si>
    <t>TEXTILES Y ACABADOS TEXTILES</t>
  </si>
  <si>
    <t>COMBUSTIBLE LUBRIC P.VEHICULOS</t>
  </si>
  <si>
    <t>PARA CALEFACCION</t>
  </si>
  <si>
    <t>PRODUCTOS QUIMICOS</t>
  </si>
  <si>
    <t>MAT.P/MATEN.Y REPARACION</t>
  </si>
  <si>
    <t>EQUIPOS MENORES</t>
  </si>
  <si>
    <t>ELECTRICIDAD</t>
  </si>
  <si>
    <t>AGUA</t>
  </si>
  <si>
    <t>GAS</t>
  </si>
  <si>
    <t>TELEFONIA FIJA</t>
  </si>
  <si>
    <t>TELEFONIA CELULAR</t>
  </si>
  <si>
    <t>ACCESO A INTERNET</t>
  </si>
  <si>
    <t>SERVICIOS DE ASEO</t>
  </si>
  <si>
    <t>PASAJES, FLETES Y BODEGAJE</t>
  </si>
  <si>
    <t>SERVICIOS INFORMATICOS</t>
  </si>
  <si>
    <t>MAQUINAS Y EQUIPOS DE OFICINA</t>
  </si>
  <si>
    <t>GASTOS DE ADMINISTRACIÓN Y VENTAS</t>
  </si>
  <si>
    <t>GASTO EN PERSONAL</t>
  </si>
  <si>
    <t>% tiempo</t>
  </si>
  <si>
    <t>$ Costo</t>
  </si>
  <si>
    <t>VIATICOS PERSONAL COD.TRABAJO</t>
  </si>
  <si>
    <t>VESTUARIO ACC.Y PRENDAS DIVERS</t>
  </si>
  <si>
    <t>CALZADO</t>
  </si>
  <si>
    <t>CURSOS DE CAPACITACION</t>
  </si>
  <si>
    <t>CONSUMOS BÁSICOS</t>
  </si>
  <si>
    <t>ENLACES DE TELECOMUNICACIONES</t>
  </si>
  <si>
    <t>OTROS SERVICIOS BASICOS</t>
  </si>
  <si>
    <t>BIENES DE CONSUMO</t>
  </si>
  <si>
    <t>COMB.LUBR.DIRECTOS-INDIRECTOS</t>
  </si>
  <si>
    <t>MATERIALES DE OFICINA</t>
  </si>
  <si>
    <t>PROD.QUIMIC,FARMACEUTICOS IND.</t>
  </si>
  <si>
    <t>FERT.INSECT.FUNG.Y OTROS</t>
  </si>
  <si>
    <t>MAT.Y UTILES DE ASEO</t>
  </si>
  <si>
    <t>MENAJE OFICINA CASINO Y OTROS</t>
  </si>
  <si>
    <t>MOBILIARIO Y OTROS</t>
  </si>
  <si>
    <t>COSTO SERVICIO DESAYUNO</t>
  </si>
  <si>
    <t>COSTOS DE TEXT. VEST,O PRENDAS</t>
  </si>
  <si>
    <t>SERVICIOS GENERALES</t>
  </si>
  <si>
    <t>SERVICIO DE PUBLICIDAD</t>
  </si>
  <si>
    <t>SERVICIO DE IMPRESION</t>
  </si>
  <si>
    <t>SERVICIOS DE VIGILANCIA</t>
  </si>
  <si>
    <t>OTROS SERVICIOS GENERALES</t>
  </si>
  <si>
    <t>ARRIENDO DE TERRENOS</t>
  </si>
  <si>
    <t>ARRIENDO DE MOBILIARIO Y OTROS</t>
  </si>
  <si>
    <t>ARRIENDO DE MAQUINAS Y EQUIPOS</t>
  </si>
  <si>
    <t>OTROS ARRIENDOS</t>
  </si>
  <si>
    <t>SEGURO INMUEBLES</t>
  </si>
  <si>
    <t>MANTENCIÓN Y REPARACIÓN</t>
  </si>
  <si>
    <t>OTROS GASTOS</t>
  </si>
  <si>
    <t>Costo Unitario Promedio</t>
  </si>
  <si>
    <t>Cantidad</t>
  </si>
  <si>
    <t>ASISTENCIA RECREATIVA</t>
  </si>
  <si>
    <t>ASISTENCIA EDUCACIONAL</t>
  </si>
  <si>
    <t>ASISTENCIA COMERCIAL</t>
  </si>
  <si>
    <t>Institución</t>
  </si>
  <si>
    <t>Nombre</t>
  </si>
  <si>
    <t>Apellido</t>
  </si>
  <si>
    <t>Número de Cuenta</t>
  </si>
  <si>
    <t>ítem de Gasto (según Plan de Cuenta Institucional)</t>
  </si>
  <si>
    <t>Costos Fijos</t>
  </si>
  <si>
    <t>Costos Variables</t>
  </si>
  <si>
    <t>Costos Directos</t>
  </si>
  <si>
    <t>Costos Indirectos</t>
  </si>
  <si>
    <t>Centro de Costo</t>
  </si>
  <si>
    <t>Ingresos Totales</t>
  </si>
  <si>
    <t>ÍNDICE DE TABLAS</t>
  </si>
  <si>
    <t>Mensualidad</t>
  </si>
  <si>
    <t>Personal Servicio Activo Armada y otras FFAA</t>
  </si>
  <si>
    <t>En retiro</t>
  </si>
  <si>
    <t>Casos Especiales</t>
  </si>
  <si>
    <t>Ingreso por Matrícula</t>
  </si>
  <si>
    <t>Ingreso por Mensualidad</t>
  </si>
  <si>
    <t>Departamento de Informática</t>
  </si>
  <si>
    <t>Departamento de RR.HH.</t>
  </si>
  <si>
    <t>Departamento de Finanzas y Abastecimiento</t>
  </si>
  <si>
    <t>TOTAL GENERAL</t>
  </si>
  <si>
    <t>REMUNERACIONES TOTALES CÓDIGO DEL TRABAJO</t>
  </si>
  <si>
    <t>OTROS MATERIALES DE USO CONSUMO</t>
  </si>
  <si>
    <t>OTROS GASTOS IMPREVISTOS</t>
  </si>
  <si>
    <t>GASTOS MENORES (FOFI)</t>
  </si>
  <si>
    <t>MANT.Y REPAR. MOBILIARIO Y OTROS</t>
  </si>
  <si>
    <t>MANT.Y REPAR. DE EQUIPOS OFICINA</t>
  </si>
  <si>
    <t>MANT.Y REPAR. OTRAS MAQ. Y EQUIP.</t>
  </si>
  <si>
    <t>MANT.Y REPAR. EQUIPOS INFORMATICOS</t>
  </si>
  <si>
    <t>OTROS MANTEN. Y REPAR. MENORES</t>
  </si>
  <si>
    <t>SERVICIO DE MANTENCION JARDINES</t>
  </si>
  <si>
    <t>COSTO DIRECTO TOTAL</t>
  </si>
  <si>
    <t>Total Anual</t>
  </si>
  <si>
    <t>Costos Totales</t>
  </si>
  <si>
    <t>Reajuste propuesto</t>
  </si>
  <si>
    <t>COMPARACIÓN 1</t>
  </si>
  <si>
    <t>COMPARACIÓN 2</t>
  </si>
  <si>
    <t>% Distribución Costo Indirecto</t>
  </si>
  <si>
    <t>Excedentes</t>
  </si>
  <si>
    <t>Centro de Beneficio</t>
  </si>
  <si>
    <t>Total Bonos anual</t>
  </si>
  <si>
    <t>Total Aguinaldos anual</t>
  </si>
  <si>
    <t>Unidades de Apoyo Administrativo</t>
  </si>
  <si>
    <t>ADM. CENTRAL</t>
  </si>
  <si>
    <t>Otros</t>
  </si>
  <si>
    <t>APOYO ADM.</t>
  </si>
  <si>
    <t>Asistencia Educacional</t>
  </si>
  <si>
    <t xml:space="preserve">En esta hoja deberá incorporar toda la información, tablas y cálculos complementarios que permitan explicar y justificar sus proyecciones de ingresos y egresos, de acuerdo a los datos incorporados en las hojas anteriores.
</t>
  </si>
  <si>
    <t>(DEPTO./DELEG.)</t>
  </si>
  <si>
    <t>Reajuste en pesos ($)</t>
  </si>
  <si>
    <t>Reajuste en porcentaje (%)</t>
  </si>
  <si>
    <t>Ingreso por Escuela de Verano</t>
  </si>
  <si>
    <t>Media jornada</t>
  </si>
  <si>
    <r>
      <t xml:space="preserve">Con el objeto de medir comparativamente el bienestar otorgado al personal de la Armada, es necesario recabar antecedentes comparativos que permitan cuantificar las alternativas de precios que ofrece el mercado </t>
    </r>
    <r>
      <rPr>
        <b/>
        <u/>
        <sz val="10"/>
        <rFont val="Arial"/>
        <family val="2"/>
      </rPr>
      <t>dentro de la misma comuna en la que se encuentran los Jardines Infantiles (J.I.) y Salas Cunas (S.C.)</t>
    </r>
    <r>
      <rPr>
        <sz val="10"/>
        <rFont val="Arial"/>
        <family val="2"/>
      </rPr>
      <t xml:space="preserve"> de su Repartición. Este cuadro comparativo debe ser completado con, </t>
    </r>
    <r>
      <rPr>
        <b/>
        <u/>
        <sz val="10"/>
        <rFont val="Arial"/>
        <family val="2"/>
      </rPr>
      <t>A LO MENOS</t>
    </r>
    <r>
      <rPr>
        <sz val="10"/>
        <rFont val="Arial"/>
        <family val="2"/>
      </rPr>
      <t xml:space="preserve">, dos instituciones públicas o privadas </t>
    </r>
    <r>
      <rPr>
        <b/>
        <u/>
        <sz val="10"/>
        <rFont val="Arial"/>
        <family val="2"/>
      </rPr>
      <t>puedan considerarse como las principales competencias directas</t>
    </r>
    <r>
      <rPr>
        <sz val="10"/>
        <rFont val="Arial"/>
        <family val="2"/>
      </rPr>
      <t xml:space="preserve"> y que otorguen </t>
    </r>
    <r>
      <rPr>
        <b/>
        <u/>
        <sz val="10"/>
        <rFont val="Arial"/>
        <family val="2"/>
      </rPr>
      <t>prestaciones de calidad igual o similar</t>
    </r>
    <r>
      <rPr>
        <sz val="10"/>
        <rFont val="Arial"/>
        <family val="2"/>
      </rPr>
      <t xml:space="preserve"> a las brindadas por las instalaciones de este Departamento/Delegación.</t>
    </r>
  </si>
  <si>
    <t>Precio promedio mercado (ppm)</t>
  </si>
  <si>
    <t>N.N.</t>
  </si>
  <si>
    <t>SERVICIO DE SUSCRIPCION</t>
  </si>
  <si>
    <t>EQUIPOS COMPUTACIONALES</t>
  </si>
  <si>
    <t>Total Meta Ocupación</t>
  </si>
  <si>
    <t>Jardines Infantiles</t>
  </si>
  <si>
    <t>Ej: Encargado Informática</t>
  </si>
  <si>
    <t>Ej: Encargado RR.HH.</t>
  </si>
  <si>
    <t>PDI</t>
  </si>
  <si>
    <t>GENDARMERIA</t>
  </si>
  <si>
    <t>ÁREA APOYO A. EDUCACIONAL</t>
  </si>
  <si>
    <t>ADMINISTRACIÓN CENTRAL</t>
  </si>
  <si>
    <t>COSTO  TOTAL</t>
  </si>
  <si>
    <t>% Respecto a Precio Promedio Mercado</t>
  </si>
  <si>
    <t>Depto. / Del.</t>
  </si>
  <si>
    <t>Tiempo Total</t>
  </si>
  <si>
    <t>$ Costo Total</t>
  </si>
  <si>
    <t>$Costo Total</t>
  </si>
  <si>
    <t>TABLA 1: RESUMEN DE INGRESOS Y EGRESOS DE CENTROS DE BENEFICIOS</t>
  </si>
  <si>
    <t>TABLA 2: DETALLE DE INGRESOS POR PRESTACIÓN Y SEGMENTO</t>
  </si>
  <si>
    <t>TABLA 3: REAJUSTE DE TARIFAS POR PRESTACIÓN Y SEGMENTO</t>
  </si>
  <si>
    <t>TABLA 4: METAS DE OCUPACIÓN POR PRESTACIÓN Y SEGMENTO</t>
  </si>
  <si>
    <t>Depto./ Del.</t>
  </si>
  <si>
    <t>TABLA 5: COSTOS DIRECTOS DE CENTROS DE BENEFICIOS</t>
  </si>
  <si>
    <t>TABLA 6: REMUNERACIONES DEL PERSONAL LEY 18.712 ADMINISTRACION CENTRAL Y APOYO ADMINISTRATIVO ASISTENCIA EDUCACIONAL</t>
  </si>
  <si>
    <t>TABLA 7: DISTRIBUCION COSTOS REMUNERACIONES ADMINISTRACION CENTRAL Y APOYO ADMINISTRATIVO A. EDUCACIONAL</t>
  </si>
  <si>
    <t>TABLA 8: COSTOS DE OPERACION ADMINISTRACIÓN CENTRAL Y  APOYO ADMINISTRATIVO ASISTENCIA EDUCACIONAL</t>
  </si>
  <si>
    <t>TABLA 9: RESUMEN DISTRIBUCION COSTOS REMUNERACIONES ADMINISTRACION CENTRAL Y APOYO ADMINISTRATIVO A. EDUCACIONAL</t>
  </si>
  <si>
    <t>TABLA 10: RESUMEN DISTRIBUCION COSTOS OPERACIÓN ADMINISTRACION CENTRAL  Y APOYO ADMINISTRATIVO A. EDUCACIONAL</t>
  </si>
  <si>
    <t>TABLA 11: FINANCIAMIENTO ADM. CENTRAL  Y APOYO ADMINISTRATIVO 
(REMUNERACIONES + COSTO OPERACIÓN)</t>
  </si>
  <si>
    <t>TABLA 12: RESUMEN DE TARIFADO</t>
  </si>
  <si>
    <t>TABLA 13: REMUNERACIONES DEL PERSONAL LEY 18.712 DE CENTROS DE BENEFICIOS</t>
  </si>
  <si>
    <t>TABLA 14: COMPARACIÓN TARIFAS CON PRECIOS DE MERCADO</t>
  </si>
  <si>
    <t>A) Resumen Ingresos y Egresos</t>
  </si>
  <si>
    <t>B) Reajuste Tarifas y Ocupación</t>
  </si>
  <si>
    <t>C) Costos Directos</t>
  </si>
  <si>
    <t>D) Costos Indirectos</t>
  </si>
  <si>
    <t>E) Resumen Tarifado</t>
  </si>
  <si>
    <t>F) Remuneraciones</t>
  </si>
  <si>
    <t>G) Comparación Mercado</t>
  </si>
  <si>
    <t>H) Detalle Datos</t>
  </si>
  <si>
    <t>SERVICIOS DE VIGILANCIA /SEGURIDAD</t>
  </si>
  <si>
    <t>SUPLENCIAS Y REEMPLAZOS (EC  oPAC)</t>
  </si>
  <si>
    <t xml:space="preserve"> INDEMNIZACIÓN CÓDIGO DEL TRABAJO</t>
  </si>
  <si>
    <t>OTRAS REMUNERACIONES (ALUMNOS EN PRACTICA)</t>
  </si>
  <si>
    <t>ALIMENTOS Y BEBIDAS (PERSONAL)</t>
  </si>
  <si>
    <t>ALIMENTOS Y BEBIDAS (NIÑOS)</t>
  </si>
  <si>
    <t>ALIMENTOS Y BEBIDAS (ALUMNOS EN PRÁCTICA)</t>
  </si>
  <si>
    <t>TEXTILES Y ACABADOS TEXTILES (CORTINAJE ROLLER, SACOS DE DORMIR, COBERTORES, ETC.)</t>
  </si>
  <si>
    <t>PARA CALEFACCION (CALDERAS, ESTUFAS, ETC)</t>
  </si>
  <si>
    <t>TEXTOS Y OTROS MAT.ENSEÑANZA</t>
  </si>
  <si>
    <t>EQUIPOS MENORES (EQUIPAMIENTO)</t>
  </si>
  <si>
    <t>SERVICIO DE SUSCRIPCION (MATERIAL DE APOYO)</t>
  </si>
  <si>
    <t>GASTOS MENORES (FOFI) DIRECTIVA DGFA N°02-DC/0201/22 FECHA ENERO 2009</t>
  </si>
  <si>
    <t>MAQUINAS Y EQUIPOS DE OFICINA (ADQUISICION)</t>
  </si>
  <si>
    <t>VESTUARIO ACC.Y PRENDAS DIVERSAS</t>
  </si>
  <si>
    <t>CALZADO E PERSONAL DE COCINA</t>
  </si>
  <si>
    <t>COM.DE SERVICIO EN EL PAIS (VIATICO - 2 REUNIONES ANUALES DIRECTORA)</t>
  </si>
  <si>
    <t>EQUIPOS COMPUTACIONALES (CAMARAS DE VIGILANCIA)</t>
  </si>
  <si>
    <t>OTROS SERVICIOS GENERALES (FUMIGACIÓN)</t>
  </si>
  <si>
    <t>OTROS ARRIENDOS (BUSES)</t>
  </si>
  <si>
    <t>SEGURO PARVULOS</t>
  </si>
  <si>
    <t>OTROS SERVICIOS GENERALES (LAVANDERIIA)</t>
  </si>
  <si>
    <t>MANT.Y REPAR. OTRAS MAQ. Y EQUIP. (COCINA)</t>
  </si>
  <si>
    <t>OTROS MANTEN. Y REPAR. MENORES (GASFITERIA Y ELECTRICIDAD)</t>
  </si>
  <si>
    <t>A) RESUMEN DE INGRESOS Y EGRESOS</t>
  </si>
  <si>
    <t>B) REAJUSTE DE TARIFAS Y METAS DE OCUPACIÓN POR CENTRO DE BENEFICIO</t>
  </si>
  <si>
    <t>D) COSTOS INDIRECTOS ASISTENCIA EDUCACIONAL</t>
  </si>
  <si>
    <t>E) RESUMEN DE TARIFADO</t>
  </si>
  <si>
    <t>F) REMUNERACIONES DEL PERSONAL CÓDIGO DEL TRABAJO</t>
  </si>
  <si>
    <t>G) COMPARACIÓN TARIFAS CON PRECIOS DE MERCADO</t>
  </si>
  <si>
    <t>H) DETALLE DE DATOS COMPLEMENTARIOS</t>
  </si>
  <si>
    <t>ANEXO A</t>
  </si>
  <si>
    <t>ANEXO B</t>
  </si>
  <si>
    <t>ANEXO C</t>
  </si>
  <si>
    <t>ANEXO D</t>
  </si>
  <si>
    <t>ANEXO E</t>
  </si>
  <si>
    <t>ANEXO F</t>
  </si>
  <si>
    <t>ANEXO G</t>
  </si>
  <si>
    <t>Media jornada Extendida</t>
  </si>
  <si>
    <t>Jornada Completa</t>
  </si>
  <si>
    <t>TABLA 9: RESUMEN DISTRIBUCION COSTOS REMUNERACIONES ADMINISTRACION CENTRAL</t>
  </si>
  <si>
    <t xml:space="preserve">C) ESTIMACION DE COSTOS DIRECTOS </t>
  </si>
  <si>
    <t>PRODUCTOS QUIMICOS (EXTINTOR)</t>
  </si>
  <si>
    <t>PROD.QUIMIC,FARMACEUTICOS IND. (BOTIQUIN)</t>
  </si>
  <si>
    <t>OTROS MANTEN. Y REP.MENORES</t>
  </si>
  <si>
    <t>CUOTA DE PADRES</t>
  </si>
  <si>
    <t>AFL</t>
  </si>
  <si>
    <t>PAF</t>
  </si>
  <si>
    <t>TOTAL AFL</t>
  </si>
  <si>
    <t>TOTAL PAF</t>
  </si>
  <si>
    <t>Gasto Total Empresa</t>
  </si>
  <si>
    <t>Media Jornada</t>
  </si>
  <si>
    <t>Nocturna</t>
  </si>
  <si>
    <t>Diurna</t>
  </si>
  <si>
    <t>TOTAL</t>
  </si>
  <si>
    <t>Jardín Infantil Pequeños Héroes</t>
  </si>
  <si>
    <t>Sala Cuna Pequeños Héroes</t>
  </si>
  <si>
    <t>JI (70%)</t>
  </si>
  <si>
    <t>SC (30%)</t>
  </si>
  <si>
    <t xml:space="preserve"> COSTOS DIRECTOS COMUNES  "JARDIN INFANTIL Y SALA CUNA PEQUEÑOS HÉROES"</t>
  </si>
  <si>
    <t>Sala Cuna Pequeños Héroes Diurna</t>
  </si>
  <si>
    <t>Sala Cuna Pequeños Héroes Nocturna</t>
  </si>
  <si>
    <t>SUPLENCIAS Y REEMPLAZOS (EC o PAC)</t>
  </si>
  <si>
    <t>CALZADO DE PERSONAL DE COCINA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</si>
  <si>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</si>
  <si>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</si>
  <si>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</si>
  <si>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</si>
  <si>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</si>
  <si>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</si>
  <si>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</si>
  <si>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</si>
  <si>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</si>
  <si>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</si>
  <si>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</si>
  <si>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</si>
  <si>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INGRESOS DE OPERACION</t>
  </si>
  <si>
    <t>REMUNERACIONES COD.DEL TRABAJO</t>
  </si>
  <si>
    <t>COSTOS  DE OPERACION</t>
  </si>
  <si>
    <t>i) Proyección Mensual</t>
  </si>
  <si>
    <t>TABLA N°15: PROYECCIÓN MENSUAL</t>
  </si>
  <si>
    <t>MATRICULA</t>
  </si>
  <si>
    <t>PERSONAL</t>
  </si>
  <si>
    <t>ACUMULADO A DICIEMBRE</t>
  </si>
  <si>
    <t>RESULTADO OPERACIONAL</t>
  </si>
  <si>
    <t>BIENIQUE</t>
  </si>
  <si>
    <t xml:space="preserve"> Sala Cuna Pequeños Héroes</t>
  </si>
  <si>
    <t>INSTRUCCIONES</t>
  </si>
  <si>
    <t>Mensualidad 2025</t>
  </si>
  <si>
    <t>Matrícula 2026</t>
  </si>
  <si>
    <t>Mensualidad 2026</t>
  </si>
  <si>
    <t>Tarifa 2026</t>
  </si>
  <si>
    <t>Propuesta Mensualidad 2026</t>
  </si>
  <si>
    <t>COSTO DIRECTO ESTIMADO 2026</t>
  </si>
  <si>
    <t>REMUNERACIONES 2025</t>
  </si>
  <si>
    <t>Costo Total anual por Servidor 2025</t>
  </si>
  <si>
    <t>Costo Total por Servidor Reajustado 2026</t>
  </si>
  <si>
    <t>Meta Ocupación niños 2026</t>
  </si>
  <si>
    <t>Costo Total por Centro de Beneficio 
Reajustado 2026</t>
  </si>
  <si>
    <t>COSTO INDIRECTO ESTIMADO 2026</t>
  </si>
  <si>
    <t xml:space="preserve">MARCELA </t>
  </si>
  <si>
    <t>PALAPE</t>
  </si>
  <si>
    <t>CONTADOR</t>
  </si>
  <si>
    <t>CONSTANZA</t>
  </si>
  <si>
    <t>VENEGAS</t>
  </si>
  <si>
    <t>ANALISTA Y OPERADOR CONTABLE</t>
  </si>
  <si>
    <t xml:space="preserve">BENJAMIN </t>
  </si>
  <si>
    <t>SALAS</t>
  </si>
  <si>
    <t>SECRETARIO DIGITADOR</t>
  </si>
  <si>
    <t>RICARDO</t>
  </si>
  <si>
    <t>AREVALO</t>
  </si>
  <si>
    <t>ADMINISTRATIVO CONTABLE</t>
  </si>
  <si>
    <t>ASEADOR</t>
  </si>
  <si>
    <t xml:space="preserve">CLAUDIA </t>
  </si>
  <si>
    <t>COBARRUBIAS</t>
  </si>
  <si>
    <t>NICOLAS</t>
  </si>
  <si>
    <t>VASQUEZ</t>
  </si>
  <si>
    <t>BAVESTRELLO</t>
  </si>
  <si>
    <t>GINO</t>
  </si>
  <si>
    <t>ITO</t>
  </si>
  <si>
    <t>GONZALEZ</t>
  </si>
  <si>
    <t>ALAMIRO</t>
  </si>
  <si>
    <t>MAESTRO</t>
  </si>
  <si>
    <t>BERARDI</t>
  </si>
  <si>
    <t>JENNIFER</t>
  </si>
  <si>
    <t>ENC CONTRATO- COMERCIAL</t>
  </si>
  <si>
    <t>GUERRA</t>
  </si>
  <si>
    <t>ROXANA</t>
  </si>
  <si>
    <t>RADIER HORMIGON</t>
  </si>
  <si>
    <t>REVESTIMIENTO MAYA ACERO</t>
  </si>
  <si>
    <t xml:space="preserve">SOLDADITO </t>
  </si>
  <si>
    <t xml:space="preserve">S.C SOLDADITO </t>
  </si>
  <si>
    <t>TALPIOT</t>
  </si>
  <si>
    <t>FICHA DE MANTENIMIENTO DE LA INFRAESTRUCTURA TERRESTRE</t>
  </si>
  <si>
    <t>Identificación del Edificio</t>
  </si>
  <si>
    <t>JARDÍN INFANTIL</t>
  </si>
  <si>
    <t xml:space="preserve">    FECHA :  2024</t>
  </si>
  <si>
    <t xml:space="preserve">Ubicación </t>
  </si>
  <si>
    <t>INTERIOR POBL. MRO. UGARTE</t>
  </si>
  <si>
    <t>HOJA 1</t>
  </si>
  <si>
    <t>Año Construcción</t>
  </si>
  <si>
    <t>Superficie</t>
  </si>
  <si>
    <t>1.257m2</t>
  </si>
  <si>
    <t>Estructura predominante:</t>
  </si>
  <si>
    <t>Salas de Clases:  HORMIGÓN ARMADO Y ALBAÑILERÍA DE BLOQUES.</t>
  </si>
  <si>
    <t>Horizonte vida  útil esperado</t>
  </si>
  <si>
    <t>30 AÑOS.</t>
  </si>
  <si>
    <t xml:space="preserve">Clima </t>
  </si>
  <si>
    <t>DESÉRTICO.</t>
  </si>
  <si>
    <t xml:space="preserve"> </t>
  </si>
  <si>
    <t>Ítem de trabajo</t>
  </si>
  <si>
    <t>Descripción</t>
  </si>
  <si>
    <t>Medida</t>
  </si>
  <si>
    <t>Actividad</t>
  </si>
  <si>
    <t>Periocidad</t>
  </si>
  <si>
    <t>Valor Estimado total</t>
  </si>
  <si>
    <t>Valor total UF</t>
  </si>
  <si>
    <t>Nivel</t>
  </si>
  <si>
    <t>Exterior</t>
  </si>
  <si>
    <t>REALIZACION DE RADIER PARA PISO POSTERIOR SALA VERDE</t>
  </si>
  <si>
    <t>GLOBAL</t>
  </si>
  <si>
    <t>RADIER, CEMENTADO</t>
  </si>
  <si>
    <t>5 AÑOS</t>
  </si>
  <si>
    <t>PINTADOS MUROS INTERIORES</t>
  </si>
  <si>
    <t>PINTADO DE SALAS MUROS INTERIORES</t>
  </si>
  <si>
    <t>PINTADO DE LAS PARTEDES DEL JARDIN DE FORMA INTERNA</t>
  </si>
  <si>
    <t>3 AÑOS</t>
  </si>
  <si>
    <t>REVESTIMIENTO MAYA DE ACERO MURO DE PIEDRA</t>
  </si>
  <si>
    <t>REVESTIMIENTOS</t>
  </si>
  <si>
    <t>10 AÑOS</t>
  </si>
  <si>
    <t>Interior</t>
  </si>
  <si>
    <t>CAMBIO DE PISO A CERAMICO</t>
  </si>
  <si>
    <t>CAMBIO DE PISO DE UNA SALA A CERAMICA</t>
  </si>
  <si>
    <t xml:space="preserve">CAMBIO DE PISO </t>
  </si>
  <si>
    <t>GINO BAVESTRELLO GARCÍA</t>
  </si>
  <si>
    <t>MONTO ESTIMADO MANTENCIÓN GLOBAL</t>
  </si>
  <si>
    <t>U.F.</t>
  </si>
  <si>
    <t>INSPECTOR TÉCNICO DE OBRA - ASESOR</t>
  </si>
  <si>
    <t>DEPTO. DE BIENESTAR SOCIAL (I.)</t>
  </si>
  <si>
    <t>Mackarena</t>
  </si>
  <si>
    <t>Ahumada</t>
  </si>
  <si>
    <t xml:space="preserve">Ed. De Párvulos </t>
  </si>
  <si>
    <t>Técnicos</t>
  </si>
  <si>
    <t xml:space="preserve"> Técnicos</t>
  </si>
  <si>
    <t>Yessica</t>
  </si>
  <si>
    <t>Man. De Alimentos</t>
  </si>
  <si>
    <t>Miriam</t>
  </si>
  <si>
    <t>Diaz</t>
  </si>
  <si>
    <t xml:space="preserve"> Aux.  De Aseo</t>
  </si>
  <si>
    <t>Claudia</t>
  </si>
  <si>
    <t>Aliaga</t>
  </si>
  <si>
    <t>Educadora</t>
  </si>
  <si>
    <t>PAC</t>
  </si>
  <si>
    <t xml:space="preserve">Marianela </t>
  </si>
  <si>
    <t>Berrios</t>
  </si>
  <si>
    <t xml:space="preserve">Bernarda </t>
  </si>
  <si>
    <t>Nur</t>
  </si>
  <si>
    <t>Cristina</t>
  </si>
  <si>
    <t>Villanueva</t>
  </si>
  <si>
    <t>T.T</t>
  </si>
  <si>
    <t>Macarena</t>
  </si>
  <si>
    <t>Molina</t>
  </si>
  <si>
    <t>Camila</t>
  </si>
  <si>
    <t>Lagos</t>
  </si>
  <si>
    <t xml:space="preserve">Yanira </t>
  </si>
  <si>
    <t>Orrego</t>
  </si>
  <si>
    <t>Valentina</t>
  </si>
  <si>
    <t>Aedo</t>
  </si>
  <si>
    <t>Estrella</t>
  </si>
  <si>
    <t>Plaza</t>
  </si>
  <si>
    <t>Constanza</t>
  </si>
  <si>
    <t>Vargas</t>
  </si>
  <si>
    <t>Lisseth</t>
  </si>
  <si>
    <t>Beas</t>
  </si>
  <si>
    <t>Aux. de alimentos</t>
  </si>
  <si>
    <t xml:space="preserve">Francisca </t>
  </si>
  <si>
    <t>Gormaz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</si>
</sst>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2" formatCode="_ &quot;$&quot;* #,##0_ ;_ &quot;$&quot;* \-#,##0_ ;_ &quot;$&quot;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\$* #,##0.00_-;&quot;-$&quot;* #,##0.00_-;_-\$* \-??_-;_-@_-"/>
    <numFmt numFmtId="167" formatCode="\$#,##0_);&quot;($&quot;#,##0\)"/>
    <numFmt numFmtId="168" formatCode="_-&quot;$ &quot;* #,##0_-;&quot;-$ &quot;* #,##0_-;_-&quot;$ &quot;* \-_-;_-@_-"/>
    <numFmt numFmtId="169" formatCode="0\ %"/>
    <numFmt numFmtId="170" formatCode="0.0%"/>
    <numFmt numFmtId="171" formatCode="#,##0_ ;[Red]\-#,##0\ "/>
    <numFmt numFmtId="172" formatCode="_-* #,##0.00_-;\-* #,##0.00_-;_-* \-??_-;_-@_-"/>
    <numFmt numFmtId="173" formatCode="_-\ * #,##0_-;&quot;$ &quot;* #,##0_-;_-\ * \-_-;_-@_-"/>
    <numFmt numFmtId="174" formatCode="_-* #,##0.0_-;\-* #,##0.0_-;_-* \-??_-;_-@_-"/>
    <numFmt numFmtId="175" formatCode="_(* #,##0_);_(* \(#,##0\);_(* \-_);_(@_)"/>
    <numFmt numFmtId="176" formatCode="_-* #,##0_-;\-* #,##0_-;_-* \-??_-;_-@_-"/>
    <numFmt numFmtId="177" formatCode="&quot;$&quot;\ #,##0"/>
    <numFmt numFmtId="178" formatCode="_-&quot;$&quot;* #,##0_-;\-&quot;$&quot;* #,##0_-;_-&quot;$&quot;* &quot;-&quot;??_-;_-@_-"/>
    <numFmt numFmtId="179" formatCode="#,##0_ ;\-#,##0\ "/>
    <numFmt numFmtId="180" formatCode="0.00\ %"/>
    <numFmt numFmtId="181" formatCode="_-\$* #,##0_-;&quot;-$&quot;* #,##0_-;_-\$* \-??_-;_-@_-"/>
    <numFmt numFmtId="182" formatCode="_-[$$-340A]\ * #,##0_-;\-[$$-340A]\ * #,##0_-;_-[$$-340A]\ * &quot;-&quot;??_-;_-@_-"/>
    <numFmt numFmtId="183" formatCode="_-[$€]* #,##0.00_-;\-[$€]* #,##0.00_-;_-[$€]* &quot;-&quot;??_-;_-@_-"/>
    <numFmt numFmtId="184" formatCode="_-[$€-2]\ * #,##0.00_-;\-[$€-2]\ * #,##0.00_-;_-[$€-2]\ * &quot;-&quot;??_-"/>
    <numFmt numFmtId="185" formatCode="_-[$€]* #,##0.00_-;\-[$€]* #,##0.00_-;_-[$€]* \-??_-;_-@_-"/>
    <numFmt numFmtId="186" formatCode="_-[$€-2]\ * #,##0.00_-;\-[$€-2]\ * #,##0.00_-;_-[$€-2]\ * \-??_-"/>
    <numFmt numFmtId="187" formatCode="_-* #,##0.00&quot; €&quot;_-;\-* #,##0.00&quot; €&quot;_-;_-* \-??&quot; €&quot;_-;_-@_-"/>
    <numFmt numFmtId="188" formatCode="_-&quot;$&quot;\ * #,##0_-;\-&quot;$&quot;\ * #,##0_-;_-&quot;$&quot;\ * &quot;-&quot;??_-;_-@_-"/>
    <numFmt numFmtId="189" formatCode="_-&quot;$ &quot;* #,##0_-;&quot;-$ &quot;* #,##0_-;_-&quot;$ &quot;* \-??_-;_-@_-"/>
    <numFmt numFmtId="190" formatCode="#,##0.0"/>
    <numFmt numFmtId="191" formatCode="_-[$$-340A]\ * #,##0_-;\-[$$-340A]\ * #,##0_-;_-[$$-340A]\ * \-_-;_-@_-"/>
  </numFmts>
  <fonts count="4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6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indexed="40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b/>
      <u/>
      <sz val="10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u/>
      <sz val="12"/>
      <color rgb="FF0000CC"/>
      <name val="Arial"/>
      <family val="2"/>
    </font>
    <font>
      <b/>
      <sz val="16"/>
      <name val="Arial"/>
      <family val="2"/>
    </font>
    <font>
      <b/>
      <sz val="10"/>
      <color rgb="FF000099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Verdana"/>
      <family val="2"/>
    </font>
    <font>
      <sz val="8"/>
      <name val="Arial"/>
      <family val="2"/>
    </font>
    <font>
      <b/>
      <sz val="10"/>
      <color theme="0"/>
      <name val="Arial Narrow"/>
      <family val="2"/>
    </font>
    <font>
      <b/>
      <sz val="10"/>
      <color theme="1"/>
      <name val="Arial Narrow"/>
      <family val="2"/>
    </font>
    <font>
      <u/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</fonts>
  <fills count="80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22"/>
      </patternFill>
    </fill>
    <fill>
      <patternFill patternType="solid">
        <fgColor indexed="22"/>
        <bgColor indexed="47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gray125"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4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24"/>
      </patternFill>
    </fill>
    <fill>
      <patternFill patternType="solid">
        <fgColor theme="5" tint="0.39997558519241921"/>
        <bgColor indexed="24"/>
      </patternFill>
    </fill>
    <fill>
      <patternFill patternType="gray125">
        <fgColor auto="1"/>
        <bgColor theme="5" tint="0.79998168889431442"/>
      </patternFill>
    </fill>
    <fill>
      <patternFill patternType="solid">
        <fgColor theme="5" tint="0.39997558519241921"/>
        <bgColor indexed="40"/>
      </patternFill>
    </fill>
    <fill>
      <patternFill patternType="gray125">
        <fgColor auto="1"/>
        <bgColor theme="5" tint="0.39997558519241921"/>
      </patternFill>
    </fill>
    <fill>
      <patternFill patternType="solid">
        <fgColor rgb="FFC00000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24"/>
      </patternFill>
    </fill>
    <fill>
      <patternFill patternType="solid">
        <fgColor theme="3" tint="0.39997558519241921"/>
        <bgColor indexed="44"/>
      </patternFill>
    </fill>
    <fill>
      <patternFill patternType="gray125">
        <fgColor auto="1"/>
        <bgColor theme="3" tint="0.39997558519241921"/>
      </patternFill>
    </fill>
    <fill>
      <patternFill patternType="solid">
        <fgColor theme="3" tint="-0.249977111117893"/>
        <bgColor indexed="24"/>
      </patternFill>
    </fill>
    <fill>
      <patternFill patternType="solid">
        <fgColor theme="3" tint="0.39997558519241921"/>
        <bgColor indexed="26"/>
      </patternFill>
    </fill>
    <fill>
      <patternFill patternType="solid">
        <fgColor theme="3" tint="-0.249977111117893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9D8FF"/>
        <bgColor indexed="24"/>
      </patternFill>
    </fill>
    <fill>
      <patternFill patternType="solid">
        <fgColor theme="4" tint="0.59999389629810485"/>
        <bgColor indexed="24"/>
      </patternFill>
    </fill>
    <fill>
      <patternFill patternType="solid">
        <fgColor theme="5" tint="0.39997558519241921"/>
        <bgColor auto="1"/>
      </patternFill>
    </fill>
    <fill>
      <patternFill patternType="solid">
        <fgColor theme="5" tint="0.79998168889431442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4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gray125">
        <fgColor auto="1"/>
        <bgColor rgb="FFFFFF00"/>
      </patternFill>
    </fill>
    <fill>
      <patternFill patternType="gray125">
        <bgColor theme="9"/>
      </patternFill>
    </fill>
    <fill>
      <patternFill patternType="solid">
        <fgColor indexed="31"/>
        <bgColor indexed="27"/>
      </patternFill>
    </fill>
    <fill>
      <patternFill patternType="solid">
        <fgColor indexed="43"/>
        <bgColor indexed="47"/>
      </patternFill>
    </fill>
    <fill>
      <patternFill patternType="solid">
        <fgColor indexed="42"/>
        <bgColor indexed="41"/>
      </patternFill>
    </fill>
    <fill>
      <patternFill patternType="solid">
        <fgColor theme="5" tint="0.39994506668294322"/>
        <bgColor auto="1"/>
      </patternFill>
    </fill>
    <fill>
      <patternFill patternType="gray125">
        <bgColor theme="3" tint="0.79998168889431442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0.79995117038483843"/>
        <bgColor auto="1"/>
      </patternFill>
    </fill>
    <fill>
      <patternFill patternType="gray125">
        <bgColor theme="5" tint="0.79992065187536243"/>
      </patternFill>
    </fill>
    <fill>
      <patternFill patternType="gray125">
        <bgColor theme="5" tint="0.39994506668294322"/>
      </patternFill>
    </fill>
    <fill>
      <patternFill patternType="gray125">
        <fgColor indexed="24"/>
        <bgColor theme="5" tint="0.39997558519241921"/>
      </patternFill>
    </fill>
    <fill>
      <patternFill patternType="gray125">
        <fgColor indexed="40"/>
        <bgColor theme="5" tint="0.39997558519241921"/>
      </patternFill>
    </fill>
    <fill>
      <patternFill patternType="gray125">
        <fgColor indexed="24"/>
        <bgColor theme="5" tint="0.79998168889431442"/>
      </patternFill>
    </fill>
    <fill>
      <patternFill patternType="gray125">
        <bgColor theme="4" tint="0.59999389629810485"/>
      </patternFill>
    </fill>
    <fill>
      <patternFill patternType="gray125">
        <bgColor theme="3" tint="0.59999389629810485"/>
      </patternFill>
    </fill>
    <fill>
      <patternFill patternType="gray125">
        <bgColor rgb="FFFFFF00"/>
      </patternFill>
    </fill>
    <fill>
      <patternFill patternType="gray125">
        <bgColor theme="0"/>
      </patternFill>
    </fill>
    <fill>
      <patternFill patternType="gray125">
        <fgColor indexed="24"/>
        <bgColor theme="3" tint="0.39997558519241921"/>
      </patternFill>
    </fill>
    <fill>
      <patternFill patternType="gray125">
        <fgColor indexed="44"/>
        <bgColor theme="3" tint="0.39997558519241921"/>
      </patternFill>
    </fill>
    <fill>
      <patternFill patternType="gray125">
        <bgColor theme="3" tint="0.79995117038483843"/>
      </patternFill>
    </fill>
    <fill>
      <patternFill patternType="solid">
        <fgColor theme="4" tint="0.79998168889431442"/>
        <bgColor indexed="64"/>
      </patternFill>
    </fill>
    <fill>
      <patternFill patternType="gray125">
        <bgColor theme="5" tint="0.79998168889431442"/>
      </patternFill>
    </fill>
    <fill>
      <patternFill patternType="solid">
        <fgColor theme="9" tint="-0.249977111117893"/>
        <bgColor indexed="64"/>
      </patternFill>
    </fill>
    <fill>
      <patternFill patternType="gray125">
        <bgColor theme="9" tint="-0.249977111117893"/>
      </patternFill>
    </fill>
    <fill>
      <patternFill patternType="solid">
        <fgColor theme="4" tint="0.79998168889431442"/>
        <bgColor theme="4" tint="0.79998168889431442"/>
      </patternFill>
    </fill>
    <fill>
      <patternFill patternType="gray125">
        <fgColor auto="1"/>
        <bgColor theme="4" tint="0.5999938962981048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55"/>
      </patternFill>
    </fill>
  </fills>
  <borders count="2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auto="1"/>
      </top>
      <bottom style="thin">
        <color auto="1"/>
      </bottom>
      <diagonal/>
    </border>
    <border>
      <left/>
      <right style="medium">
        <color indexed="8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64"/>
      </top>
      <bottom style="thin">
        <color indexed="8"/>
      </bottom>
      <diagonal/>
    </border>
    <border>
      <left/>
      <right style="medium">
        <color auto="1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 style="medium">
        <color indexed="8"/>
      </left>
      <right/>
      <top style="medium">
        <color indexed="8"/>
      </top>
      <bottom style="dotted">
        <color indexed="8"/>
      </bottom>
      <diagonal/>
    </border>
    <border>
      <left/>
      <right/>
      <top style="medium">
        <color indexed="8"/>
      </top>
      <bottom style="dotted">
        <color indexed="8"/>
      </bottom>
      <diagonal/>
    </border>
    <border>
      <left/>
      <right style="medium">
        <color indexed="8"/>
      </right>
      <top style="medium">
        <color indexed="8"/>
      </top>
      <bottom style="dotted">
        <color indexed="8"/>
      </bottom>
      <diagonal/>
    </border>
    <border>
      <left style="medium">
        <color indexed="8"/>
      </left>
      <right/>
      <top style="dotted">
        <color indexed="8"/>
      </top>
      <bottom style="medium">
        <color indexed="8"/>
      </bottom>
      <diagonal/>
    </border>
    <border>
      <left/>
      <right/>
      <top style="dotted">
        <color indexed="8"/>
      </top>
      <bottom style="medium">
        <color indexed="8"/>
      </bottom>
      <diagonal/>
    </border>
    <border>
      <left/>
      <right style="medium">
        <color indexed="8"/>
      </right>
      <top style="dotted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60">
    <xf numFmtId="0" fontId="0" fillId="0" borderId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1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7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72" fontId="14" fillId="0" borderId="0"/>
    <xf numFmtId="166" fontId="14" fillId="0" borderId="0"/>
    <xf numFmtId="0" fontId="8" fillId="8" borderId="0" applyNumberFormat="0" applyBorder="0" applyAlignment="0" applyProtection="0"/>
    <xf numFmtId="0" fontId="5" fillId="8" borderId="1" applyNumberFormat="0" applyAlignment="0" applyProtection="0"/>
    <xf numFmtId="169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83" fontId="31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72" fontId="14" fillId="0" borderId="0" applyFill="0" applyBorder="0" applyAlignment="0" applyProtection="0"/>
    <xf numFmtId="166" fontId="14" fillId="0" borderId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ill="0" applyBorder="0" applyAlignment="0" applyProtection="0"/>
    <xf numFmtId="42" fontId="14" fillId="0" borderId="0" applyFont="0" applyFill="0" applyBorder="0" applyAlignment="0" applyProtection="0"/>
    <xf numFmtId="0" fontId="5" fillId="8" borderId="201" applyNumberFormat="0" applyAlignment="0" applyProtection="0"/>
    <xf numFmtId="0" fontId="5" fillId="8" borderId="197" applyNumberFormat="0" applyAlignment="0" applyProtection="0"/>
    <xf numFmtId="0" fontId="5" fillId="8" borderId="199" applyNumberFormat="0" applyAlignment="0" applyProtection="0"/>
    <xf numFmtId="0" fontId="5" fillId="8" borderId="209" applyNumberFormat="0" applyAlignment="0" applyProtection="0"/>
    <xf numFmtId="0" fontId="5" fillId="8" borderId="203" applyNumberForma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1" fillId="52" borderId="0" applyNumberFormat="0" applyBorder="0" applyAlignment="0" applyProtection="0"/>
    <xf numFmtId="0" fontId="11" fillId="0" borderId="0" applyNumberFormat="0" applyFill="0" applyBorder="0" applyAlignment="0" applyProtection="0"/>
    <xf numFmtId="0" fontId="9" fillId="53" borderId="0" applyNumberFormat="0" applyBorder="0" applyAlignment="0" applyProtection="0"/>
    <xf numFmtId="0" fontId="10" fillId="6" borderId="0" applyNumberFormat="0" applyBorder="0" applyAlignment="0" applyProtection="0"/>
    <xf numFmtId="185" fontId="14" fillId="0" borderId="0" applyFill="0" applyBorder="0" applyAlignment="0" applyProtection="0"/>
    <xf numFmtId="186" fontId="14" fillId="0" borderId="0" applyFill="0" applyBorder="0" applyAlignment="0" applyProtection="0"/>
    <xf numFmtId="186" fontId="14" fillId="0" borderId="0" applyFill="0" applyBorder="0" applyAlignment="0" applyProtection="0"/>
    <xf numFmtId="0" fontId="6" fillId="0" borderId="0" applyNumberFormat="0" applyFill="0" applyBorder="0" applyAlignment="0" applyProtection="0"/>
    <xf numFmtId="0" fontId="7" fillId="54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87" fontId="14" fillId="0" borderId="0" applyFill="0" applyBorder="0" applyAlignment="0" applyProtection="0"/>
    <xf numFmtId="0" fontId="5" fillId="8" borderId="216" applyNumberFormat="0" applyAlignment="0" applyProtection="0"/>
    <xf numFmtId="169" fontId="14" fillId="0" borderId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984">
    <xf numFmtId="0" fontId="0" fillId="0" borderId="0" xfId="0"/>
    <xf numFmtId="169" fontId="0" fillId="0" borderId="0" xfId="16" applyFont="1"/>
    <xf numFmtId="0" fontId="0" fillId="0" borderId="0" xfId="0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13" fillId="9" borderId="0" xfId="0" applyFont="1" applyFill="1" applyAlignment="1">
      <alignment horizontal="left" vertical="center"/>
    </xf>
    <xf numFmtId="168" fontId="13" fillId="9" borderId="0" xfId="13" applyNumberFormat="1" applyFont="1" applyFill="1" applyAlignment="1">
      <alignment vertical="center"/>
    </xf>
    <xf numFmtId="166" fontId="13" fillId="0" borderId="0" xfId="13" applyFont="1" applyAlignment="1">
      <alignment vertical="center"/>
    </xf>
    <xf numFmtId="171" fontId="13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168" fontId="13" fillId="0" borderId="0" xfId="0" applyNumberFormat="1" applyFont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166" fontId="0" fillId="0" borderId="0" xfId="13" applyFont="1" applyAlignment="1">
      <alignment vertical="center"/>
    </xf>
    <xf numFmtId="169" fontId="16" fillId="0" borderId="0" xfId="16" applyFont="1" applyAlignment="1">
      <alignment vertical="center"/>
    </xf>
    <xf numFmtId="174" fontId="0" fillId="0" borderId="0" xfId="12" applyNumberFormat="1" applyFont="1" applyAlignment="1">
      <alignment vertical="center"/>
    </xf>
    <xf numFmtId="0" fontId="0" fillId="11" borderId="0" xfId="0" applyFill="1" applyAlignment="1">
      <alignment horizontal="left" vertical="center"/>
    </xf>
    <xf numFmtId="177" fontId="0" fillId="11" borderId="0" xfId="0" applyNumberFormat="1" applyFill="1" applyAlignment="1">
      <alignment horizontal="right" vertical="center"/>
    </xf>
    <xf numFmtId="0" fontId="0" fillId="11" borderId="0" xfId="0" applyFill="1"/>
    <xf numFmtId="17" fontId="18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right" vertical="center"/>
    </xf>
    <xf numFmtId="177" fontId="13" fillId="11" borderId="0" xfId="0" applyNumberFormat="1" applyFont="1" applyFill="1" applyAlignment="1">
      <alignment horizontal="right" vertical="center"/>
    </xf>
    <xf numFmtId="9" fontId="0" fillId="11" borderId="0" xfId="0" applyNumberFormat="1" applyFill="1" applyAlignment="1">
      <alignment horizontal="center" vertical="center"/>
    </xf>
    <xf numFmtId="177" fontId="0" fillId="0" borderId="0" xfId="0" applyNumberFormat="1"/>
    <xf numFmtId="177" fontId="0" fillId="11" borderId="0" xfId="0" applyNumberFormat="1" applyFill="1"/>
    <xf numFmtId="0" fontId="0" fillId="11" borderId="0" xfId="0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169" fontId="13" fillId="0" borderId="0" xfId="16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1" fontId="0" fillId="0" borderId="0" xfId="16" applyNumberFormat="1" applyFont="1"/>
    <xf numFmtId="0" fontId="13" fillId="0" borderId="0" xfId="0" applyFont="1" applyAlignment="1">
      <alignment horizontal="center"/>
    </xf>
    <xf numFmtId="177" fontId="13" fillId="0" borderId="0" xfId="0" applyNumberFormat="1" applyFont="1" applyAlignment="1">
      <alignment horizontal="center" vertical="center" wrapText="1"/>
    </xf>
    <xf numFmtId="0" fontId="13" fillId="16" borderId="20" xfId="0" applyFont="1" applyFill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77" fontId="13" fillId="26" borderId="20" xfId="0" applyNumberFormat="1" applyFont="1" applyFill="1" applyBorder="1" applyAlignment="1">
      <alignment horizontal="center" vertical="center"/>
    </xf>
    <xf numFmtId="170" fontId="13" fillId="19" borderId="20" xfId="16" applyNumberFormat="1" applyFont="1" applyFill="1" applyBorder="1" applyAlignment="1">
      <alignment horizontal="center" vertical="center"/>
    </xf>
    <xf numFmtId="177" fontId="0" fillId="26" borderId="20" xfId="0" applyNumberFormat="1" applyFill="1" applyBorder="1" applyAlignment="1">
      <alignment horizontal="center" vertical="center"/>
    </xf>
    <xf numFmtId="177" fontId="23" fillId="26" borderId="16" xfId="0" applyNumberFormat="1" applyFont="1" applyFill="1" applyBorder="1" applyAlignment="1">
      <alignment horizontal="right" vertical="center"/>
    </xf>
    <xf numFmtId="169" fontId="15" fillId="19" borderId="6" xfId="16" applyFont="1" applyFill="1" applyBorder="1" applyAlignment="1">
      <alignment horizontal="center" vertical="center"/>
    </xf>
    <xf numFmtId="178" fontId="0" fillId="0" borderId="0" xfId="13" applyNumberFormat="1" applyFont="1" applyAlignment="1">
      <alignment vertical="center"/>
    </xf>
    <xf numFmtId="0" fontId="0" fillId="12" borderId="26" xfId="0" applyFill="1" applyBorder="1" applyAlignment="1" applyProtection="1">
      <alignment horizontal="left" vertical="center"/>
      <protection locked="0"/>
    </xf>
    <xf numFmtId="0" fontId="0" fillId="12" borderId="31" xfId="0" applyFill="1" applyBorder="1" applyAlignment="1" applyProtection="1">
      <alignment horizontal="left" vertical="center"/>
      <protection locked="0"/>
    </xf>
    <xf numFmtId="0" fontId="0" fillId="12" borderId="15" xfId="0" applyFill="1" applyBorder="1" applyAlignment="1" applyProtection="1">
      <alignment horizontal="left" vertical="center"/>
      <protection locked="0"/>
    </xf>
    <xf numFmtId="0" fontId="0" fillId="12" borderId="21" xfId="0" applyFill="1" applyBorder="1" applyAlignment="1" applyProtection="1">
      <alignment horizontal="left" vertical="center"/>
      <protection locked="0"/>
    </xf>
    <xf numFmtId="0" fontId="0" fillId="12" borderId="21" xfId="0" applyFill="1" applyBorder="1" applyProtection="1">
      <protection locked="0"/>
    </xf>
    <xf numFmtId="0" fontId="0" fillId="12" borderId="18" xfId="0" applyFill="1" applyBorder="1" applyProtection="1">
      <protection locked="0"/>
    </xf>
    <xf numFmtId="169" fontId="14" fillId="0" borderId="20" xfId="16" applyBorder="1" applyAlignment="1">
      <alignment horizontal="center" vertical="center"/>
    </xf>
    <xf numFmtId="169" fontId="13" fillId="16" borderId="20" xfId="16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13" fillId="34" borderId="41" xfId="0" applyNumberFormat="1" applyFont="1" applyFill="1" applyBorder="1" applyAlignment="1">
      <alignment horizontal="center" vertical="center" wrapText="1"/>
    </xf>
    <xf numFmtId="168" fontId="13" fillId="34" borderId="44" xfId="0" applyNumberFormat="1" applyFont="1" applyFill="1" applyBorder="1" applyAlignment="1">
      <alignment horizontal="center" vertical="center" wrapText="1"/>
    </xf>
    <xf numFmtId="0" fontId="0" fillId="12" borderId="46" xfId="0" applyFill="1" applyBorder="1" applyProtection="1">
      <protection locked="0"/>
    </xf>
    <xf numFmtId="168" fontId="13" fillId="34" borderId="51" xfId="0" applyNumberFormat="1" applyFont="1" applyFill="1" applyBorder="1" applyAlignment="1">
      <alignment horizontal="center" vertical="center" wrapText="1"/>
    </xf>
    <xf numFmtId="168" fontId="13" fillId="34" borderId="52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169" fontId="29" fillId="0" borderId="0" xfId="16" applyFont="1" applyAlignment="1">
      <alignment horizontal="center" vertical="center"/>
    </xf>
    <xf numFmtId="0" fontId="13" fillId="0" borderId="2" xfId="0" applyFont="1" applyBorder="1" applyAlignment="1">
      <alignment horizontal="right" vertical="center"/>
    </xf>
    <xf numFmtId="0" fontId="25" fillId="11" borderId="0" xfId="0" applyFont="1" applyFill="1" applyAlignment="1">
      <alignment horizontal="left" vertical="center" indent="2"/>
    </xf>
    <xf numFmtId="0" fontId="25" fillId="0" borderId="0" xfId="0" applyFont="1" applyAlignment="1">
      <alignment horizontal="left" vertical="center" indent="2"/>
    </xf>
    <xf numFmtId="0" fontId="0" fillId="12" borderId="60" xfId="0" applyFill="1" applyBorder="1" applyAlignment="1" applyProtection="1">
      <alignment horizontal="left" vertical="center"/>
      <protection locked="0"/>
    </xf>
    <xf numFmtId="0" fontId="0" fillId="12" borderId="60" xfId="0" applyFill="1" applyBorder="1" applyProtection="1">
      <protection locked="0"/>
    </xf>
    <xf numFmtId="0" fontId="0" fillId="12" borderId="61" xfId="0" applyFill="1" applyBorder="1" applyProtection="1">
      <protection locked="0"/>
    </xf>
    <xf numFmtId="178" fontId="0" fillId="12" borderId="62" xfId="13" applyNumberFormat="1" applyFont="1" applyFill="1" applyBorder="1" applyAlignment="1" applyProtection="1">
      <alignment vertical="center"/>
      <protection locked="0"/>
    </xf>
    <xf numFmtId="178" fontId="0" fillId="12" borderId="63" xfId="13" applyNumberFormat="1" applyFont="1" applyFill="1" applyBorder="1" applyAlignment="1" applyProtection="1">
      <alignment vertical="center"/>
      <protection locked="0"/>
    </xf>
    <xf numFmtId="0" fontId="0" fillId="12" borderId="64" xfId="0" applyFill="1" applyBorder="1" applyAlignment="1" applyProtection="1">
      <alignment horizontal="left" vertical="center"/>
      <protection locked="0"/>
    </xf>
    <xf numFmtId="0" fontId="0" fillId="12" borderId="64" xfId="0" applyFill="1" applyBorder="1" applyProtection="1">
      <protection locked="0"/>
    </xf>
    <xf numFmtId="0" fontId="0" fillId="12" borderId="65" xfId="0" applyFill="1" applyBorder="1" applyProtection="1">
      <protection locked="0"/>
    </xf>
    <xf numFmtId="178" fontId="0" fillId="12" borderId="64" xfId="13" applyNumberFormat="1" applyFont="1" applyFill="1" applyBorder="1" applyAlignment="1" applyProtection="1">
      <alignment vertical="center"/>
      <protection locked="0"/>
    </xf>
    <xf numFmtId="0" fontId="0" fillId="12" borderId="62" xfId="0" applyFill="1" applyBorder="1" applyAlignment="1" applyProtection="1">
      <alignment horizontal="left" vertical="center"/>
      <protection locked="0"/>
    </xf>
    <xf numFmtId="0" fontId="0" fillId="12" borderId="62" xfId="0" applyFill="1" applyBorder="1" applyProtection="1">
      <protection locked="0"/>
    </xf>
    <xf numFmtId="0" fontId="0" fillId="12" borderId="67" xfId="0" applyFill="1" applyBorder="1" applyProtection="1">
      <protection locked="0"/>
    </xf>
    <xf numFmtId="0" fontId="0" fillId="12" borderId="58" xfId="0" applyFill="1" applyBorder="1" applyAlignment="1" applyProtection="1">
      <alignment horizontal="left" vertical="center"/>
      <protection locked="0"/>
    </xf>
    <xf numFmtId="0" fontId="0" fillId="12" borderId="58" xfId="0" applyFill="1" applyBorder="1" applyProtection="1">
      <protection locked="0"/>
    </xf>
    <xf numFmtId="0" fontId="0" fillId="12" borderId="63" xfId="0" applyFill="1" applyBorder="1" applyAlignment="1" applyProtection="1">
      <alignment horizontal="left" vertical="center"/>
      <protection locked="0"/>
    </xf>
    <xf numFmtId="0" fontId="0" fillId="12" borderId="63" xfId="0" applyFill="1" applyBorder="1" applyProtection="1">
      <protection locked="0"/>
    </xf>
    <xf numFmtId="0" fontId="0" fillId="12" borderId="69" xfId="0" applyFill="1" applyBorder="1" applyProtection="1">
      <protection locked="0"/>
    </xf>
    <xf numFmtId="177" fontId="0" fillId="0" borderId="70" xfId="0" applyNumberFormat="1" applyBorder="1" applyAlignment="1">
      <alignment horizontal="right" vertical="center"/>
    </xf>
    <xf numFmtId="177" fontId="0" fillId="0" borderId="71" xfId="0" applyNumberFormat="1" applyBorder="1" applyAlignment="1">
      <alignment horizontal="right" vertical="center"/>
    </xf>
    <xf numFmtId="177" fontId="0" fillId="0" borderId="72" xfId="0" applyNumberFormat="1" applyBorder="1" applyAlignment="1">
      <alignment horizontal="right" vertical="center"/>
    </xf>
    <xf numFmtId="178" fontId="0" fillId="12" borderId="67" xfId="13" applyNumberFormat="1" applyFont="1" applyFill="1" applyBorder="1" applyAlignment="1" applyProtection="1">
      <alignment vertical="center"/>
      <protection locked="0"/>
    </xf>
    <xf numFmtId="178" fontId="0" fillId="12" borderId="69" xfId="13" applyNumberFormat="1" applyFont="1" applyFill="1" applyBorder="1" applyAlignment="1" applyProtection="1">
      <alignment vertical="center"/>
      <protection locked="0"/>
    </xf>
    <xf numFmtId="178" fontId="0" fillId="12" borderId="65" xfId="13" applyNumberFormat="1" applyFont="1" applyFill="1" applyBorder="1" applyAlignment="1" applyProtection="1">
      <alignment vertical="center"/>
      <protection locked="0"/>
    </xf>
    <xf numFmtId="177" fontId="0" fillId="29" borderId="71" xfId="0" applyNumberFormat="1" applyFill="1" applyBorder="1" applyAlignment="1">
      <alignment horizontal="right" vertical="center"/>
    </xf>
    <xf numFmtId="177" fontId="0" fillId="29" borderId="72" xfId="0" applyNumberFormat="1" applyFill="1" applyBorder="1" applyAlignment="1">
      <alignment horizontal="right" vertical="center"/>
    </xf>
    <xf numFmtId="177" fontId="0" fillId="29" borderId="70" xfId="0" applyNumberFormat="1" applyFill="1" applyBorder="1" applyAlignment="1">
      <alignment horizontal="right" vertical="center"/>
    </xf>
    <xf numFmtId="177" fontId="0" fillId="29" borderId="66" xfId="0" applyNumberFormat="1" applyFill="1" applyBorder="1" applyAlignment="1">
      <alignment horizontal="right" vertical="center"/>
    </xf>
    <xf numFmtId="177" fontId="0" fillId="29" borderId="73" xfId="0" applyNumberFormat="1" applyFill="1" applyBorder="1" applyAlignment="1">
      <alignment horizontal="right" vertical="center"/>
    </xf>
    <xf numFmtId="177" fontId="0" fillId="0" borderId="66" xfId="0" applyNumberFormat="1" applyBorder="1" applyAlignment="1">
      <alignment horizontal="right" vertical="center"/>
    </xf>
    <xf numFmtId="177" fontId="0" fillId="0" borderId="73" xfId="0" applyNumberFormat="1" applyBorder="1" applyAlignment="1">
      <alignment horizontal="right" vertical="center"/>
    </xf>
    <xf numFmtId="0" fontId="0" fillId="12" borderId="74" xfId="0" applyFill="1" applyBorder="1" applyAlignment="1" applyProtection="1">
      <alignment horizontal="left" vertical="center"/>
      <protection locked="0"/>
    </xf>
    <xf numFmtId="0" fontId="0" fillId="12" borderId="75" xfId="0" applyFill="1" applyBorder="1" applyAlignment="1" applyProtection="1">
      <alignment horizontal="left" vertical="center"/>
      <protection locked="0"/>
    </xf>
    <xf numFmtId="0" fontId="0" fillId="12" borderId="76" xfId="0" applyFill="1" applyBorder="1" applyAlignment="1" applyProtection="1">
      <alignment horizontal="left" vertical="center"/>
      <protection locked="0"/>
    </xf>
    <xf numFmtId="0" fontId="25" fillId="0" borderId="0" xfId="0" applyFont="1" applyAlignment="1">
      <alignment vertical="center"/>
    </xf>
    <xf numFmtId="0" fontId="11" fillId="23" borderId="63" xfId="0" applyFont="1" applyFill="1" applyBorder="1" applyAlignment="1">
      <alignment horizontal="left" vertical="center"/>
    </xf>
    <xf numFmtId="0" fontId="11" fillId="20" borderId="63" xfId="0" applyFont="1" applyFill="1" applyBorder="1" applyAlignment="1">
      <alignment horizontal="left" vertical="center"/>
    </xf>
    <xf numFmtId="175" fontId="19" fillId="0" borderId="63" xfId="0" applyNumberFormat="1" applyFont="1" applyBorder="1" applyAlignment="1">
      <alignment horizontal="left"/>
    </xf>
    <xf numFmtId="0" fontId="13" fillId="21" borderId="63" xfId="0" applyFont="1" applyFill="1" applyBorder="1" applyAlignment="1">
      <alignment horizontal="center" vertical="center"/>
    </xf>
    <xf numFmtId="0" fontId="13" fillId="20" borderId="63" xfId="0" applyFont="1" applyFill="1" applyBorder="1" applyAlignment="1">
      <alignment horizontal="center" vertical="center" wrapText="1"/>
    </xf>
    <xf numFmtId="1" fontId="0" fillId="0" borderId="63" xfId="0" applyNumberFormat="1" applyBorder="1" applyAlignment="1">
      <alignment horizontal="center" vertical="center" wrapText="1"/>
    </xf>
    <xf numFmtId="168" fontId="11" fillId="23" borderId="63" xfId="13" applyNumberFormat="1" applyFont="1" applyFill="1" applyBorder="1" applyAlignment="1">
      <alignment horizontal="center" vertical="center"/>
    </xf>
    <xf numFmtId="168" fontId="11" fillId="20" borderId="63" xfId="13" applyNumberFormat="1" applyFont="1" applyFill="1" applyBorder="1" applyAlignment="1">
      <alignment horizontal="center" vertical="center"/>
    </xf>
    <xf numFmtId="168" fontId="0" fillId="12" borderId="63" xfId="13" applyNumberFormat="1" applyFont="1" applyFill="1" applyBorder="1" applyAlignment="1" applyProtection="1">
      <alignment vertical="center"/>
      <protection locked="0"/>
    </xf>
    <xf numFmtId="0" fontId="13" fillId="30" borderId="63" xfId="0" applyFont="1" applyFill="1" applyBorder="1" applyAlignment="1">
      <alignment horizontal="center" vertical="center" wrapText="1"/>
    </xf>
    <xf numFmtId="0" fontId="13" fillId="31" borderId="63" xfId="0" applyFont="1" applyFill="1" applyBorder="1" applyAlignment="1">
      <alignment horizontal="left" vertical="center"/>
    </xf>
    <xf numFmtId="168" fontId="13" fillId="30" borderId="63" xfId="0" applyNumberFormat="1" applyFont="1" applyFill="1" applyBorder="1" applyAlignment="1">
      <alignment horizontal="center" vertical="center" wrapText="1"/>
    </xf>
    <xf numFmtId="9" fontId="0" fillId="12" borderId="77" xfId="0" applyNumberFormat="1" applyFill="1" applyBorder="1" applyAlignment="1" applyProtection="1">
      <alignment horizontal="center" vertical="center"/>
      <protection locked="0"/>
    </xf>
    <xf numFmtId="182" fontId="0" fillId="11" borderId="0" xfId="0" applyNumberFormat="1" applyFill="1"/>
    <xf numFmtId="181" fontId="0" fillId="11" borderId="0" xfId="0" applyNumberFormat="1" applyFill="1"/>
    <xf numFmtId="180" fontId="14" fillId="36" borderId="98" xfId="16" applyNumberFormat="1" applyFill="1" applyBorder="1" applyAlignment="1">
      <alignment horizontal="center" vertical="center"/>
    </xf>
    <xf numFmtId="180" fontId="14" fillId="36" borderId="99" xfId="16" applyNumberFormat="1" applyFill="1" applyBorder="1" applyAlignment="1">
      <alignment horizontal="center" vertical="center"/>
    </xf>
    <xf numFmtId="180" fontId="14" fillId="36" borderId="100" xfId="16" applyNumberFormat="1" applyFill="1" applyBorder="1" applyAlignment="1">
      <alignment horizontal="center" vertical="center"/>
    </xf>
    <xf numFmtId="180" fontId="14" fillId="36" borderId="101" xfId="16" applyNumberFormat="1" applyFill="1" applyBorder="1" applyAlignment="1">
      <alignment horizontal="center" vertical="center"/>
    </xf>
    <xf numFmtId="179" fontId="0" fillId="12" borderId="98" xfId="13" applyNumberFormat="1" applyFont="1" applyFill="1" applyBorder="1" applyAlignment="1" applyProtection="1">
      <alignment horizontal="center" vertical="center"/>
      <protection locked="0"/>
    </xf>
    <xf numFmtId="179" fontId="0" fillId="12" borderId="103" xfId="13" applyNumberFormat="1" applyFont="1" applyFill="1" applyBorder="1" applyAlignment="1" applyProtection="1">
      <alignment horizontal="center" vertical="center"/>
      <protection locked="0"/>
    </xf>
    <xf numFmtId="169" fontId="14" fillId="0" borderId="0" xfId="16"/>
    <xf numFmtId="181" fontId="14" fillId="0" borderId="0" xfId="13" applyNumberFormat="1"/>
    <xf numFmtId="0" fontId="23" fillId="12" borderId="33" xfId="0" applyFont="1" applyFill="1" applyBorder="1" applyAlignment="1" applyProtection="1">
      <alignment horizontal="center" vertical="center"/>
      <protection locked="0"/>
    </xf>
    <xf numFmtId="178" fontId="0" fillId="12" borderId="100" xfId="13" applyNumberFormat="1" applyFont="1" applyFill="1" applyBorder="1" applyAlignment="1" applyProtection="1">
      <alignment vertical="center"/>
      <protection locked="0"/>
    </xf>
    <xf numFmtId="9" fontId="0" fillId="12" borderId="101" xfId="0" applyNumberFormat="1" applyFill="1" applyBorder="1" applyAlignment="1" applyProtection="1">
      <alignment horizontal="center" vertical="center"/>
      <protection locked="0"/>
    </xf>
    <xf numFmtId="177" fontId="0" fillId="0" borderId="102" xfId="0" applyNumberFormat="1" applyBorder="1" applyAlignment="1">
      <alignment horizontal="right" vertical="center"/>
    </xf>
    <xf numFmtId="177" fontId="0" fillId="0" borderId="67" xfId="0" applyNumberFormat="1" applyBorder="1" applyAlignment="1">
      <alignment horizontal="right" vertical="center"/>
    </xf>
    <xf numFmtId="177" fontId="0" fillId="0" borderId="110" xfId="0" applyNumberFormat="1" applyBorder="1" applyAlignment="1">
      <alignment horizontal="right" vertical="center"/>
    </xf>
    <xf numFmtId="177" fontId="0" fillId="0" borderId="96" xfId="0" applyNumberFormat="1" applyBorder="1" applyAlignment="1">
      <alignment horizontal="right" vertical="center"/>
    </xf>
    <xf numFmtId="9" fontId="0" fillId="12" borderId="105" xfId="0" applyNumberFormat="1" applyFill="1" applyBorder="1" applyAlignment="1" applyProtection="1">
      <alignment horizontal="center" vertical="center"/>
      <protection locked="0"/>
    </xf>
    <xf numFmtId="0" fontId="10" fillId="14" borderId="105" xfId="0" applyFont="1" applyFill="1" applyBorder="1" applyAlignment="1">
      <alignment horizontal="center" vertical="center"/>
    </xf>
    <xf numFmtId="0" fontId="10" fillId="45" borderId="104" xfId="0" applyFont="1" applyFill="1" applyBorder="1" applyAlignment="1">
      <alignment horizontal="center" vertical="center"/>
    </xf>
    <xf numFmtId="0" fontId="10" fillId="14" borderId="96" xfId="0" applyFont="1" applyFill="1" applyBorder="1" applyAlignment="1">
      <alignment horizontal="center" vertical="center"/>
    </xf>
    <xf numFmtId="0" fontId="10" fillId="45" borderId="116" xfId="0" applyFont="1" applyFill="1" applyBorder="1" applyAlignment="1">
      <alignment horizontal="center" vertical="center"/>
    </xf>
    <xf numFmtId="169" fontId="0" fillId="12" borderId="79" xfId="16" applyFont="1" applyFill="1" applyBorder="1" applyAlignment="1" applyProtection="1">
      <alignment horizontal="center" vertical="center"/>
      <protection locked="0"/>
    </xf>
    <xf numFmtId="169" fontId="0" fillId="12" borderId="117" xfId="16" applyFont="1" applyFill="1" applyBorder="1" applyAlignment="1" applyProtection="1">
      <alignment horizontal="center" vertical="center"/>
      <protection locked="0"/>
    </xf>
    <xf numFmtId="169" fontId="0" fillId="12" borderId="116" xfId="16" applyFont="1" applyFill="1" applyBorder="1" applyAlignment="1" applyProtection="1">
      <alignment horizontal="center" vertical="center"/>
      <protection locked="0"/>
    </xf>
    <xf numFmtId="177" fontId="0" fillId="0" borderId="99" xfId="0" applyNumberFormat="1" applyBorder="1" applyAlignment="1">
      <alignment horizontal="right" vertical="center"/>
    </xf>
    <xf numFmtId="177" fontId="0" fillId="0" borderId="104" xfId="0" applyNumberFormat="1" applyBorder="1" applyAlignment="1">
      <alignment horizontal="right" vertical="center"/>
    </xf>
    <xf numFmtId="0" fontId="25" fillId="0" borderId="0" xfId="0" applyFont="1" applyAlignment="1">
      <alignment vertical="center" wrapText="1"/>
    </xf>
    <xf numFmtId="0" fontId="10" fillId="46" borderId="105" xfId="0" applyFont="1" applyFill="1" applyBorder="1" applyAlignment="1">
      <alignment horizontal="center" vertical="center"/>
    </xf>
    <xf numFmtId="0" fontId="10" fillId="46" borderId="104" xfId="0" applyFont="1" applyFill="1" applyBorder="1" applyAlignment="1">
      <alignment horizontal="center" vertical="center"/>
    </xf>
    <xf numFmtId="169" fontId="30" fillId="0" borderId="81" xfId="16" applyFont="1" applyBorder="1" applyAlignment="1">
      <alignment horizontal="center" vertical="center"/>
    </xf>
    <xf numFmtId="169" fontId="30" fillId="0" borderId="84" xfId="16" applyFont="1" applyBorder="1" applyAlignment="1">
      <alignment horizontal="center" vertical="center"/>
    </xf>
    <xf numFmtId="177" fontId="0" fillId="27" borderId="83" xfId="0" applyNumberFormat="1" applyFill="1" applyBorder="1" applyAlignment="1">
      <alignment horizontal="right" vertical="center"/>
    </xf>
    <xf numFmtId="177" fontId="0" fillId="27" borderId="120" xfId="0" applyNumberFormat="1" applyFill="1" applyBorder="1" applyAlignment="1">
      <alignment horizontal="right" vertical="center"/>
    </xf>
    <xf numFmtId="0" fontId="0" fillId="11" borderId="122" xfId="0" applyFill="1" applyBorder="1"/>
    <xf numFmtId="0" fontId="0" fillId="11" borderId="123" xfId="0" applyFill="1" applyBorder="1"/>
    <xf numFmtId="0" fontId="0" fillId="11" borderId="124" xfId="0" applyFill="1" applyBorder="1"/>
    <xf numFmtId="0" fontId="0" fillId="11" borderId="113" xfId="0" applyFill="1" applyBorder="1"/>
    <xf numFmtId="0" fontId="0" fillId="11" borderId="56" xfId="0" applyFill="1" applyBorder="1"/>
    <xf numFmtId="0" fontId="25" fillId="0" borderId="113" xfId="0" applyFont="1" applyBorder="1" applyAlignment="1">
      <alignment vertical="center"/>
    </xf>
    <xf numFmtId="0" fontId="10" fillId="14" borderId="106" xfId="0" applyFont="1" applyFill="1" applyBorder="1" applyAlignment="1">
      <alignment horizontal="center" vertical="center"/>
    </xf>
    <xf numFmtId="0" fontId="10" fillId="14" borderId="121" xfId="0" applyFont="1" applyFill="1" applyBorder="1" applyAlignment="1">
      <alignment horizontal="center" vertical="center"/>
    </xf>
    <xf numFmtId="0" fontId="10" fillId="46" borderId="106" xfId="0" applyFont="1" applyFill="1" applyBorder="1" applyAlignment="1">
      <alignment horizontal="center" vertical="center"/>
    </xf>
    <xf numFmtId="0" fontId="10" fillId="46" borderId="121" xfId="0" applyFont="1" applyFill="1" applyBorder="1" applyAlignment="1">
      <alignment horizontal="center" vertical="center"/>
    </xf>
    <xf numFmtId="0" fontId="10" fillId="45" borderId="106" xfId="0" applyFont="1" applyFill="1" applyBorder="1" applyAlignment="1">
      <alignment horizontal="center" vertical="center"/>
    </xf>
    <xf numFmtId="0" fontId="10" fillId="45" borderId="121" xfId="0" applyFont="1" applyFill="1" applyBorder="1" applyAlignment="1">
      <alignment horizontal="center" vertical="center"/>
    </xf>
    <xf numFmtId="177" fontId="0" fillId="26" borderId="98" xfId="0" applyNumberFormat="1" applyFill="1" applyBorder="1" applyAlignment="1">
      <alignment horizontal="right" vertical="center"/>
    </xf>
    <xf numFmtId="177" fontId="0" fillId="26" borderId="99" xfId="0" applyNumberFormat="1" applyFill="1" applyBorder="1" applyAlignment="1">
      <alignment horizontal="right" vertical="center"/>
    </xf>
    <xf numFmtId="0" fontId="0" fillId="11" borderId="114" xfId="0" applyFill="1" applyBorder="1"/>
    <xf numFmtId="0" fontId="0" fillId="11" borderId="119" xfId="0" applyFill="1" applyBorder="1"/>
    <xf numFmtId="0" fontId="0" fillId="11" borderId="53" xfId="0" applyFill="1" applyBorder="1"/>
    <xf numFmtId="168" fontId="11" fillId="20" borderId="63" xfId="13" applyNumberFormat="1" applyFont="1" applyFill="1" applyBorder="1" applyAlignment="1" applyProtection="1">
      <alignment horizontal="center" vertical="center"/>
      <protection locked="0"/>
    </xf>
    <xf numFmtId="9" fontId="0" fillId="42" borderId="77" xfId="0" applyNumberFormat="1" applyFill="1" applyBorder="1" applyAlignment="1">
      <alignment horizontal="center" vertical="center"/>
    </xf>
    <xf numFmtId="9" fontId="0" fillId="42" borderId="98" xfId="0" applyNumberFormat="1" applyFill="1" applyBorder="1" applyAlignment="1">
      <alignment horizontal="center" vertical="center"/>
    </xf>
    <xf numFmtId="169" fontId="0" fillId="42" borderId="98" xfId="16" applyFont="1" applyFill="1" applyBorder="1" applyAlignment="1">
      <alignment horizontal="center" vertical="center"/>
    </xf>
    <xf numFmtId="0" fontId="13" fillId="16" borderId="121" xfId="0" applyFont="1" applyFill="1" applyBorder="1" applyAlignment="1">
      <alignment horizontal="center" vertical="center" wrapText="1"/>
    </xf>
    <xf numFmtId="178" fontId="0" fillId="12" borderId="98" xfId="13" applyNumberFormat="1" applyFont="1" applyFill="1" applyBorder="1" applyAlignment="1" applyProtection="1">
      <alignment vertical="center"/>
      <protection locked="0"/>
    </xf>
    <xf numFmtId="177" fontId="23" fillId="28" borderId="45" xfId="0" applyNumberFormat="1" applyFont="1" applyFill="1" applyBorder="1" applyAlignment="1">
      <alignment vertical="center"/>
    </xf>
    <xf numFmtId="168" fontId="0" fillId="12" borderId="99" xfId="13" applyNumberFormat="1" applyFont="1" applyFill="1" applyBorder="1" applyAlignment="1" applyProtection="1">
      <alignment vertical="center"/>
      <protection locked="0"/>
    </xf>
    <xf numFmtId="0" fontId="0" fillId="12" borderId="101" xfId="0" applyFill="1" applyBorder="1" applyAlignment="1" applyProtection="1">
      <alignment horizontal="left" vertical="center"/>
      <protection locked="0"/>
    </xf>
    <xf numFmtId="168" fontId="0" fillId="12" borderId="102" xfId="13" applyNumberFormat="1" applyFont="1" applyFill="1" applyBorder="1" applyAlignment="1" applyProtection="1">
      <alignment vertical="center"/>
      <protection locked="0"/>
    </xf>
    <xf numFmtId="0" fontId="0" fillId="12" borderId="105" xfId="0" applyFill="1" applyBorder="1" applyAlignment="1" applyProtection="1">
      <alignment horizontal="left" vertical="center"/>
      <protection locked="0"/>
    </xf>
    <xf numFmtId="168" fontId="0" fillId="12" borderId="104" xfId="13" applyNumberFormat="1" applyFont="1" applyFill="1" applyBorder="1" applyAlignment="1" applyProtection="1">
      <alignment vertical="center"/>
      <protection locked="0"/>
    </xf>
    <xf numFmtId="0" fontId="21" fillId="0" borderId="0" xfId="20" applyFill="1" applyBorder="1" applyAlignment="1" applyProtection="1">
      <alignment vertical="center"/>
    </xf>
    <xf numFmtId="0" fontId="21" fillId="11" borderId="0" xfId="20" applyFill="1" applyBorder="1" applyAlignment="1" applyProtection="1">
      <alignment vertical="center"/>
    </xf>
    <xf numFmtId="0" fontId="21" fillId="0" borderId="0" xfId="20" applyProtection="1"/>
    <xf numFmtId="0" fontId="21" fillId="0" borderId="0" xfId="20" applyBorder="1" applyAlignment="1" applyProtection="1">
      <alignment vertical="center"/>
    </xf>
    <xf numFmtId="0" fontId="21" fillId="0" borderId="0" xfId="20" applyBorder="1" applyAlignment="1" applyProtection="1">
      <alignment horizontal="left" vertical="center"/>
    </xf>
    <xf numFmtId="0" fontId="25" fillId="0" borderId="0" xfId="0" applyFont="1" applyAlignment="1">
      <alignment horizontal="left" vertical="center"/>
    </xf>
    <xf numFmtId="0" fontId="21" fillId="0" borderId="0" xfId="20" quotePrefix="1" applyBorder="1" applyAlignment="1" applyProtection="1">
      <alignment horizontal="left" vertical="center"/>
    </xf>
    <xf numFmtId="0" fontId="21" fillId="0" borderId="0" xfId="20"/>
    <xf numFmtId="0" fontId="21" fillId="11" borderId="0" xfId="20" applyFill="1" applyBorder="1" applyAlignment="1" applyProtection="1">
      <alignment horizontal="left" vertical="center"/>
    </xf>
    <xf numFmtId="0" fontId="21" fillId="0" borderId="0" xfId="20" applyAlignment="1" applyProtection="1">
      <alignment horizontal="left"/>
    </xf>
    <xf numFmtId="168" fontId="0" fillId="12" borderId="100" xfId="13" applyNumberFormat="1" applyFont="1" applyFill="1" applyBorder="1" applyAlignment="1" applyProtection="1">
      <alignment vertical="center"/>
      <protection locked="0"/>
    </xf>
    <xf numFmtId="176" fontId="19" fillId="12" borderId="100" xfId="12" applyNumberFormat="1" applyFont="1" applyFill="1" applyBorder="1" applyAlignment="1" applyProtection="1">
      <alignment vertical="center"/>
      <protection locked="0"/>
    </xf>
    <xf numFmtId="168" fontId="19" fillId="12" borderId="100" xfId="13" applyNumberFormat="1" applyFont="1" applyFill="1" applyBorder="1" applyAlignment="1" applyProtection="1">
      <alignment vertical="center"/>
      <protection locked="0"/>
    </xf>
    <xf numFmtId="0" fontId="13" fillId="17" borderId="100" xfId="0" applyFont="1" applyFill="1" applyBorder="1" applyAlignment="1">
      <alignment horizontal="center" vertical="center" wrapText="1"/>
    </xf>
    <xf numFmtId="174" fontId="13" fillId="17" borderId="100" xfId="12" applyNumberFormat="1" applyFont="1" applyFill="1" applyBorder="1" applyAlignment="1">
      <alignment horizontal="center" vertical="center" wrapText="1"/>
    </xf>
    <xf numFmtId="0" fontId="11" fillId="17" borderId="100" xfId="0" applyFont="1" applyFill="1" applyBorder="1" applyAlignment="1">
      <alignment horizontal="center" vertical="center"/>
    </xf>
    <xf numFmtId="0" fontId="13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13" fillId="0" borderId="0" xfId="0" applyFont="1" applyAlignment="1" applyProtection="1">
      <alignment vertical="center"/>
      <protection locked="0"/>
    </xf>
    <xf numFmtId="168" fontId="0" fillId="0" borderId="0" xfId="0" applyNumberFormat="1" applyAlignment="1">
      <alignment vertical="center"/>
    </xf>
    <xf numFmtId="168" fontId="13" fillId="0" borderId="0" xfId="0" applyNumberFormat="1" applyFont="1" applyAlignment="1">
      <alignment vertical="center"/>
    </xf>
    <xf numFmtId="0" fontId="0" fillId="12" borderId="47" xfId="0" applyFill="1" applyBorder="1" applyAlignment="1" applyProtection="1">
      <alignment horizontal="left" vertical="center"/>
      <protection locked="0"/>
    </xf>
    <xf numFmtId="179" fontId="0" fillId="12" borderId="140" xfId="13" applyNumberFormat="1" applyFont="1" applyFill="1" applyBorder="1" applyAlignment="1" applyProtection="1">
      <alignment horizontal="center" vertical="center"/>
      <protection locked="0"/>
    </xf>
    <xf numFmtId="168" fontId="0" fillId="0" borderId="147" xfId="0" applyNumberFormat="1" applyBorder="1" applyAlignment="1">
      <alignment vertical="center"/>
    </xf>
    <xf numFmtId="168" fontId="13" fillId="39" borderId="150" xfId="0" applyNumberFormat="1" applyFont="1" applyFill="1" applyBorder="1" applyAlignment="1">
      <alignment vertical="center"/>
    </xf>
    <xf numFmtId="168" fontId="13" fillId="39" borderId="105" xfId="13" applyNumberFormat="1" applyFont="1" applyFill="1" applyBorder="1" applyAlignment="1">
      <alignment vertical="center"/>
    </xf>
    <xf numFmtId="168" fontId="13" fillId="39" borderId="104" xfId="13" applyNumberFormat="1" applyFont="1" applyFill="1" applyBorder="1" applyAlignment="1">
      <alignment vertical="center"/>
    </xf>
    <xf numFmtId="0" fontId="13" fillId="15" borderId="136" xfId="0" applyFont="1" applyFill="1" applyBorder="1" applyAlignment="1">
      <alignment horizontal="center" vertical="center" wrapText="1"/>
    </xf>
    <xf numFmtId="168" fontId="18" fillId="35" borderId="88" xfId="0" applyNumberFormat="1" applyFont="1" applyFill="1" applyBorder="1" applyAlignment="1">
      <alignment horizontal="center" vertical="center" wrapText="1"/>
    </xf>
    <xf numFmtId="168" fontId="18" fillId="35" borderId="159" xfId="0" applyNumberFormat="1" applyFont="1" applyFill="1" applyBorder="1" applyAlignment="1">
      <alignment horizontal="center" vertical="center" wrapText="1"/>
    </xf>
    <xf numFmtId="0" fontId="18" fillId="35" borderId="87" xfId="0" applyFont="1" applyFill="1" applyBorder="1" applyAlignment="1">
      <alignment horizontal="center" vertical="center" wrapText="1"/>
    </xf>
    <xf numFmtId="0" fontId="18" fillId="25" borderId="160" xfId="0" applyFont="1" applyFill="1" applyBorder="1" applyAlignment="1">
      <alignment horizontal="center" vertical="center" wrapText="1"/>
    </xf>
    <xf numFmtId="0" fontId="18" fillId="25" borderId="158" xfId="0" applyFont="1" applyFill="1" applyBorder="1" applyAlignment="1">
      <alignment horizontal="center" vertical="center" wrapText="1"/>
    </xf>
    <xf numFmtId="0" fontId="18" fillId="25" borderId="88" xfId="0" applyFont="1" applyFill="1" applyBorder="1" applyAlignment="1">
      <alignment horizontal="center" vertical="center" wrapText="1"/>
    </xf>
    <xf numFmtId="0" fontId="13" fillId="15" borderId="91" xfId="0" applyFont="1" applyFill="1" applyBorder="1" applyAlignment="1">
      <alignment horizontal="center" vertical="center" wrapText="1"/>
    </xf>
    <xf numFmtId="0" fontId="13" fillId="0" borderId="161" xfId="0" applyFont="1" applyBorder="1" applyAlignment="1">
      <alignment horizontal="left" vertical="center"/>
    </xf>
    <xf numFmtId="168" fontId="0" fillId="29" borderId="142" xfId="13" applyNumberFormat="1" applyFont="1" applyFill="1" applyBorder="1" applyAlignment="1">
      <alignment vertical="center"/>
    </xf>
    <xf numFmtId="168" fontId="0" fillId="29" borderId="147" xfId="13" applyNumberFormat="1" applyFont="1" applyFill="1" applyBorder="1" applyAlignment="1">
      <alignment vertical="center"/>
    </xf>
    <xf numFmtId="168" fontId="13" fillId="29" borderId="162" xfId="13" applyNumberFormat="1" applyFont="1" applyFill="1" applyBorder="1" applyAlignment="1">
      <alignment vertical="center"/>
    </xf>
    <xf numFmtId="168" fontId="0" fillId="19" borderId="163" xfId="13" applyNumberFormat="1" applyFont="1" applyFill="1" applyBorder="1" applyAlignment="1">
      <alignment vertical="center"/>
    </xf>
    <xf numFmtId="168" fontId="0" fillId="19" borderId="164" xfId="13" applyNumberFormat="1" applyFont="1" applyFill="1" applyBorder="1" applyAlignment="1">
      <alignment vertical="center"/>
    </xf>
    <xf numFmtId="168" fontId="13" fillId="19" borderId="142" xfId="13" applyNumberFormat="1" applyFont="1" applyFill="1" applyBorder="1" applyAlignment="1">
      <alignment vertical="center"/>
    </xf>
    <xf numFmtId="168" fontId="13" fillId="0" borderId="165" xfId="13" applyNumberFormat="1" applyFont="1" applyBorder="1" applyAlignment="1">
      <alignment vertical="center"/>
    </xf>
    <xf numFmtId="0" fontId="13" fillId="15" borderId="166" xfId="0" applyFont="1" applyFill="1" applyBorder="1" applyAlignment="1">
      <alignment horizontal="center" vertical="center"/>
    </xf>
    <xf numFmtId="168" fontId="22" fillId="15" borderId="167" xfId="13" applyNumberFormat="1" applyFont="1" applyFill="1" applyBorder="1" applyAlignment="1">
      <alignment vertical="center"/>
    </xf>
    <xf numFmtId="179" fontId="0" fillId="12" borderId="171" xfId="13" applyNumberFormat="1" applyFont="1" applyFill="1" applyBorder="1" applyAlignment="1" applyProtection="1">
      <alignment horizontal="center" vertical="center"/>
      <protection locked="0"/>
    </xf>
    <xf numFmtId="179" fontId="0" fillId="12" borderId="144" xfId="13" applyNumberFormat="1" applyFont="1" applyFill="1" applyBorder="1" applyAlignment="1" applyProtection="1">
      <alignment horizontal="center" vertical="center"/>
      <protection locked="0"/>
    </xf>
    <xf numFmtId="179" fontId="0" fillId="12" borderId="116" xfId="13" applyNumberFormat="1" applyFont="1" applyFill="1" applyBorder="1" applyAlignment="1" applyProtection="1">
      <alignment horizontal="center" vertical="center"/>
      <protection locked="0"/>
    </xf>
    <xf numFmtId="0" fontId="0" fillId="0" borderId="127" xfId="0" applyBorder="1" applyAlignment="1">
      <alignment horizontal="left" vertical="center"/>
    </xf>
    <xf numFmtId="0" fontId="0" fillId="0" borderId="128" xfId="0" applyBorder="1" applyAlignment="1">
      <alignment horizontal="left" vertical="center"/>
    </xf>
    <xf numFmtId="0" fontId="0" fillId="0" borderId="129" xfId="0" applyBorder="1" applyAlignment="1">
      <alignment horizontal="left" vertical="center"/>
    </xf>
    <xf numFmtId="167" fontId="0" fillId="0" borderId="107" xfId="13" applyNumberFormat="1" applyFont="1" applyBorder="1" applyAlignment="1">
      <alignment vertical="center"/>
    </xf>
    <xf numFmtId="167" fontId="0" fillId="0" borderId="175" xfId="13" applyNumberFormat="1" applyFont="1" applyBorder="1" applyAlignment="1">
      <alignment vertical="center"/>
    </xf>
    <xf numFmtId="167" fontId="0" fillId="0" borderId="108" xfId="13" applyNumberFormat="1" applyFont="1" applyBorder="1" applyAlignment="1">
      <alignment vertical="center"/>
    </xf>
    <xf numFmtId="168" fontId="0" fillId="29" borderId="100" xfId="13" applyNumberFormat="1" applyFont="1" applyFill="1" applyBorder="1" applyAlignment="1">
      <alignment vertical="center"/>
    </xf>
    <xf numFmtId="168" fontId="0" fillId="29" borderId="47" xfId="13" applyNumberFormat="1" applyFont="1" applyFill="1" applyBorder="1" applyAlignment="1">
      <alignment vertical="center"/>
    </xf>
    <xf numFmtId="168" fontId="0" fillId="29" borderId="98" xfId="13" applyNumberFormat="1" applyFont="1" applyFill="1" applyBorder="1" applyAlignment="1">
      <alignment vertical="center"/>
    </xf>
    <xf numFmtId="168" fontId="0" fillId="29" borderId="99" xfId="13" applyNumberFormat="1" applyFont="1" applyFill="1" applyBorder="1" applyAlignment="1">
      <alignment vertical="center"/>
    </xf>
    <xf numFmtId="168" fontId="0" fillId="29" borderId="101" xfId="13" applyNumberFormat="1" applyFont="1" applyFill="1" applyBorder="1" applyAlignment="1">
      <alignment vertical="center"/>
    </xf>
    <xf numFmtId="168" fontId="0" fillId="29" borderId="102" xfId="13" applyNumberFormat="1" applyFont="1" applyFill="1" applyBorder="1" applyAlignment="1">
      <alignment vertical="center"/>
    </xf>
    <xf numFmtId="168" fontId="0" fillId="29" borderId="50" xfId="13" applyNumberFormat="1" applyFont="1" applyFill="1" applyBorder="1" applyAlignment="1">
      <alignment vertical="center"/>
    </xf>
    <xf numFmtId="168" fontId="0" fillId="0" borderId="105" xfId="13" applyNumberFormat="1" applyFont="1" applyBorder="1" applyAlignment="1">
      <alignment vertical="center"/>
    </xf>
    <xf numFmtId="170" fontId="0" fillId="0" borderId="105" xfId="0" applyNumberFormat="1" applyBorder="1" applyAlignment="1">
      <alignment horizontal="center" vertical="center"/>
    </xf>
    <xf numFmtId="170" fontId="0" fillId="0" borderId="104" xfId="0" applyNumberFormat="1" applyBorder="1" applyAlignment="1">
      <alignment horizontal="center" vertical="center"/>
    </xf>
    <xf numFmtId="168" fontId="13" fillId="34" borderId="176" xfId="0" applyNumberFormat="1" applyFont="1" applyFill="1" applyBorder="1" applyAlignment="1">
      <alignment horizontal="center" vertical="center" wrapText="1"/>
    </xf>
    <xf numFmtId="168" fontId="13" fillId="34" borderId="177" xfId="0" applyNumberFormat="1" applyFont="1" applyFill="1" applyBorder="1" applyAlignment="1">
      <alignment horizontal="center" vertical="center" wrapText="1"/>
    </xf>
    <xf numFmtId="168" fontId="13" fillId="34" borderId="178" xfId="0" applyNumberFormat="1" applyFont="1" applyFill="1" applyBorder="1" applyAlignment="1">
      <alignment horizontal="center" vertical="center" wrapText="1"/>
    </xf>
    <xf numFmtId="168" fontId="13" fillId="15" borderId="179" xfId="0" applyNumberFormat="1" applyFont="1" applyFill="1" applyBorder="1" applyAlignment="1">
      <alignment horizontal="center" vertical="center" wrapText="1"/>
    </xf>
    <xf numFmtId="168" fontId="13" fillId="15" borderId="177" xfId="0" applyNumberFormat="1" applyFont="1" applyFill="1" applyBorder="1" applyAlignment="1">
      <alignment horizontal="center" vertical="center" wrapText="1"/>
    </xf>
    <xf numFmtId="168" fontId="13" fillId="15" borderId="180" xfId="0" applyNumberFormat="1" applyFont="1" applyFill="1" applyBorder="1" applyAlignment="1">
      <alignment horizontal="center" vertical="center" wrapText="1"/>
    </xf>
    <xf numFmtId="0" fontId="13" fillId="15" borderId="176" xfId="0" applyFont="1" applyFill="1" applyBorder="1" applyAlignment="1">
      <alignment horizontal="center" vertical="center"/>
    </xf>
    <xf numFmtId="0" fontId="13" fillId="15" borderId="181" xfId="0" applyFont="1" applyFill="1" applyBorder="1" applyAlignment="1">
      <alignment horizontal="center" vertical="center"/>
    </xf>
    <xf numFmtId="167" fontId="0" fillId="0" borderId="182" xfId="13" applyNumberFormat="1" applyFont="1" applyBorder="1" applyAlignment="1">
      <alignment vertical="center"/>
    </xf>
    <xf numFmtId="167" fontId="0" fillId="0" borderId="183" xfId="13" applyNumberFormat="1" applyFont="1" applyBorder="1" applyAlignment="1">
      <alignment vertical="center"/>
    </xf>
    <xf numFmtId="167" fontId="0" fillId="0" borderId="184" xfId="13" applyNumberFormat="1" applyFont="1" applyBorder="1" applyAlignment="1">
      <alignment vertical="center"/>
    </xf>
    <xf numFmtId="180" fontId="14" fillId="36" borderId="47" xfId="16" applyNumberFormat="1" applyFill="1" applyBorder="1" applyAlignment="1">
      <alignment horizontal="center" vertical="center"/>
    </xf>
    <xf numFmtId="180" fontId="14" fillId="36" borderId="102" xfId="16" applyNumberFormat="1" applyFill="1" applyBorder="1" applyAlignment="1">
      <alignment horizontal="center" vertical="center"/>
    </xf>
    <xf numFmtId="168" fontId="0" fillId="29" borderId="127" xfId="13" applyNumberFormat="1" applyFont="1" applyFill="1" applyBorder="1" applyAlignment="1">
      <alignment vertical="center"/>
    </xf>
    <xf numFmtId="168" fontId="0" fillId="29" borderId="128" xfId="13" applyNumberFormat="1" applyFont="1" applyFill="1" applyBorder="1" applyAlignment="1">
      <alignment vertical="center"/>
    </xf>
    <xf numFmtId="168" fontId="0" fillId="29" borderId="129" xfId="13" applyNumberFormat="1" applyFont="1" applyFill="1" applyBorder="1" applyAlignment="1">
      <alignment vertical="center"/>
    </xf>
    <xf numFmtId="177" fontId="23" fillId="26" borderId="59" xfId="0" applyNumberFormat="1" applyFont="1" applyFill="1" applyBorder="1" applyAlignment="1">
      <alignment horizontal="right" vertical="center"/>
    </xf>
    <xf numFmtId="9" fontId="0" fillId="12" borderId="106" xfId="0" applyNumberFormat="1" applyFill="1" applyBorder="1" applyAlignment="1" applyProtection="1">
      <alignment horizontal="center" vertical="center"/>
      <protection locked="0"/>
    </xf>
    <xf numFmtId="177" fontId="0" fillId="0" borderId="168" xfId="0" applyNumberFormat="1" applyBorder="1" applyAlignment="1">
      <alignment horizontal="right" vertical="center"/>
    </xf>
    <xf numFmtId="177" fontId="0" fillId="0" borderId="121" xfId="0" applyNumberFormat="1" applyBorder="1" applyAlignment="1">
      <alignment horizontal="right" vertical="center"/>
    </xf>
    <xf numFmtId="169" fontId="0" fillId="12" borderId="188" xfId="16" applyFont="1" applyFill="1" applyBorder="1" applyAlignment="1" applyProtection="1">
      <alignment horizontal="center" vertical="center"/>
      <protection locked="0"/>
    </xf>
    <xf numFmtId="169" fontId="15" fillId="19" borderId="48" xfId="16" applyFont="1" applyFill="1" applyBorder="1" applyAlignment="1">
      <alignment horizontal="center" vertical="center"/>
    </xf>
    <xf numFmtId="177" fontId="23" fillId="26" borderId="49" xfId="0" applyNumberFormat="1" applyFont="1" applyFill="1" applyBorder="1" applyAlignment="1">
      <alignment horizontal="right" vertical="center"/>
    </xf>
    <xf numFmtId="0" fontId="18" fillId="33" borderId="28" xfId="0" applyFont="1" applyFill="1" applyBorder="1" applyAlignment="1">
      <alignment horizontal="center" vertical="center" wrapText="1"/>
    </xf>
    <xf numFmtId="0" fontId="18" fillId="47" borderId="29" xfId="0" applyFont="1" applyFill="1" applyBorder="1" applyAlignment="1">
      <alignment vertical="center"/>
    </xf>
    <xf numFmtId="167" fontId="18" fillId="47" borderId="100" xfId="13" applyNumberFormat="1" applyFont="1" applyFill="1" applyBorder="1" applyAlignment="1">
      <alignment vertical="center"/>
    </xf>
    <xf numFmtId="0" fontId="11" fillId="23" borderId="147" xfId="0" applyFont="1" applyFill="1" applyBorder="1" applyAlignment="1">
      <alignment horizontal="left" vertical="center"/>
    </xf>
    <xf numFmtId="168" fontId="11" fillId="23" borderId="100" xfId="13" applyNumberFormat="1" applyFont="1" applyFill="1" applyBorder="1" applyAlignment="1">
      <alignment horizontal="center" vertical="center"/>
    </xf>
    <xf numFmtId="168" fontId="13" fillId="40" borderId="100" xfId="13" applyNumberFormat="1" applyFont="1" applyFill="1" applyBorder="1" applyAlignment="1">
      <alignment vertical="center"/>
    </xf>
    <xf numFmtId="168" fontId="11" fillId="23" borderId="164" xfId="13" applyNumberFormat="1" applyFont="1" applyFill="1" applyBorder="1" applyAlignment="1">
      <alignment horizontal="center" vertical="center"/>
    </xf>
    <xf numFmtId="0" fontId="13" fillId="20" borderId="137" xfId="0" applyFont="1" applyFill="1" applyBorder="1" applyAlignment="1">
      <alignment horizontal="center" vertical="center" wrapText="1"/>
    </xf>
    <xf numFmtId="0" fontId="11" fillId="20" borderId="147" xfId="0" applyFont="1" applyFill="1" applyBorder="1" applyAlignment="1">
      <alignment horizontal="left" vertical="center"/>
    </xf>
    <xf numFmtId="168" fontId="11" fillId="20" borderId="100" xfId="13" applyNumberFormat="1" applyFont="1" applyFill="1" applyBorder="1" applyAlignment="1">
      <alignment horizontal="center" vertical="center"/>
    </xf>
    <xf numFmtId="168" fontId="13" fillId="41" borderId="100" xfId="13" applyNumberFormat="1" applyFont="1" applyFill="1" applyBorder="1" applyAlignment="1">
      <alignment vertical="center"/>
    </xf>
    <xf numFmtId="168" fontId="11" fillId="20" borderId="137" xfId="13" applyNumberFormat="1" applyFont="1" applyFill="1" applyBorder="1" applyAlignment="1">
      <alignment horizontal="center" vertical="center"/>
    </xf>
    <xf numFmtId="1" fontId="0" fillId="0" borderId="137" xfId="0" applyNumberFormat="1" applyBorder="1" applyAlignment="1">
      <alignment horizontal="center" vertical="center" wrapText="1"/>
    </xf>
    <xf numFmtId="175" fontId="19" fillId="0" borderId="147" xfId="0" applyNumberFormat="1" applyFont="1" applyBorder="1" applyAlignment="1">
      <alignment horizontal="left"/>
    </xf>
    <xf numFmtId="168" fontId="0" fillId="44" borderId="100" xfId="13" applyNumberFormat="1" applyFont="1" applyFill="1" applyBorder="1" applyAlignment="1">
      <alignment vertical="center"/>
    </xf>
    <xf numFmtId="168" fontId="19" fillId="29" borderId="100" xfId="13" applyNumberFormat="1" applyFont="1" applyFill="1" applyBorder="1" applyAlignment="1">
      <alignment vertical="center"/>
    </xf>
    <xf numFmtId="168" fontId="11" fillId="28" borderId="164" xfId="13" applyNumberFormat="1" applyFont="1" applyFill="1" applyBorder="1" applyAlignment="1">
      <alignment vertical="center"/>
    </xf>
    <xf numFmtId="1" fontId="0" fillId="0" borderId="139" xfId="0" applyNumberFormat="1" applyBorder="1"/>
    <xf numFmtId="175" fontId="30" fillId="0" borderId="147" xfId="0" applyNumberFormat="1" applyFont="1" applyBorder="1" applyAlignment="1">
      <alignment horizontal="left"/>
    </xf>
    <xf numFmtId="168" fontId="11" fillId="23" borderId="137" xfId="13" applyNumberFormat="1" applyFont="1" applyFill="1" applyBorder="1" applyAlignment="1">
      <alignment horizontal="center" vertical="center"/>
    </xf>
    <xf numFmtId="168" fontId="11" fillId="20" borderId="100" xfId="13" applyNumberFormat="1" applyFont="1" applyFill="1" applyBorder="1" applyAlignment="1">
      <alignment vertical="center"/>
    </xf>
    <xf numFmtId="168" fontId="11" fillId="20" borderId="164" xfId="13" applyNumberFormat="1" applyFont="1" applyFill="1" applyBorder="1" applyAlignment="1">
      <alignment vertical="center"/>
    </xf>
    <xf numFmtId="1" fontId="0" fillId="42" borderId="137" xfId="0" applyNumberFormat="1" applyFill="1" applyBorder="1" applyAlignment="1">
      <alignment horizontal="center" vertical="center" wrapText="1"/>
    </xf>
    <xf numFmtId="168" fontId="0" fillId="28" borderId="100" xfId="13" applyNumberFormat="1" applyFont="1" applyFill="1" applyBorder="1" applyAlignment="1">
      <alignment vertical="center"/>
    </xf>
    <xf numFmtId="167" fontId="13" fillId="31" borderId="189" xfId="13" applyNumberFormat="1" applyFont="1" applyFill="1" applyBorder="1" applyAlignment="1">
      <alignment vertical="center"/>
    </xf>
    <xf numFmtId="175" fontId="19" fillId="0" borderId="191" xfId="0" applyNumberFormat="1" applyFont="1" applyBorder="1" applyAlignment="1">
      <alignment horizontal="left"/>
    </xf>
    <xf numFmtId="168" fontId="11" fillId="28" borderId="192" xfId="13" applyNumberFormat="1" applyFont="1" applyFill="1" applyBorder="1" applyAlignment="1">
      <alignment vertical="center"/>
    </xf>
    <xf numFmtId="0" fontId="13" fillId="31" borderId="190" xfId="0" applyFont="1" applyFill="1" applyBorder="1" applyAlignment="1">
      <alignment vertical="center"/>
    </xf>
    <xf numFmtId="167" fontId="13" fillId="31" borderId="100" xfId="13" applyNumberFormat="1" applyFont="1" applyFill="1" applyBorder="1" applyAlignment="1">
      <alignment vertical="center"/>
    </xf>
    <xf numFmtId="167" fontId="13" fillId="32" borderId="100" xfId="13" applyNumberFormat="1" applyFont="1" applyFill="1" applyBorder="1" applyAlignment="1">
      <alignment vertical="center"/>
    </xf>
    <xf numFmtId="181" fontId="14" fillId="28" borderId="100" xfId="13" applyNumberFormat="1" applyFill="1" applyBorder="1"/>
    <xf numFmtId="178" fontId="0" fillId="12" borderId="21" xfId="13" applyNumberFormat="1" applyFont="1" applyFill="1" applyBorder="1" applyAlignment="1" applyProtection="1">
      <alignment vertical="center"/>
      <protection locked="0"/>
    </xf>
    <xf numFmtId="0" fontId="0" fillId="12" borderId="104" xfId="0" applyFill="1" applyBorder="1" applyAlignment="1" applyProtection="1">
      <alignment horizontal="left" vertical="center"/>
      <protection locked="0"/>
    </xf>
    <xf numFmtId="0" fontId="0" fillId="0" borderId="195" xfId="0" applyBorder="1" applyAlignment="1">
      <alignment horizontal="left" vertical="center"/>
    </xf>
    <xf numFmtId="0" fontId="13" fillId="0" borderId="196" xfId="0" applyFont="1" applyBorder="1" applyAlignment="1">
      <alignment horizontal="left" vertical="center"/>
    </xf>
    <xf numFmtId="0" fontId="13" fillId="21" borderId="210" xfId="0" applyFont="1" applyFill="1" applyBorder="1" applyAlignment="1">
      <alignment horizontal="center" vertical="center"/>
    </xf>
    <xf numFmtId="1" fontId="0" fillId="0" borderId="211" xfId="0" applyNumberFormat="1" applyBorder="1" applyAlignment="1">
      <alignment horizontal="center"/>
    </xf>
    <xf numFmtId="1" fontId="0" fillId="0" borderId="2" xfId="0" applyNumberFormat="1" applyBorder="1" applyAlignment="1">
      <alignment horizontal="center" vertical="center" wrapText="1"/>
    </xf>
    <xf numFmtId="0" fontId="13" fillId="30" borderId="212" xfId="0" applyFont="1" applyFill="1" applyBorder="1" applyAlignment="1">
      <alignment horizontal="center" vertical="center" wrapText="1"/>
    </xf>
    <xf numFmtId="42" fontId="0" fillId="44" borderId="194" xfId="31" applyFont="1" applyFill="1" applyBorder="1" applyAlignment="1" applyProtection="1">
      <alignment horizontal="center" vertical="center"/>
    </xf>
    <xf numFmtId="175" fontId="19" fillId="0" borderId="147" xfId="0" applyNumberFormat="1" applyFont="1" applyBorder="1" applyAlignment="1">
      <alignment horizontal="left" wrapText="1"/>
    </xf>
    <xf numFmtId="178" fontId="0" fillId="12" borderId="194" xfId="13" applyNumberFormat="1" applyFont="1" applyFill="1" applyBorder="1" applyAlignment="1" applyProtection="1">
      <alignment vertical="center"/>
      <protection locked="0"/>
    </xf>
    <xf numFmtId="178" fontId="0" fillId="12" borderId="103" xfId="13" applyNumberFormat="1" applyFont="1" applyFill="1" applyBorder="1" applyAlignment="1" applyProtection="1">
      <alignment vertical="center"/>
      <protection locked="0"/>
    </xf>
    <xf numFmtId="168" fontId="0" fillId="29" borderId="105" xfId="13" applyNumberFormat="1" applyFont="1" applyFill="1" applyBorder="1" applyAlignment="1">
      <alignment vertical="center"/>
    </xf>
    <xf numFmtId="168" fontId="0" fillId="29" borderId="103" xfId="13" applyNumberFormat="1" applyFont="1" applyFill="1" applyBorder="1" applyAlignment="1">
      <alignment vertical="center"/>
    </xf>
    <xf numFmtId="168" fontId="0" fillId="29" borderId="104" xfId="13" applyNumberFormat="1" applyFont="1" applyFill="1" applyBorder="1" applyAlignment="1">
      <alignment vertical="center"/>
    </xf>
    <xf numFmtId="180" fontId="14" fillId="36" borderId="105" xfId="16" applyNumberFormat="1" applyFill="1" applyBorder="1" applyAlignment="1">
      <alignment horizontal="center" vertical="center"/>
    </xf>
    <xf numFmtId="180" fontId="14" fillId="36" borderId="103" xfId="16" applyNumberFormat="1" applyFill="1" applyBorder="1" applyAlignment="1">
      <alignment horizontal="center" vertical="center"/>
    </xf>
    <xf numFmtId="0" fontId="0" fillId="12" borderId="205" xfId="0" applyFill="1" applyBorder="1" applyAlignment="1" applyProtection="1">
      <alignment horizontal="left" vertical="center"/>
      <protection locked="0"/>
    </xf>
    <xf numFmtId="180" fontId="14" fillId="36" borderId="104" xfId="16" applyNumberFormat="1" applyFill="1" applyBorder="1" applyAlignment="1">
      <alignment horizontal="center" vertical="center"/>
    </xf>
    <xf numFmtId="178" fontId="0" fillId="12" borderId="200" xfId="13" applyNumberFormat="1" applyFont="1" applyFill="1" applyBorder="1" applyAlignment="1" applyProtection="1">
      <alignment vertical="center"/>
      <protection locked="0"/>
    </xf>
    <xf numFmtId="168" fontId="14" fillId="0" borderId="204" xfId="13" applyNumberFormat="1" applyBorder="1" applyAlignment="1">
      <alignment vertical="center"/>
    </xf>
    <xf numFmtId="178" fontId="0" fillId="44" borderId="205" xfId="13" applyNumberFormat="1" applyFont="1" applyFill="1" applyBorder="1" applyAlignment="1">
      <alignment vertical="center"/>
    </xf>
    <xf numFmtId="178" fontId="0" fillId="44" borderId="140" xfId="13" applyNumberFormat="1" applyFont="1" applyFill="1" applyBorder="1" applyAlignment="1">
      <alignment vertical="center"/>
    </xf>
    <xf numFmtId="168" fontId="14" fillId="1" borderId="205" xfId="13" applyNumberFormat="1" applyFill="1" applyBorder="1" applyAlignment="1">
      <alignment vertical="center"/>
    </xf>
    <xf numFmtId="168" fontId="14" fillId="0" borderId="205" xfId="13" applyNumberFormat="1" applyBorder="1" applyAlignment="1">
      <alignment vertical="center"/>
    </xf>
    <xf numFmtId="168" fontId="14" fillId="0" borderId="206" xfId="13" applyNumberFormat="1" applyBorder="1" applyAlignment="1">
      <alignment vertical="center"/>
    </xf>
    <xf numFmtId="168" fontId="0" fillId="0" borderId="218" xfId="0" applyNumberFormat="1" applyBorder="1" applyAlignment="1">
      <alignment vertical="center"/>
    </xf>
    <xf numFmtId="168" fontId="14" fillId="1" borderId="217" xfId="13" applyNumberFormat="1" applyFill="1" applyBorder="1" applyAlignment="1">
      <alignment vertical="center"/>
    </xf>
    <xf numFmtId="173" fontId="0" fillId="0" borderId="217" xfId="12" applyNumberFormat="1" applyFont="1" applyBorder="1" applyAlignment="1">
      <alignment vertical="center"/>
    </xf>
    <xf numFmtId="173" fontId="0" fillId="0" borderId="219" xfId="12" applyNumberFormat="1" applyFont="1" applyBorder="1" applyAlignment="1">
      <alignment vertical="center"/>
    </xf>
    <xf numFmtId="168" fontId="13" fillId="39" borderId="220" xfId="0" applyNumberFormat="1" applyFont="1" applyFill="1" applyBorder="1" applyAlignment="1">
      <alignment vertical="center"/>
    </xf>
    <xf numFmtId="168" fontId="13" fillId="39" borderId="221" xfId="13" applyNumberFormat="1" applyFont="1" applyFill="1" applyBorder="1" applyAlignment="1">
      <alignment vertical="center"/>
    </xf>
    <xf numFmtId="173" fontId="0" fillId="0" borderId="222" xfId="12" applyNumberFormat="1" applyFont="1" applyBorder="1" applyAlignment="1">
      <alignment vertical="center"/>
    </xf>
    <xf numFmtId="168" fontId="11" fillId="55" borderId="100" xfId="13" applyNumberFormat="1" applyFont="1" applyFill="1" applyBorder="1" applyAlignment="1">
      <alignment vertical="center"/>
    </xf>
    <xf numFmtId="176" fontId="14" fillId="12" borderId="217" xfId="12" applyNumberFormat="1" applyFill="1" applyBorder="1"/>
    <xf numFmtId="168" fontId="11" fillId="29" borderId="100" xfId="13" applyNumberFormat="1" applyFont="1" applyFill="1" applyBorder="1" applyAlignment="1">
      <alignment vertical="center"/>
    </xf>
    <xf numFmtId="176" fontId="14" fillId="29" borderId="217" xfId="12" applyNumberFormat="1" applyFill="1" applyBorder="1"/>
    <xf numFmtId="176" fontId="19" fillId="29" borderId="100" xfId="12" applyNumberFormat="1" applyFont="1" applyFill="1" applyBorder="1" applyAlignment="1">
      <alignment vertical="center"/>
    </xf>
    <xf numFmtId="168" fontId="19" fillId="57" borderId="100" xfId="13" applyNumberFormat="1" applyFont="1" applyFill="1" applyBorder="1" applyAlignment="1">
      <alignment vertical="center"/>
    </xf>
    <xf numFmtId="176" fontId="14" fillId="57" borderId="217" xfId="12" applyNumberFormat="1" applyFill="1" applyBorder="1"/>
    <xf numFmtId="168" fontId="19" fillId="58" borderId="100" xfId="13" applyNumberFormat="1" applyFont="1" applyFill="1" applyBorder="1" applyAlignment="1">
      <alignment vertical="center"/>
    </xf>
    <xf numFmtId="181" fontId="13" fillId="19" borderId="217" xfId="13" applyNumberFormat="1" applyFont="1" applyFill="1" applyBorder="1" applyAlignment="1">
      <alignment horizontal="center"/>
    </xf>
    <xf numFmtId="168" fontId="11" fillId="40" borderId="100" xfId="13" applyNumberFormat="1" applyFont="1" applyFill="1" applyBorder="1" applyAlignment="1">
      <alignment vertical="center"/>
    </xf>
    <xf numFmtId="0" fontId="11" fillId="20" borderId="215" xfId="0" applyFont="1" applyFill="1" applyBorder="1" applyAlignment="1">
      <alignment horizontal="left" vertical="center"/>
    </xf>
    <xf numFmtId="181" fontId="13" fillId="19" borderId="217" xfId="13" applyNumberFormat="1" applyFont="1" applyFill="1" applyBorder="1" applyAlignment="1" applyProtection="1">
      <alignment horizontal="center"/>
      <protection locked="0"/>
    </xf>
    <xf numFmtId="181" fontId="14" fillId="12" borderId="217" xfId="13" applyNumberFormat="1" applyFill="1" applyBorder="1" applyProtection="1">
      <protection locked="0"/>
    </xf>
    <xf numFmtId="42" fontId="0" fillId="48" borderId="194" xfId="31" applyFont="1" applyFill="1" applyBorder="1" applyAlignment="1" applyProtection="1">
      <alignment horizontal="center" vertical="center"/>
      <protection locked="0"/>
    </xf>
    <xf numFmtId="181" fontId="14" fillId="12" borderId="0" xfId="13" applyNumberFormat="1" applyFill="1" applyProtection="1">
      <protection locked="0"/>
    </xf>
    <xf numFmtId="42" fontId="0" fillId="12" borderId="194" xfId="31" applyFont="1" applyFill="1" applyBorder="1" applyAlignment="1" applyProtection="1">
      <alignment horizontal="center" vertical="center"/>
      <protection locked="0"/>
    </xf>
    <xf numFmtId="168" fontId="11" fillId="40" borderId="100" xfId="13" applyNumberFormat="1" applyFont="1" applyFill="1" applyBorder="1" applyAlignment="1" applyProtection="1">
      <alignment vertical="center"/>
      <protection locked="0"/>
    </xf>
    <xf numFmtId="0" fontId="11" fillId="20" borderId="147" xfId="0" applyFont="1" applyFill="1" applyBorder="1" applyAlignment="1" applyProtection="1">
      <alignment horizontal="left" vertical="center"/>
      <protection locked="0"/>
    </xf>
    <xf numFmtId="168" fontId="11" fillId="59" borderId="100" xfId="13" applyNumberFormat="1" applyFont="1" applyFill="1" applyBorder="1" applyAlignment="1">
      <alignment vertical="center"/>
    </xf>
    <xf numFmtId="168" fontId="11" fillId="60" borderId="100" xfId="13" applyNumberFormat="1" applyFont="1" applyFill="1" applyBorder="1" applyAlignment="1">
      <alignment vertical="center"/>
    </xf>
    <xf numFmtId="0" fontId="0" fillId="12" borderId="204" xfId="0" applyFill="1" applyBorder="1" applyAlignment="1" applyProtection="1">
      <alignment horizontal="left" vertical="center"/>
      <protection locked="0"/>
    </xf>
    <xf numFmtId="0" fontId="0" fillId="12" borderId="206" xfId="0" applyFill="1" applyBorder="1" applyAlignment="1" applyProtection="1">
      <alignment horizontal="left" vertical="center"/>
      <protection locked="0"/>
    </xf>
    <xf numFmtId="0" fontId="0" fillId="12" borderId="222" xfId="0" applyFill="1" applyBorder="1" applyAlignment="1" applyProtection="1">
      <alignment horizontal="left" vertical="center"/>
      <protection locked="0"/>
    </xf>
    <xf numFmtId="0" fontId="0" fillId="12" borderId="217" xfId="0" applyFill="1" applyBorder="1" applyAlignment="1" applyProtection="1">
      <alignment horizontal="left" vertical="center"/>
      <protection locked="0"/>
    </xf>
    <xf numFmtId="0" fontId="0" fillId="12" borderId="219" xfId="0" applyFill="1" applyBorder="1" applyAlignment="1" applyProtection="1">
      <alignment horizontal="left" vertical="center"/>
      <protection locked="0"/>
    </xf>
    <xf numFmtId="0" fontId="0" fillId="12" borderId="221" xfId="0" applyFill="1" applyBorder="1" applyAlignment="1" applyProtection="1">
      <alignment horizontal="left" vertical="center"/>
      <protection locked="0"/>
    </xf>
    <xf numFmtId="0" fontId="0" fillId="12" borderId="80" xfId="0" applyFill="1" applyBorder="1" applyAlignment="1" applyProtection="1">
      <alignment horizontal="left" vertical="center"/>
      <protection locked="0"/>
    </xf>
    <xf numFmtId="0" fontId="0" fillId="12" borderId="200" xfId="0" applyFill="1" applyBorder="1" applyAlignment="1" applyProtection="1">
      <alignment horizontal="left" vertical="center"/>
      <protection locked="0"/>
    </xf>
    <xf numFmtId="0" fontId="0" fillId="12" borderId="133" xfId="0" applyFill="1" applyBorder="1" applyAlignment="1" applyProtection="1">
      <alignment horizontal="left" vertical="center"/>
      <protection locked="0"/>
    </xf>
    <xf numFmtId="168" fontId="13" fillId="34" borderId="226" xfId="0" applyNumberFormat="1" applyFont="1" applyFill="1" applyBorder="1" applyAlignment="1">
      <alignment horizontal="center" vertical="center" wrapText="1"/>
    </xf>
    <xf numFmtId="168" fontId="13" fillId="34" borderId="227" xfId="0" applyNumberFormat="1" applyFont="1" applyFill="1" applyBorder="1" applyAlignment="1">
      <alignment horizontal="center" vertical="center" wrapText="1"/>
    </xf>
    <xf numFmtId="168" fontId="13" fillId="34" borderId="228" xfId="0" applyNumberFormat="1" applyFont="1" applyFill="1" applyBorder="1" applyAlignment="1">
      <alignment horizontal="center" vertical="center" wrapText="1"/>
    </xf>
    <xf numFmtId="168" fontId="13" fillId="39" borderId="229" xfId="13" applyNumberFormat="1" applyFont="1" applyFill="1" applyBorder="1" applyAlignment="1">
      <alignment vertical="center"/>
    </xf>
    <xf numFmtId="168" fontId="13" fillId="39" borderId="230" xfId="13" applyNumberFormat="1" applyFont="1" applyFill="1" applyBorder="1" applyAlignment="1">
      <alignment vertical="center"/>
    </xf>
    <xf numFmtId="168" fontId="0" fillId="0" borderId="200" xfId="13" applyNumberFormat="1" applyFont="1" applyBorder="1" applyAlignment="1">
      <alignment vertical="center"/>
    </xf>
    <xf numFmtId="168" fontId="0" fillId="0" borderId="204" xfId="13" applyNumberFormat="1" applyFont="1" applyBorder="1" applyAlignment="1">
      <alignment vertical="center"/>
    </xf>
    <xf numFmtId="168" fontId="22" fillId="31" borderId="59" xfId="13" applyNumberFormat="1" applyFont="1" applyFill="1" applyBorder="1" applyAlignment="1">
      <alignment vertical="center" wrapText="1"/>
    </xf>
    <xf numFmtId="168" fontId="14" fillId="1" borderId="222" xfId="13" applyNumberFormat="1" applyFill="1" applyBorder="1" applyAlignment="1">
      <alignment vertical="center"/>
    </xf>
    <xf numFmtId="173" fontId="0" fillId="0" borderId="231" xfId="12" applyNumberFormat="1" applyFont="1" applyBorder="1" applyAlignment="1">
      <alignment vertical="center"/>
    </xf>
    <xf numFmtId="168" fontId="13" fillId="39" borderId="232" xfId="13" applyNumberFormat="1" applyFont="1" applyFill="1" applyBorder="1" applyAlignment="1">
      <alignment vertical="center"/>
    </xf>
    <xf numFmtId="168" fontId="0" fillId="0" borderId="205" xfId="13" applyNumberFormat="1" applyFont="1" applyBorder="1" applyAlignment="1">
      <alignment vertical="center"/>
    </xf>
    <xf numFmtId="168" fontId="0" fillId="0" borderId="206" xfId="13" applyNumberFormat="1" applyFont="1" applyBorder="1" applyAlignment="1">
      <alignment vertical="center"/>
    </xf>
    <xf numFmtId="0" fontId="13" fillId="61" borderId="210" xfId="0" applyFont="1" applyFill="1" applyBorder="1" applyAlignment="1">
      <alignment horizontal="center" vertical="center"/>
    </xf>
    <xf numFmtId="0" fontId="11" fillId="62" borderId="147" xfId="0" applyFont="1" applyFill="1" applyBorder="1" applyAlignment="1">
      <alignment horizontal="left" vertical="center"/>
    </xf>
    <xf numFmtId="168" fontId="11" fillId="62" borderId="100" xfId="13" applyNumberFormat="1" applyFont="1" applyFill="1" applyBorder="1" applyAlignment="1">
      <alignment horizontal="center" vertical="center"/>
    </xf>
    <xf numFmtId="168" fontId="11" fillId="24" borderId="100" xfId="13" applyNumberFormat="1" applyFont="1" applyFill="1" applyBorder="1" applyAlignment="1">
      <alignment vertical="center"/>
    </xf>
    <xf numFmtId="168" fontId="13" fillId="24" borderId="100" xfId="13" applyNumberFormat="1" applyFont="1" applyFill="1" applyBorder="1" applyAlignment="1">
      <alignment vertical="center"/>
    </xf>
    <xf numFmtId="168" fontId="11" fillId="62" borderId="164" xfId="13" applyNumberFormat="1" applyFont="1" applyFill="1" applyBorder="1" applyAlignment="1">
      <alignment horizontal="center" vertical="center"/>
    </xf>
    <xf numFmtId="0" fontId="13" fillId="63" borderId="137" xfId="0" applyFont="1" applyFill="1" applyBorder="1" applyAlignment="1">
      <alignment horizontal="center" vertical="center" wrapText="1"/>
    </xf>
    <xf numFmtId="0" fontId="11" fillId="63" borderId="147" xfId="0" applyFont="1" applyFill="1" applyBorder="1" applyAlignment="1">
      <alignment horizontal="left" vertical="center"/>
    </xf>
    <xf numFmtId="168" fontId="11" fillId="63" borderId="100" xfId="13" applyNumberFormat="1" applyFont="1" applyFill="1" applyBorder="1" applyAlignment="1">
      <alignment horizontal="center" vertical="center"/>
    </xf>
    <xf numFmtId="168" fontId="11" fillId="22" borderId="100" xfId="13" applyNumberFormat="1" applyFont="1" applyFill="1" applyBorder="1" applyAlignment="1">
      <alignment vertical="center"/>
    </xf>
    <xf numFmtId="168" fontId="13" fillId="22" borderId="100" xfId="13" applyNumberFormat="1" applyFont="1" applyFill="1" applyBorder="1" applyAlignment="1">
      <alignment vertical="center"/>
    </xf>
    <xf numFmtId="168" fontId="11" fillId="63" borderId="137" xfId="13" applyNumberFormat="1" applyFont="1" applyFill="1" applyBorder="1" applyAlignment="1">
      <alignment horizontal="center" vertical="center"/>
    </xf>
    <xf numFmtId="1" fontId="0" fillId="1" borderId="137" xfId="0" applyNumberFormat="1" applyFill="1" applyBorder="1" applyAlignment="1">
      <alignment horizontal="center" vertical="center" wrapText="1"/>
    </xf>
    <xf numFmtId="175" fontId="19" fillId="1" borderId="147" xfId="0" applyNumberFormat="1" applyFont="1" applyFill="1" applyBorder="1" applyAlignment="1">
      <alignment horizontal="left"/>
    </xf>
    <xf numFmtId="168" fontId="0" fillId="64" borderId="100" xfId="13" applyNumberFormat="1" applyFont="1" applyFill="1" applyBorder="1" applyAlignment="1">
      <alignment vertical="center"/>
    </xf>
    <xf numFmtId="168" fontId="19" fillId="1" borderId="100" xfId="13" applyNumberFormat="1" applyFont="1" applyFill="1" applyBorder="1" applyAlignment="1">
      <alignment vertical="center"/>
    </xf>
    <xf numFmtId="176" fontId="19" fillId="1" borderId="100" xfId="12" applyNumberFormat="1" applyFont="1" applyFill="1" applyBorder="1" applyAlignment="1">
      <alignment vertical="center"/>
    </xf>
    <xf numFmtId="168" fontId="19" fillId="56" borderId="100" xfId="13" applyNumberFormat="1" applyFont="1" applyFill="1" applyBorder="1" applyAlignment="1">
      <alignment vertical="center"/>
    </xf>
    <xf numFmtId="168" fontId="11" fillId="65" borderId="164" xfId="13" applyNumberFormat="1" applyFont="1" applyFill="1" applyBorder="1" applyAlignment="1">
      <alignment vertical="center"/>
    </xf>
    <xf numFmtId="168" fontId="0" fillId="66" borderId="100" xfId="13" applyNumberFormat="1" applyFont="1" applyFill="1" applyBorder="1" applyAlignment="1">
      <alignment vertical="center"/>
    </xf>
    <xf numFmtId="168" fontId="19" fillId="66" borderId="100" xfId="13" applyNumberFormat="1" applyFont="1" applyFill="1" applyBorder="1" applyAlignment="1">
      <alignment vertical="center"/>
    </xf>
    <xf numFmtId="176" fontId="19" fillId="66" borderId="100" xfId="12" applyNumberFormat="1" applyFont="1" applyFill="1" applyBorder="1" applyAlignment="1">
      <alignment vertical="center"/>
    </xf>
    <xf numFmtId="1" fontId="0" fillId="1" borderId="211" xfId="0" applyNumberFormat="1" applyFill="1" applyBorder="1" applyAlignment="1">
      <alignment horizontal="center"/>
    </xf>
    <xf numFmtId="1" fontId="0" fillId="1" borderId="139" xfId="0" applyNumberFormat="1" applyFill="1" applyBorder="1"/>
    <xf numFmtId="175" fontId="30" fillId="1" borderId="147" xfId="0" applyNumberFormat="1" applyFont="1" applyFill="1" applyBorder="1" applyAlignment="1">
      <alignment horizontal="left"/>
    </xf>
    <xf numFmtId="168" fontId="0" fillId="51" borderId="100" xfId="13" applyNumberFormat="1" applyFont="1" applyFill="1" applyBorder="1" applyAlignment="1">
      <alignment vertical="center"/>
    </xf>
    <xf numFmtId="168" fontId="19" fillId="51" borderId="100" xfId="13" applyNumberFormat="1" applyFont="1" applyFill="1" applyBorder="1" applyAlignment="1">
      <alignment vertical="center"/>
    </xf>
    <xf numFmtId="176" fontId="19" fillId="51" borderId="100" xfId="12" applyNumberFormat="1" applyFont="1" applyFill="1" applyBorder="1" applyAlignment="1">
      <alignment vertical="center"/>
    </xf>
    <xf numFmtId="168" fontId="11" fillId="62" borderId="137" xfId="13" applyNumberFormat="1" applyFont="1" applyFill="1" applyBorder="1" applyAlignment="1">
      <alignment horizontal="center" vertical="center"/>
    </xf>
    <xf numFmtId="168" fontId="11" fillId="63" borderId="100" xfId="13" applyNumberFormat="1" applyFont="1" applyFill="1" applyBorder="1" applyAlignment="1">
      <alignment vertical="center"/>
    </xf>
    <xf numFmtId="168" fontId="11" fillId="63" borderId="164" xfId="13" applyNumberFormat="1" applyFont="1" applyFill="1" applyBorder="1" applyAlignment="1">
      <alignment vertical="center"/>
    </xf>
    <xf numFmtId="1" fontId="0" fillId="67" borderId="137" xfId="0" applyNumberFormat="1" applyFill="1" applyBorder="1" applyAlignment="1">
      <alignment horizontal="center" vertical="center" wrapText="1"/>
    </xf>
    <xf numFmtId="168" fontId="11" fillId="50" borderId="100" xfId="13" applyNumberFormat="1" applyFont="1" applyFill="1" applyBorder="1" applyAlignment="1">
      <alignment vertical="center"/>
    </xf>
    <xf numFmtId="1" fontId="0" fillId="1" borderId="2" xfId="0" applyNumberFormat="1" applyFill="1" applyBorder="1" applyAlignment="1">
      <alignment horizontal="center" vertical="center" wrapText="1"/>
    </xf>
    <xf numFmtId="175" fontId="19" fillId="1" borderId="191" xfId="0" applyNumberFormat="1" applyFont="1" applyFill="1" applyBorder="1" applyAlignment="1">
      <alignment horizontal="left"/>
    </xf>
    <xf numFmtId="168" fontId="11" fillId="65" borderId="192" xfId="13" applyNumberFormat="1" applyFont="1" applyFill="1" applyBorder="1" applyAlignment="1">
      <alignment vertical="center"/>
    </xf>
    <xf numFmtId="0" fontId="13" fillId="68" borderId="212" xfId="0" applyFont="1" applyFill="1" applyBorder="1" applyAlignment="1">
      <alignment horizontal="center" vertical="center" wrapText="1"/>
    </xf>
    <xf numFmtId="0" fontId="13" fillId="69" borderId="190" xfId="0" applyFont="1" applyFill="1" applyBorder="1" applyAlignment="1">
      <alignment vertical="center"/>
    </xf>
    <xf numFmtId="167" fontId="13" fillId="69" borderId="100" xfId="13" applyNumberFormat="1" applyFont="1" applyFill="1" applyBorder="1" applyAlignment="1">
      <alignment vertical="center"/>
    </xf>
    <xf numFmtId="167" fontId="13" fillId="69" borderId="189" xfId="13" applyNumberFormat="1" applyFont="1" applyFill="1" applyBorder="1" applyAlignment="1">
      <alignment vertical="center"/>
    </xf>
    <xf numFmtId="168" fontId="0" fillId="65" borderId="100" xfId="13" applyNumberFormat="1" applyFont="1" applyFill="1" applyBorder="1" applyAlignment="1">
      <alignment vertical="center"/>
    </xf>
    <xf numFmtId="181" fontId="14" fillId="65" borderId="100" xfId="13" applyNumberFormat="1" applyFill="1" applyBorder="1"/>
    <xf numFmtId="0" fontId="0" fillId="12" borderId="200" xfId="0" applyFill="1" applyBorder="1" applyProtection="1">
      <protection locked="0"/>
    </xf>
    <xf numFmtId="0" fontId="0" fillId="12" borderId="112" xfId="0" applyFill="1" applyBorder="1" applyProtection="1">
      <protection locked="0"/>
    </xf>
    <xf numFmtId="178" fontId="0" fillId="12" borderId="112" xfId="13" applyNumberFormat="1" applyFont="1" applyFill="1" applyBorder="1" applyAlignment="1" applyProtection="1">
      <alignment vertical="center"/>
      <protection locked="0"/>
    </xf>
    <xf numFmtId="177" fontId="0" fillId="29" borderId="233" xfId="0" applyNumberFormat="1" applyFill="1" applyBorder="1" applyAlignment="1">
      <alignment horizontal="right" vertical="center"/>
    </xf>
    <xf numFmtId="0" fontId="13" fillId="16" borderId="221" xfId="0" applyFont="1" applyFill="1" applyBorder="1" applyAlignment="1">
      <alignment horizontal="center" vertical="center" wrapText="1"/>
    </xf>
    <xf numFmtId="0" fontId="13" fillId="16" borderId="232" xfId="0" applyFont="1" applyFill="1" applyBorder="1" applyAlignment="1">
      <alignment horizontal="center" vertical="center" wrapText="1"/>
    </xf>
    <xf numFmtId="0" fontId="13" fillId="16" borderId="104" xfId="0" applyFont="1" applyFill="1" applyBorder="1" applyAlignment="1">
      <alignment horizontal="center" vertical="center" wrapText="1"/>
    </xf>
    <xf numFmtId="177" fontId="22" fillId="28" borderId="59" xfId="0" applyNumberFormat="1" applyFont="1" applyFill="1" applyBorder="1" applyAlignment="1">
      <alignment horizontal="center" vertical="center"/>
    </xf>
    <xf numFmtId="168" fontId="14" fillId="56" borderId="194" xfId="13" applyNumberFormat="1" applyFill="1" applyBorder="1" applyAlignment="1">
      <alignment vertical="center"/>
    </xf>
    <xf numFmtId="168" fontId="13" fillId="34" borderId="236" xfId="0" applyNumberFormat="1" applyFont="1" applyFill="1" applyBorder="1" applyAlignment="1">
      <alignment horizontal="center" vertical="center" wrapText="1"/>
    </xf>
    <xf numFmtId="168" fontId="13" fillId="15" borderId="224" xfId="0" applyNumberFormat="1" applyFont="1" applyFill="1" applyBorder="1" applyAlignment="1">
      <alignment horizontal="center" vertical="center" wrapText="1"/>
    </xf>
    <xf numFmtId="168" fontId="13" fillId="15" borderId="237" xfId="0" applyNumberFormat="1" applyFont="1" applyFill="1" applyBorder="1" applyAlignment="1">
      <alignment horizontal="center" vertical="center" wrapText="1"/>
    </xf>
    <xf numFmtId="168" fontId="13" fillId="15" borderId="228" xfId="0" applyNumberFormat="1" applyFont="1" applyFill="1" applyBorder="1" applyAlignment="1">
      <alignment horizontal="center" vertical="center" wrapText="1"/>
    </xf>
    <xf numFmtId="170" fontId="0" fillId="44" borderId="205" xfId="13" applyNumberFormat="1" applyFont="1" applyFill="1" applyBorder="1" applyAlignment="1">
      <alignment horizontal="center" vertical="center"/>
    </xf>
    <xf numFmtId="170" fontId="0" fillId="44" borderId="217" xfId="13" applyNumberFormat="1" applyFont="1" applyFill="1" applyBorder="1" applyAlignment="1">
      <alignment horizontal="center" vertical="center"/>
    </xf>
    <xf numFmtId="170" fontId="0" fillId="44" borderId="221" xfId="13" applyNumberFormat="1" applyFont="1" applyFill="1" applyBorder="1" applyAlignment="1">
      <alignment horizontal="center" vertical="center"/>
    </xf>
    <xf numFmtId="168" fontId="0" fillId="70" borderId="101" xfId="13" applyNumberFormat="1" applyFont="1" applyFill="1" applyBorder="1" applyAlignment="1">
      <alignment vertical="center"/>
    </xf>
    <xf numFmtId="168" fontId="0" fillId="70" borderId="100" xfId="13" applyNumberFormat="1" applyFont="1" applyFill="1" applyBorder="1" applyAlignment="1">
      <alignment vertical="center"/>
    </xf>
    <xf numFmtId="0" fontId="11" fillId="20" borderId="217" xfId="0" applyFont="1" applyFill="1" applyBorder="1" applyAlignment="1">
      <alignment horizontal="left" vertical="center"/>
    </xf>
    <xf numFmtId="0" fontId="11" fillId="20" borderId="217" xfId="0" applyFont="1" applyFill="1" applyBorder="1" applyAlignment="1" applyProtection="1">
      <alignment horizontal="left" vertical="center"/>
      <protection locked="0"/>
    </xf>
    <xf numFmtId="0" fontId="11" fillId="20" borderId="138" xfId="0" applyFont="1" applyFill="1" applyBorder="1" applyAlignment="1">
      <alignment horizontal="left" vertical="center"/>
    </xf>
    <xf numFmtId="181" fontId="13" fillId="19" borderId="149" xfId="13" applyNumberFormat="1" applyFont="1" applyFill="1" applyBorder="1" applyAlignment="1" applyProtection="1">
      <alignment horizontal="center"/>
      <protection locked="0"/>
    </xf>
    <xf numFmtId="181" fontId="13" fillId="19" borderId="149" xfId="13" applyNumberFormat="1" applyFont="1" applyFill="1" applyBorder="1" applyAlignment="1">
      <alignment horizontal="center"/>
    </xf>
    <xf numFmtId="0" fontId="13" fillId="21" borderId="217" xfId="0" applyFont="1" applyFill="1" applyBorder="1" applyAlignment="1">
      <alignment horizontal="left" vertical="center"/>
    </xf>
    <xf numFmtId="0" fontId="11" fillId="23" borderId="217" xfId="0" applyFont="1" applyFill="1" applyBorder="1" applyAlignment="1">
      <alignment horizontal="left" vertical="center"/>
    </xf>
    <xf numFmtId="173" fontId="0" fillId="1" borderId="217" xfId="12" applyNumberFormat="1" applyFont="1" applyFill="1" applyBorder="1" applyAlignment="1">
      <alignment vertical="center"/>
    </xf>
    <xf numFmtId="173" fontId="0" fillId="1" borderId="231" xfId="12" applyNumberFormat="1" applyFont="1" applyFill="1" applyBorder="1" applyAlignment="1">
      <alignment vertical="center"/>
    </xf>
    <xf numFmtId="173" fontId="0" fillId="1" borderId="219" xfId="12" applyNumberFormat="1" applyFont="1" applyFill="1" applyBorder="1" applyAlignment="1">
      <alignment vertical="center"/>
    </xf>
    <xf numFmtId="168" fontId="0" fillId="0" borderId="87" xfId="0" applyNumberFormat="1" applyBorder="1" applyAlignment="1">
      <alignment vertical="center"/>
    </xf>
    <xf numFmtId="168" fontId="13" fillId="15" borderId="226" xfId="0" applyNumberFormat="1" applyFont="1" applyFill="1" applyBorder="1" applyAlignment="1">
      <alignment horizontal="center" vertical="center" wrapText="1"/>
    </xf>
    <xf numFmtId="168" fontId="13" fillId="15" borderId="227" xfId="0" applyNumberFormat="1" applyFont="1" applyFill="1" applyBorder="1" applyAlignment="1">
      <alignment horizontal="center" vertical="center" wrapText="1"/>
    </xf>
    <xf numFmtId="170" fontId="0" fillId="0" borderId="204" xfId="0" applyNumberFormat="1" applyBorder="1" applyAlignment="1">
      <alignment horizontal="center" vertical="center"/>
    </xf>
    <xf numFmtId="170" fontId="0" fillId="0" borderId="205" xfId="0" applyNumberFormat="1" applyBorder="1" applyAlignment="1">
      <alignment horizontal="center" vertical="center"/>
    </xf>
    <xf numFmtId="170" fontId="0" fillId="0" borderId="206" xfId="0" applyNumberFormat="1" applyBorder="1" applyAlignment="1">
      <alignment horizontal="center" vertical="center"/>
    </xf>
    <xf numFmtId="168" fontId="0" fillId="0" borderId="222" xfId="13" applyNumberFormat="1" applyFont="1" applyBorder="1" applyAlignment="1">
      <alignment vertical="center"/>
    </xf>
    <xf numFmtId="168" fontId="0" fillId="0" borderId="217" xfId="13" applyNumberFormat="1" applyFont="1" applyBorder="1" applyAlignment="1">
      <alignment vertical="center"/>
    </xf>
    <xf numFmtId="170" fontId="0" fillId="0" borderId="222" xfId="0" applyNumberFormat="1" applyBorder="1" applyAlignment="1">
      <alignment horizontal="center" vertical="center"/>
    </xf>
    <xf numFmtId="170" fontId="0" fillId="0" borderId="217" xfId="0" applyNumberFormat="1" applyBorder="1" applyAlignment="1">
      <alignment horizontal="center" vertical="center"/>
    </xf>
    <xf numFmtId="170" fontId="0" fillId="0" borderId="219" xfId="0" applyNumberFormat="1" applyBorder="1" applyAlignment="1">
      <alignment horizontal="center" vertical="center"/>
    </xf>
    <xf numFmtId="168" fontId="0" fillId="0" borderId="221" xfId="13" applyNumberFormat="1" applyFont="1" applyBorder="1" applyAlignment="1">
      <alignment vertical="center"/>
    </xf>
    <xf numFmtId="170" fontId="0" fillId="0" borderId="221" xfId="0" applyNumberFormat="1" applyBorder="1" applyAlignment="1">
      <alignment horizontal="center" vertical="center"/>
    </xf>
    <xf numFmtId="168" fontId="0" fillId="1" borderId="222" xfId="13" applyNumberFormat="1" applyFont="1" applyFill="1" applyBorder="1" applyAlignment="1">
      <alignment vertical="center"/>
    </xf>
    <xf numFmtId="168" fontId="0" fillId="1" borderId="217" xfId="13" applyNumberFormat="1" applyFont="1" applyFill="1" applyBorder="1" applyAlignment="1">
      <alignment vertical="center"/>
    </xf>
    <xf numFmtId="168" fontId="0" fillId="1" borderId="219" xfId="13" applyNumberFormat="1" applyFont="1" applyFill="1" applyBorder="1" applyAlignment="1">
      <alignment vertical="center"/>
    </xf>
    <xf numFmtId="168" fontId="0" fillId="70" borderId="142" xfId="13" applyNumberFormat="1" applyFont="1" applyFill="1" applyBorder="1" applyAlignment="1">
      <alignment vertical="center"/>
    </xf>
    <xf numFmtId="168" fontId="0" fillId="70" borderId="147" xfId="13" applyNumberFormat="1" applyFont="1" applyFill="1" applyBorder="1" applyAlignment="1">
      <alignment vertical="center"/>
    </xf>
    <xf numFmtId="168" fontId="13" fillId="70" borderId="162" xfId="13" applyNumberFormat="1" applyFont="1" applyFill="1" applyBorder="1" applyAlignment="1">
      <alignment vertical="center"/>
    </xf>
    <xf numFmtId="168" fontId="0" fillId="72" borderId="163" xfId="13" applyNumberFormat="1" applyFont="1" applyFill="1" applyBorder="1" applyAlignment="1">
      <alignment vertical="center"/>
    </xf>
    <xf numFmtId="168" fontId="0" fillId="72" borderId="164" xfId="13" applyNumberFormat="1" applyFont="1" applyFill="1" applyBorder="1" applyAlignment="1">
      <alignment vertical="center"/>
    </xf>
    <xf numFmtId="168" fontId="13" fillId="72" borderId="142" xfId="13" applyNumberFormat="1" applyFont="1" applyFill="1" applyBorder="1" applyAlignment="1">
      <alignment vertical="center"/>
    </xf>
    <xf numFmtId="168" fontId="13" fillId="1" borderId="165" xfId="13" applyNumberFormat="1" applyFont="1" applyFill="1" applyBorder="1" applyAlignment="1">
      <alignment vertical="center"/>
    </xf>
    <xf numFmtId="178" fontId="0" fillId="29" borderId="204" xfId="13" applyNumberFormat="1" applyFont="1" applyFill="1" applyBorder="1" applyAlignment="1">
      <alignment vertical="center"/>
    </xf>
    <xf numFmtId="178" fontId="0" fillId="29" borderId="205" xfId="13" applyNumberFormat="1" applyFont="1" applyFill="1" applyBorder="1" applyAlignment="1">
      <alignment vertical="center"/>
    </xf>
    <xf numFmtId="178" fontId="0" fillId="29" borderId="206" xfId="13" applyNumberFormat="1" applyFont="1" applyFill="1" applyBorder="1" applyAlignment="1">
      <alignment vertical="center"/>
    </xf>
    <xf numFmtId="178" fontId="0" fillId="29" borderId="222" xfId="13" applyNumberFormat="1" applyFont="1" applyFill="1" applyBorder="1" applyAlignment="1">
      <alignment vertical="center"/>
    </xf>
    <xf numFmtId="178" fontId="0" fillId="29" borderId="217" xfId="13" applyNumberFormat="1" applyFont="1" applyFill="1" applyBorder="1" applyAlignment="1">
      <alignment vertical="center"/>
    </xf>
    <xf numFmtId="178" fontId="0" fillId="29" borderId="219" xfId="13" applyNumberFormat="1" applyFont="1" applyFill="1" applyBorder="1" applyAlignment="1">
      <alignment vertical="center"/>
    </xf>
    <xf numFmtId="178" fontId="0" fillId="29" borderId="105" xfId="13" applyNumberFormat="1" applyFont="1" applyFill="1" applyBorder="1" applyAlignment="1">
      <alignment vertical="center"/>
    </xf>
    <xf numFmtId="178" fontId="0" fillId="29" borderId="221" xfId="13" applyNumberFormat="1" applyFont="1" applyFill="1" applyBorder="1" applyAlignment="1">
      <alignment vertical="center"/>
    </xf>
    <xf numFmtId="178" fontId="0" fillId="29" borderId="104" xfId="13" applyNumberFormat="1" applyFont="1" applyFill="1" applyBorder="1" applyAlignment="1">
      <alignment vertical="center"/>
    </xf>
    <xf numFmtId="178" fontId="0" fillId="0" borderId="0" xfId="0" applyNumberFormat="1"/>
    <xf numFmtId="0" fontId="13" fillId="66" borderId="100" xfId="0" applyFont="1" applyFill="1" applyBorder="1" applyAlignment="1">
      <alignment horizontal="center" vertical="center"/>
    </xf>
    <xf numFmtId="0" fontId="13" fillId="12" borderId="100" xfId="0" applyFont="1" applyFill="1" applyBorder="1" applyAlignment="1">
      <alignment horizontal="center" vertical="center"/>
    </xf>
    <xf numFmtId="168" fontId="13" fillId="73" borderId="100" xfId="13" applyNumberFormat="1" applyFont="1" applyFill="1" applyBorder="1" applyAlignment="1">
      <alignment horizontal="center" vertical="center"/>
    </xf>
    <xf numFmtId="168" fontId="13" fillId="74" borderId="100" xfId="13" applyNumberFormat="1" applyFont="1" applyFill="1" applyBorder="1" applyAlignment="1">
      <alignment horizontal="center" vertical="center"/>
    </xf>
    <xf numFmtId="0" fontId="1" fillId="42" borderId="0" xfId="58" applyFill="1"/>
    <xf numFmtId="0" fontId="37" fillId="71" borderId="241" xfId="58" applyFont="1" applyFill="1" applyBorder="1" applyAlignment="1">
      <alignment horizontal="center" vertical="center"/>
    </xf>
    <xf numFmtId="0" fontId="37" fillId="75" borderId="241" xfId="58" applyFont="1" applyFill="1" applyBorder="1" applyAlignment="1">
      <alignment horizontal="center" vertical="center" wrapText="1"/>
    </xf>
    <xf numFmtId="0" fontId="37" fillId="42" borderId="0" xfId="58" applyFont="1" applyFill="1" applyAlignment="1">
      <alignment horizontal="right"/>
    </xf>
    <xf numFmtId="1" fontId="38" fillId="42" borderId="241" xfId="59" applyNumberFormat="1" applyFont="1" applyFill="1" applyBorder="1" applyAlignment="1">
      <alignment horizontal="center" vertical="center"/>
    </xf>
    <xf numFmtId="1" fontId="38" fillId="42" borderId="0" xfId="59" applyNumberFormat="1" applyFont="1" applyFill="1" applyBorder="1" applyAlignment="1">
      <alignment horizontal="center" vertical="center"/>
    </xf>
    <xf numFmtId="0" fontId="37" fillId="45" borderId="0" xfId="58" applyFont="1" applyFill="1" applyAlignment="1">
      <alignment horizontal="left" vertical="center" indent="1"/>
    </xf>
    <xf numFmtId="0" fontId="1" fillId="42" borderId="0" xfId="58" applyFill="1" applyAlignment="1">
      <alignment horizontal="left" indent="2"/>
    </xf>
    <xf numFmtId="188" fontId="1" fillId="42" borderId="0" xfId="58" applyNumberFormat="1" applyFill="1"/>
    <xf numFmtId="188" fontId="37" fillId="42" borderId="0" xfId="58" applyNumberFormat="1" applyFont="1" applyFill="1"/>
    <xf numFmtId="0" fontId="37" fillId="71" borderId="217" xfId="58" applyFont="1" applyFill="1" applyBorder="1" applyAlignment="1">
      <alignment horizontal="left" indent="2"/>
    </xf>
    <xf numFmtId="188" fontId="37" fillId="71" borderId="217" xfId="58" applyNumberFormat="1" applyFont="1" applyFill="1" applyBorder="1"/>
    <xf numFmtId="178" fontId="0" fillId="44" borderId="221" xfId="13" applyNumberFormat="1" applyFont="1" applyFill="1" applyBorder="1" applyAlignment="1">
      <alignment vertical="center"/>
    </xf>
    <xf numFmtId="0" fontId="0" fillId="44" borderId="50" xfId="0" applyFill="1" applyBorder="1" applyAlignment="1">
      <alignment horizontal="left" vertical="center"/>
    </xf>
    <xf numFmtId="0" fontId="0" fillId="44" borderId="143" xfId="0" applyFill="1" applyBorder="1" applyAlignment="1">
      <alignment horizontal="left" vertical="center"/>
    </xf>
    <xf numFmtId="0" fontId="0" fillId="44" borderId="232" xfId="0" applyFill="1" applyBorder="1" applyAlignment="1">
      <alignment horizontal="left" vertical="center"/>
    </xf>
    <xf numFmtId="0" fontId="0" fillId="44" borderId="231" xfId="0" applyFill="1" applyBorder="1" applyAlignment="1">
      <alignment horizontal="left" vertical="center"/>
    </xf>
    <xf numFmtId="168" fontId="13" fillId="15" borderId="242" xfId="0" applyNumberFormat="1" applyFont="1" applyFill="1" applyBorder="1" applyAlignment="1">
      <alignment horizontal="center" vertical="center" wrapText="1"/>
    </xf>
    <xf numFmtId="170" fontId="0" fillId="12" borderId="202" xfId="13" applyNumberFormat="1" applyFont="1" applyFill="1" applyBorder="1" applyAlignment="1" applyProtection="1">
      <alignment horizontal="center" vertical="center"/>
      <protection locked="0"/>
    </xf>
    <xf numFmtId="170" fontId="0" fillId="12" borderId="243" xfId="13" applyNumberFormat="1" applyFont="1" applyFill="1" applyBorder="1" applyAlignment="1" applyProtection="1">
      <alignment horizontal="center" vertical="center"/>
      <protection locked="0"/>
    </xf>
    <xf numFmtId="170" fontId="0" fillId="12" borderId="223" xfId="13" applyNumberFormat="1" applyFont="1" applyFill="1" applyBorder="1" applyAlignment="1" applyProtection="1">
      <alignment horizontal="center" vertical="center"/>
      <protection locked="0"/>
    </xf>
    <xf numFmtId="178" fontId="0" fillId="44" borderId="204" xfId="13" applyNumberFormat="1" applyFont="1" applyFill="1" applyBorder="1" applyAlignment="1">
      <alignment vertical="center"/>
    </xf>
    <xf numFmtId="178" fontId="0" fillId="44" borderId="206" xfId="13" applyNumberFormat="1" applyFont="1" applyFill="1" applyBorder="1" applyAlignment="1">
      <alignment vertical="center"/>
    </xf>
    <xf numFmtId="178" fontId="0" fillId="44" borderId="132" xfId="13" applyNumberFormat="1" applyFont="1" applyFill="1" applyBorder="1" applyAlignment="1">
      <alignment vertical="center"/>
    </xf>
    <xf numFmtId="178" fontId="0" fillId="44" borderId="141" xfId="13" applyNumberFormat="1" applyFont="1" applyFill="1" applyBorder="1" applyAlignment="1">
      <alignment vertical="center"/>
    </xf>
    <xf numFmtId="178" fontId="0" fillId="44" borderId="105" xfId="13" applyNumberFormat="1" applyFont="1" applyFill="1" applyBorder="1" applyAlignment="1">
      <alignment vertical="center"/>
    </xf>
    <xf numFmtId="178" fontId="0" fillId="44" borderId="104" xfId="13" applyNumberFormat="1" applyFont="1" applyFill="1" applyBorder="1" applyAlignment="1">
      <alignment vertical="center"/>
    </xf>
    <xf numFmtId="168" fontId="13" fillId="15" borderId="236" xfId="0" applyNumberFormat="1" applyFont="1" applyFill="1" applyBorder="1" applyAlignment="1">
      <alignment horizontal="center" vertical="center" wrapText="1"/>
    </xf>
    <xf numFmtId="170" fontId="0" fillId="44" borderId="50" xfId="13" applyNumberFormat="1" applyFont="1" applyFill="1" applyBorder="1" applyAlignment="1">
      <alignment horizontal="center" vertical="center"/>
    </xf>
    <xf numFmtId="170" fontId="0" fillId="44" borderId="231" xfId="13" applyNumberFormat="1" applyFont="1" applyFill="1" applyBorder="1" applyAlignment="1">
      <alignment horizontal="center" vertical="center"/>
    </xf>
    <xf numFmtId="170" fontId="0" fillId="44" borderId="232" xfId="13" applyNumberFormat="1" applyFont="1" applyFill="1" applyBorder="1" applyAlignment="1">
      <alignment horizontal="center" vertical="center"/>
    </xf>
    <xf numFmtId="179" fontId="0" fillId="56" borderId="144" xfId="13" applyNumberFormat="1" applyFont="1" applyFill="1" applyBorder="1" applyAlignment="1">
      <alignment horizontal="center" vertical="center"/>
    </xf>
    <xf numFmtId="179" fontId="0" fillId="56" borderId="7" xfId="13" applyNumberFormat="1" applyFont="1" applyFill="1" applyBorder="1" applyAlignment="1">
      <alignment horizontal="center" vertical="center"/>
    </xf>
    <xf numFmtId="168" fontId="13" fillId="34" borderId="54" xfId="0" applyNumberFormat="1" applyFont="1" applyFill="1" applyBorder="1" applyAlignment="1">
      <alignment horizontal="center" vertical="center" wrapText="1"/>
    </xf>
    <xf numFmtId="179" fontId="0" fillId="12" borderId="50" xfId="13" applyNumberFormat="1" applyFont="1" applyFill="1" applyBorder="1" applyAlignment="1" applyProtection="1">
      <alignment horizontal="center" vertical="center"/>
      <protection locked="0"/>
    </xf>
    <xf numFmtId="179" fontId="0" fillId="12" borderId="143" xfId="13" applyNumberFormat="1" applyFont="1" applyFill="1" applyBorder="1" applyAlignment="1" applyProtection="1">
      <alignment horizontal="center" vertical="center"/>
      <protection locked="0"/>
    </xf>
    <xf numFmtId="179" fontId="0" fillId="12" borderId="232" xfId="13" applyNumberFormat="1" applyFont="1" applyFill="1" applyBorder="1" applyAlignment="1" applyProtection="1">
      <alignment horizontal="center" vertical="center"/>
      <protection locked="0"/>
    </xf>
    <xf numFmtId="179" fontId="0" fillId="56" borderId="143" xfId="13" applyNumberFormat="1" applyFont="1" applyFill="1" applyBorder="1" applyAlignment="1">
      <alignment horizontal="center" vertical="center"/>
    </xf>
    <xf numFmtId="179" fontId="0" fillId="29" borderId="247" xfId="0" applyNumberFormat="1" applyFill="1" applyBorder="1"/>
    <xf numFmtId="0" fontId="13" fillId="16" borderId="207" xfId="0" applyFont="1" applyFill="1" applyBorder="1" applyAlignment="1">
      <alignment horizontal="center" vertical="center" wrapText="1"/>
    </xf>
    <xf numFmtId="179" fontId="13" fillId="29" borderId="127" xfId="0" applyNumberFormat="1" applyFont="1" applyFill="1" applyBorder="1" applyAlignment="1">
      <alignment vertical="center"/>
    </xf>
    <xf numFmtId="179" fontId="13" fillId="29" borderId="109" xfId="0" applyNumberFormat="1" applyFont="1" applyFill="1" applyBorder="1" applyAlignment="1">
      <alignment vertical="center"/>
    </xf>
    <xf numFmtId="179" fontId="13" fillId="29" borderId="129" xfId="0" applyNumberFormat="1" applyFont="1" applyFill="1" applyBorder="1" applyAlignment="1">
      <alignment vertical="center"/>
    </xf>
    <xf numFmtId="179" fontId="13" fillId="56" borderId="109" xfId="0" applyNumberFormat="1" applyFont="1" applyFill="1" applyBorder="1" applyAlignment="1">
      <alignment vertical="center"/>
    </xf>
    <xf numFmtId="168" fontId="0" fillId="29" borderId="231" xfId="13" applyNumberFormat="1" applyFont="1" applyFill="1" applyBorder="1" applyAlignment="1">
      <alignment vertical="center"/>
    </xf>
    <xf numFmtId="168" fontId="0" fillId="29" borderId="232" xfId="13" applyNumberFormat="1" applyFont="1" applyFill="1" applyBorder="1" applyAlignment="1">
      <alignment vertical="center"/>
    </xf>
    <xf numFmtId="168" fontId="0" fillId="70" borderId="231" xfId="13" applyNumberFormat="1" applyFont="1" applyFill="1" applyBorder="1" applyAlignment="1">
      <alignment vertical="center"/>
    </xf>
    <xf numFmtId="167" fontId="0" fillId="0" borderId="249" xfId="13" applyNumberFormat="1" applyFont="1" applyBorder="1" applyAlignment="1">
      <alignment vertical="center"/>
    </xf>
    <xf numFmtId="168" fontId="0" fillId="29" borderId="80" xfId="13" applyNumberFormat="1" applyFont="1" applyFill="1" applyBorder="1" applyAlignment="1">
      <alignment vertical="center"/>
    </xf>
    <xf numFmtId="168" fontId="0" fillId="29" borderId="200" xfId="13" applyNumberFormat="1" applyFont="1" applyFill="1" applyBorder="1" applyAlignment="1">
      <alignment vertical="center"/>
    </xf>
    <xf numFmtId="168" fontId="0" fillId="29" borderId="250" xfId="13" applyNumberFormat="1" applyFont="1" applyFill="1" applyBorder="1" applyAlignment="1">
      <alignment vertical="center"/>
    </xf>
    <xf numFmtId="168" fontId="0" fillId="29" borderId="204" xfId="13" applyNumberFormat="1" applyFont="1" applyFill="1" applyBorder="1" applyAlignment="1">
      <alignment vertical="center"/>
    </xf>
    <xf numFmtId="168" fontId="0" fillId="29" borderId="205" xfId="13" applyNumberFormat="1" applyFont="1" applyFill="1" applyBorder="1" applyAlignment="1">
      <alignment vertical="center"/>
    </xf>
    <xf numFmtId="167" fontId="0" fillId="0" borderId="244" xfId="13" applyNumberFormat="1" applyFont="1" applyBorder="1" applyAlignment="1">
      <alignment vertical="center"/>
    </xf>
    <xf numFmtId="168" fontId="0" fillId="29" borderId="222" xfId="13" applyNumberFormat="1" applyFont="1" applyFill="1" applyBorder="1" applyAlignment="1">
      <alignment vertical="center"/>
    </xf>
    <xf numFmtId="168" fontId="0" fillId="29" borderId="217" xfId="13" applyNumberFormat="1" applyFont="1" applyFill="1" applyBorder="1" applyAlignment="1">
      <alignment vertical="center"/>
    </xf>
    <xf numFmtId="168" fontId="0" fillId="29" borderId="221" xfId="13" applyNumberFormat="1" applyFont="1" applyFill="1" applyBorder="1" applyAlignment="1">
      <alignment vertical="center"/>
    </xf>
    <xf numFmtId="168" fontId="0" fillId="0" borderId="219" xfId="13" applyNumberFormat="1" applyFont="1" applyBorder="1" applyAlignment="1">
      <alignment vertical="center"/>
    </xf>
    <xf numFmtId="168" fontId="0" fillId="0" borderId="104" xfId="13" applyNumberFormat="1" applyFont="1" applyBorder="1" applyAlignment="1">
      <alignment vertical="center"/>
    </xf>
    <xf numFmtId="168" fontId="0" fillId="42" borderId="80" xfId="13" applyNumberFormat="1" applyFont="1" applyFill="1" applyBorder="1" applyAlignment="1">
      <alignment vertical="center"/>
    </xf>
    <xf numFmtId="168" fontId="0" fillId="42" borderId="200" xfId="13" applyNumberFormat="1" applyFont="1" applyFill="1" applyBorder="1" applyAlignment="1">
      <alignment vertical="center"/>
    </xf>
    <xf numFmtId="168" fontId="0" fillId="42" borderId="133" xfId="13" applyNumberFormat="1" applyFont="1" applyFill="1" applyBorder="1" applyAlignment="1">
      <alignment vertical="center"/>
    </xf>
    <xf numFmtId="168" fontId="0" fillId="67" borderId="222" xfId="13" applyNumberFormat="1" applyFont="1" applyFill="1" applyBorder="1" applyAlignment="1">
      <alignment vertical="center"/>
    </xf>
    <xf numFmtId="168" fontId="0" fillId="67" borderId="217" xfId="13" applyNumberFormat="1" applyFont="1" applyFill="1" applyBorder="1" applyAlignment="1">
      <alignment vertical="center"/>
    </xf>
    <xf numFmtId="168" fontId="0" fillId="67" borderId="219" xfId="13" applyNumberFormat="1" applyFont="1" applyFill="1" applyBorder="1" applyAlignment="1">
      <alignment vertical="center"/>
    </xf>
    <xf numFmtId="168" fontId="0" fillId="42" borderId="105" xfId="13" applyNumberFormat="1" applyFont="1" applyFill="1" applyBorder="1" applyAlignment="1">
      <alignment vertical="center"/>
    </xf>
    <xf numFmtId="168" fontId="0" fillId="42" borderId="221" xfId="13" applyNumberFormat="1" applyFont="1" applyFill="1" applyBorder="1" applyAlignment="1">
      <alignment vertical="center"/>
    </xf>
    <xf numFmtId="168" fontId="0" fillId="42" borderId="104" xfId="13" applyNumberFormat="1" applyFont="1" applyFill="1" applyBorder="1" applyAlignment="1">
      <alignment vertical="center"/>
    </xf>
    <xf numFmtId="168" fontId="0" fillId="42" borderId="204" xfId="13" applyNumberFormat="1" applyFont="1" applyFill="1" applyBorder="1" applyAlignment="1">
      <alignment vertical="center"/>
    </xf>
    <xf numFmtId="168" fontId="0" fillId="42" borderId="205" xfId="13" applyNumberFormat="1" applyFont="1" applyFill="1" applyBorder="1" applyAlignment="1">
      <alignment vertical="center"/>
    </xf>
    <xf numFmtId="168" fontId="0" fillId="42" borderId="206" xfId="13" applyNumberFormat="1" applyFont="1" applyFill="1" applyBorder="1" applyAlignment="1">
      <alignment vertical="center"/>
    </xf>
    <xf numFmtId="168" fontId="0" fillId="42" borderId="222" xfId="13" applyNumberFormat="1" applyFont="1" applyFill="1" applyBorder="1" applyAlignment="1">
      <alignment vertical="center"/>
    </xf>
    <xf numFmtId="168" fontId="0" fillId="42" borderId="217" xfId="13" applyNumberFormat="1" applyFont="1" applyFill="1" applyBorder="1" applyAlignment="1">
      <alignment vertical="center"/>
    </xf>
    <xf numFmtId="168" fontId="0" fillId="42" borderId="219" xfId="13" applyNumberFormat="1" applyFont="1" applyFill="1" applyBorder="1" applyAlignment="1">
      <alignment vertical="center"/>
    </xf>
    <xf numFmtId="178" fontId="0" fillId="12" borderId="251" xfId="13" applyNumberFormat="1" applyFont="1" applyFill="1" applyBorder="1" applyAlignment="1" applyProtection="1">
      <alignment vertical="center"/>
      <protection locked="0"/>
    </xf>
    <xf numFmtId="178" fontId="0" fillId="12" borderId="213" xfId="13" applyNumberFormat="1" applyFont="1" applyFill="1" applyBorder="1" applyAlignment="1" applyProtection="1">
      <alignment vertical="center"/>
      <protection locked="0"/>
    </xf>
    <xf numFmtId="178" fontId="0" fillId="12" borderId="17" xfId="13" applyNumberFormat="1" applyFont="1" applyFill="1" applyBorder="1" applyAlignment="1" applyProtection="1">
      <alignment vertical="center"/>
      <protection locked="0"/>
    </xf>
    <xf numFmtId="178" fontId="0" fillId="12" borderId="252" xfId="13" applyNumberFormat="1" applyFont="1" applyFill="1" applyBorder="1" applyAlignment="1" applyProtection="1">
      <alignment vertical="center"/>
      <protection locked="0"/>
    </xf>
    <xf numFmtId="177" fontId="0" fillId="56" borderId="253" xfId="0" applyNumberFormat="1" applyFill="1" applyBorder="1" applyAlignment="1">
      <alignment vertical="center"/>
    </xf>
    <xf numFmtId="177" fontId="0" fillId="56" borderId="129" xfId="0" applyNumberFormat="1" applyFill="1" applyBorder="1" applyAlignment="1">
      <alignment vertical="center"/>
    </xf>
    <xf numFmtId="0" fontId="0" fillId="56" borderId="204" xfId="0" applyFill="1" applyBorder="1" applyAlignment="1">
      <alignment horizontal="left" vertical="center"/>
    </xf>
    <xf numFmtId="0" fontId="0" fillId="56" borderId="205" xfId="0" applyFill="1" applyBorder="1" applyAlignment="1">
      <alignment horizontal="left" vertical="center"/>
    </xf>
    <xf numFmtId="0" fontId="0" fillId="56" borderId="206" xfId="0" applyFill="1" applyBorder="1" applyAlignment="1">
      <alignment horizontal="left" vertical="center"/>
    </xf>
    <xf numFmtId="178" fontId="0" fillId="56" borderId="251" xfId="13" applyNumberFormat="1" applyFont="1" applyFill="1" applyBorder="1" applyAlignment="1">
      <alignment vertical="center"/>
    </xf>
    <xf numFmtId="178" fontId="0" fillId="56" borderId="205" xfId="13" applyNumberFormat="1" applyFont="1" applyFill="1" applyBorder="1" applyAlignment="1">
      <alignment vertical="center"/>
    </xf>
    <xf numFmtId="0" fontId="0" fillId="56" borderId="222" xfId="0" applyFill="1" applyBorder="1" applyAlignment="1">
      <alignment horizontal="left" vertical="center"/>
    </xf>
    <xf numFmtId="0" fontId="0" fillId="56" borderId="217" xfId="0" applyFill="1" applyBorder="1" applyAlignment="1">
      <alignment horizontal="left" vertical="center"/>
    </xf>
    <xf numFmtId="0" fontId="0" fillId="56" borderId="219" xfId="0" applyFill="1" applyBorder="1" applyAlignment="1">
      <alignment horizontal="left" vertical="center"/>
    </xf>
    <xf numFmtId="178" fontId="0" fillId="56" borderId="213" xfId="13" applyNumberFormat="1" applyFont="1" applyFill="1" applyBorder="1" applyAlignment="1">
      <alignment vertical="center"/>
    </xf>
    <xf numFmtId="178" fontId="0" fillId="56" borderId="194" xfId="13" applyNumberFormat="1" applyFont="1" applyFill="1" applyBorder="1" applyAlignment="1">
      <alignment vertical="center"/>
    </xf>
    <xf numFmtId="0" fontId="0" fillId="56" borderId="105" xfId="0" applyFill="1" applyBorder="1" applyAlignment="1">
      <alignment horizontal="left" vertical="center"/>
    </xf>
    <xf numFmtId="0" fontId="0" fillId="56" borderId="221" xfId="0" applyFill="1" applyBorder="1" applyAlignment="1">
      <alignment horizontal="left" vertical="center"/>
    </xf>
    <xf numFmtId="0" fontId="0" fillId="56" borderId="104" xfId="0" applyFill="1" applyBorder="1" applyAlignment="1">
      <alignment horizontal="left" vertical="center"/>
    </xf>
    <xf numFmtId="178" fontId="0" fillId="56" borderId="252" xfId="13" applyNumberFormat="1" applyFont="1" applyFill="1" applyBorder="1" applyAlignment="1">
      <alignment vertical="center"/>
    </xf>
    <xf numFmtId="178" fontId="0" fillId="56" borderId="103" xfId="13" applyNumberFormat="1" applyFont="1" applyFill="1" applyBorder="1" applyAlignment="1">
      <alignment vertical="center"/>
    </xf>
    <xf numFmtId="168" fontId="14" fillId="56" borderId="222" xfId="13" applyNumberFormat="1" applyFill="1" applyBorder="1" applyAlignment="1">
      <alignment vertical="center"/>
    </xf>
    <xf numFmtId="167" fontId="0" fillId="0" borderId="136" xfId="13" applyNumberFormat="1" applyFont="1" applyBorder="1" applyAlignment="1">
      <alignment vertical="center"/>
    </xf>
    <xf numFmtId="167" fontId="0" fillId="0" borderId="255" xfId="13" applyNumberFormat="1" applyFont="1" applyBorder="1" applyAlignment="1">
      <alignment vertical="center"/>
    </xf>
    <xf numFmtId="167" fontId="0" fillId="0" borderId="256" xfId="13" applyNumberFormat="1" applyFont="1" applyBorder="1" applyAlignment="1">
      <alignment vertical="center"/>
    </xf>
    <xf numFmtId="180" fontId="14" fillId="36" borderId="202" xfId="16" applyNumberFormat="1" applyFill="1" applyBorder="1" applyAlignment="1">
      <alignment horizontal="center" vertical="center"/>
    </xf>
    <xf numFmtId="180" fontId="14" fillId="36" borderId="243" xfId="16" applyNumberFormat="1" applyFill="1" applyBorder="1" applyAlignment="1">
      <alignment horizontal="center" vertical="center"/>
    </xf>
    <xf numFmtId="180" fontId="14" fillId="36" borderId="223" xfId="16" applyNumberFormat="1" applyFill="1" applyBorder="1" applyAlignment="1">
      <alignment horizontal="center" vertical="center"/>
    </xf>
    <xf numFmtId="168" fontId="0" fillId="29" borderId="229" xfId="13" applyNumberFormat="1" applyFont="1" applyFill="1" applyBorder="1" applyAlignment="1">
      <alignment vertical="center"/>
    </xf>
    <xf numFmtId="168" fontId="0" fillId="29" borderId="240" xfId="13" applyNumberFormat="1" applyFont="1" applyFill="1" applyBorder="1" applyAlignment="1">
      <alignment vertical="center"/>
    </xf>
    <xf numFmtId="168" fontId="0" fillId="29" borderId="230" xfId="13" applyNumberFormat="1" applyFont="1" applyFill="1" applyBorder="1" applyAlignment="1">
      <alignment vertical="center"/>
    </xf>
    <xf numFmtId="168" fontId="14" fillId="56" borderId="217" xfId="13" applyNumberFormat="1" applyFill="1" applyBorder="1" applyAlignment="1">
      <alignment vertical="center"/>
    </xf>
    <xf numFmtId="168" fontId="0" fillId="29" borderId="206" xfId="13" applyNumberFormat="1" applyFont="1" applyFill="1" applyBorder="1" applyAlignment="1">
      <alignment vertical="center"/>
    </xf>
    <xf numFmtId="168" fontId="14" fillId="56" borderId="219" xfId="13" applyNumberFormat="1" applyFill="1" applyBorder="1" applyAlignment="1">
      <alignment vertical="center"/>
    </xf>
    <xf numFmtId="168" fontId="13" fillId="39" borderId="240" xfId="13" applyNumberFormat="1" applyFont="1" applyFill="1" applyBorder="1" applyAlignment="1">
      <alignment vertical="center"/>
    </xf>
    <xf numFmtId="168" fontId="13" fillId="39" borderId="257" xfId="13" applyNumberFormat="1" applyFont="1" applyFill="1" applyBorder="1" applyAlignment="1">
      <alignment vertical="center"/>
    </xf>
    <xf numFmtId="168" fontId="14" fillId="1" borderId="80" xfId="13" applyNumberFormat="1" applyFill="1" applyBorder="1" applyAlignment="1">
      <alignment vertical="center"/>
    </xf>
    <xf numFmtId="168" fontId="14" fillId="0" borderId="200" xfId="13" applyNumberFormat="1" applyBorder="1" applyAlignment="1">
      <alignment vertical="center"/>
    </xf>
    <xf numFmtId="168" fontId="14" fillId="0" borderId="250" xfId="13" applyNumberFormat="1" applyBorder="1" applyAlignment="1">
      <alignment vertical="center"/>
    </xf>
    <xf numFmtId="168" fontId="14" fillId="0" borderId="133" xfId="13" applyNumberFormat="1" applyBorder="1" applyAlignment="1">
      <alignment vertical="center"/>
    </xf>
    <xf numFmtId="168" fontId="22" fillId="31" borderId="48" xfId="13" applyNumberFormat="1" applyFont="1" applyFill="1" applyBorder="1" applyAlignment="1">
      <alignment vertical="center" wrapText="1"/>
    </xf>
    <xf numFmtId="168" fontId="22" fillId="31" borderId="259" xfId="13" applyNumberFormat="1" applyFont="1" applyFill="1" applyBorder="1" applyAlignment="1">
      <alignment vertical="center" wrapText="1"/>
    </xf>
    <xf numFmtId="168" fontId="22" fillId="31" borderId="49" xfId="13" applyNumberFormat="1" applyFont="1" applyFill="1" applyBorder="1" applyAlignment="1">
      <alignment vertical="center" wrapText="1"/>
    </xf>
    <xf numFmtId="168" fontId="14" fillId="0" borderId="261" xfId="13" applyNumberFormat="1" applyBorder="1" applyAlignment="1">
      <alignment vertical="center"/>
    </xf>
    <xf numFmtId="168" fontId="22" fillId="31" borderId="262" xfId="13" applyNumberFormat="1" applyFont="1" applyFill="1" applyBorder="1" applyAlignment="1">
      <alignment vertical="center" wrapText="1"/>
    </xf>
    <xf numFmtId="168" fontId="22" fillId="31" borderId="263" xfId="13" applyNumberFormat="1" applyFont="1" applyFill="1" applyBorder="1" applyAlignment="1">
      <alignment vertical="center" wrapText="1"/>
    </xf>
    <xf numFmtId="168" fontId="13" fillId="34" borderId="237" xfId="0" applyNumberFormat="1" applyFont="1" applyFill="1" applyBorder="1" applyAlignment="1">
      <alignment horizontal="center" vertical="center" wrapText="1"/>
    </xf>
    <xf numFmtId="168" fontId="14" fillId="0" borderId="202" xfId="13" applyNumberFormat="1" applyBorder="1" applyAlignment="1">
      <alignment vertical="center"/>
    </xf>
    <xf numFmtId="173" fontId="0" fillId="0" borderId="243" xfId="12" applyNumberFormat="1" applyFont="1" applyBorder="1" applyAlignment="1">
      <alignment vertical="center"/>
    </xf>
    <xf numFmtId="168" fontId="13" fillId="39" borderId="266" xfId="13" applyNumberFormat="1" applyFont="1" applyFill="1" applyBorder="1" applyAlignment="1">
      <alignment vertical="center"/>
    </xf>
    <xf numFmtId="168" fontId="13" fillId="39" borderId="223" xfId="13" applyNumberFormat="1" applyFont="1" applyFill="1" applyBorder="1" applyAlignment="1">
      <alignment vertical="center"/>
    </xf>
    <xf numFmtId="168" fontId="0" fillId="0" borderId="258" xfId="13" applyNumberFormat="1" applyFont="1" applyBorder="1" applyAlignment="1">
      <alignment vertical="center"/>
    </xf>
    <xf numFmtId="168" fontId="14" fillId="0" borderId="258" xfId="13" applyNumberFormat="1" applyBorder="1" applyAlignment="1">
      <alignment vertical="center"/>
    </xf>
    <xf numFmtId="168" fontId="14" fillId="1" borderId="202" xfId="13" applyNumberFormat="1" applyFill="1" applyBorder="1" applyAlignment="1">
      <alignment vertical="center"/>
    </xf>
    <xf numFmtId="173" fontId="0" fillId="1" borderId="243" xfId="12" applyNumberFormat="1" applyFont="1" applyFill="1" applyBorder="1" applyAlignment="1">
      <alignment vertical="center"/>
    </xf>
    <xf numFmtId="168" fontId="0" fillId="0" borderId="202" xfId="13" applyNumberFormat="1" applyFont="1" applyBorder="1" applyAlignment="1">
      <alignment vertical="center"/>
    </xf>
    <xf numFmtId="168" fontId="14" fillId="1" borderId="219" xfId="13" applyNumberFormat="1" applyFill="1" applyBorder="1" applyAlignment="1">
      <alignment vertical="center"/>
    </xf>
    <xf numFmtId="168" fontId="0" fillId="0" borderId="250" xfId="13" applyNumberFormat="1" applyFont="1" applyBorder="1" applyAlignment="1">
      <alignment vertical="center"/>
    </xf>
    <xf numFmtId="168" fontId="14" fillId="1" borderId="261" xfId="13" applyNumberFormat="1" applyFill="1" applyBorder="1" applyAlignment="1">
      <alignment vertical="center"/>
    </xf>
    <xf numFmtId="168" fontId="0" fillId="0" borderId="261" xfId="13" applyNumberFormat="1" applyFont="1" applyBorder="1" applyAlignment="1">
      <alignment vertical="center"/>
    </xf>
    <xf numFmtId="168" fontId="0" fillId="10" borderId="204" xfId="13" applyNumberFormat="1" applyFont="1" applyFill="1" applyBorder="1" applyAlignment="1">
      <alignment horizontal="right" vertical="center"/>
    </xf>
    <xf numFmtId="168" fontId="0" fillId="10" borderId="222" xfId="13" applyNumberFormat="1" applyFont="1" applyFill="1" applyBorder="1" applyAlignment="1">
      <alignment horizontal="right" vertical="center"/>
    </xf>
    <xf numFmtId="168" fontId="13" fillId="39" borderId="105" xfId="13" applyNumberFormat="1" applyFont="1" applyFill="1" applyBorder="1" applyAlignment="1">
      <alignment horizontal="right" vertical="center"/>
    </xf>
    <xf numFmtId="168" fontId="13" fillId="39" borderId="229" xfId="13" applyNumberFormat="1" applyFont="1" applyFill="1" applyBorder="1" applyAlignment="1">
      <alignment horizontal="right" vertical="center"/>
    </xf>
    <xf numFmtId="168" fontId="0" fillId="10" borderId="80" xfId="13" applyNumberFormat="1" applyFont="1" applyFill="1" applyBorder="1" applyAlignment="1">
      <alignment horizontal="right" vertical="center"/>
    </xf>
    <xf numFmtId="168" fontId="22" fillId="31" borderId="81" xfId="13" applyNumberFormat="1" applyFont="1" applyFill="1" applyBorder="1" applyAlignment="1">
      <alignment vertical="center" wrapText="1"/>
    </xf>
    <xf numFmtId="168" fontId="22" fillId="31" borderId="235" xfId="13" applyNumberFormat="1" applyFont="1" applyFill="1" applyBorder="1" applyAlignment="1">
      <alignment vertical="center" wrapText="1"/>
    </xf>
    <xf numFmtId="168" fontId="22" fillId="31" borderId="120" xfId="13" applyNumberFormat="1" applyFont="1" applyFill="1" applyBorder="1" applyAlignment="1">
      <alignment vertical="center" wrapText="1"/>
    </xf>
    <xf numFmtId="168" fontId="22" fillId="31" borderId="234" xfId="13" applyNumberFormat="1" applyFont="1" applyFill="1" applyBorder="1" applyAlignment="1">
      <alignment vertical="center" wrapText="1"/>
    </xf>
    <xf numFmtId="168" fontId="22" fillId="31" borderId="83" xfId="13" applyNumberFormat="1" applyFont="1" applyFill="1" applyBorder="1" applyAlignment="1">
      <alignment vertical="center" wrapText="1"/>
    </xf>
    <xf numFmtId="168" fontId="0" fillId="10" borderId="261" xfId="13" applyNumberFormat="1" applyFont="1" applyFill="1" applyBorder="1" applyAlignment="1">
      <alignment horizontal="right" vertical="center"/>
    </xf>
    <xf numFmtId="168" fontId="0" fillId="10" borderId="231" xfId="13" applyNumberFormat="1" applyFont="1" applyFill="1" applyBorder="1" applyAlignment="1">
      <alignment horizontal="right" vertical="center"/>
    </xf>
    <xf numFmtId="168" fontId="13" fillId="39" borderId="232" xfId="13" applyNumberFormat="1" applyFont="1" applyFill="1" applyBorder="1" applyAlignment="1">
      <alignment horizontal="right" vertical="center"/>
    </xf>
    <xf numFmtId="168" fontId="13" fillId="39" borderId="257" xfId="13" applyNumberFormat="1" applyFont="1" applyFill="1" applyBorder="1" applyAlignment="1">
      <alignment horizontal="right" vertical="center"/>
    </xf>
    <xf numFmtId="168" fontId="0" fillId="10" borderId="250" xfId="13" applyNumberFormat="1" applyFont="1" applyFill="1" applyBorder="1" applyAlignment="1">
      <alignment horizontal="right" vertical="center"/>
    </xf>
    <xf numFmtId="168" fontId="13" fillId="39" borderId="118" xfId="13" applyNumberFormat="1" applyFont="1" applyFill="1" applyBorder="1" applyAlignment="1">
      <alignment horizontal="right" vertical="center"/>
    </xf>
    <xf numFmtId="168" fontId="13" fillId="39" borderId="269" xfId="13" applyNumberFormat="1" applyFont="1" applyFill="1" applyBorder="1" applyAlignment="1">
      <alignment horizontal="right" vertical="center"/>
    </xf>
    <xf numFmtId="168" fontId="22" fillId="31" borderId="247" xfId="13" applyNumberFormat="1" applyFont="1" applyFill="1" applyBorder="1" applyAlignment="1">
      <alignment vertical="center" wrapText="1"/>
    </xf>
    <xf numFmtId="168" fontId="22" fillId="31" borderId="53" xfId="13" applyNumberFormat="1" applyFont="1" applyFill="1" applyBorder="1" applyAlignment="1">
      <alignment vertical="center" wrapText="1"/>
    </xf>
    <xf numFmtId="168" fontId="14" fillId="42" borderId="127" xfId="13" applyNumberFormat="1" applyFill="1" applyBorder="1" applyAlignment="1">
      <alignment vertical="center"/>
    </xf>
    <xf numFmtId="173" fontId="0" fillId="12" borderId="253" xfId="12" applyNumberFormat="1" applyFont="1" applyFill="1" applyBorder="1" applyAlignment="1" applyProtection="1">
      <alignment vertical="center"/>
      <protection locked="0"/>
    </xf>
    <xf numFmtId="168" fontId="13" fillId="39" borderId="129" xfId="13" applyNumberFormat="1" applyFont="1" applyFill="1" applyBorder="1" applyAlignment="1">
      <alignment vertical="center"/>
    </xf>
    <xf numFmtId="168" fontId="13" fillId="39" borderId="254" xfId="13" applyNumberFormat="1" applyFont="1" applyFill="1" applyBorder="1" applyAlignment="1">
      <alignment vertical="center"/>
    </xf>
    <xf numFmtId="168" fontId="0" fillId="10" borderId="233" xfId="13" applyNumberFormat="1" applyFont="1" applyFill="1" applyBorder="1" applyAlignment="1">
      <alignment horizontal="right" vertical="center"/>
    </xf>
    <xf numFmtId="168" fontId="0" fillId="10" borderId="253" xfId="13" applyNumberFormat="1" applyFont="1" applyFill="1" applyBorder="1" applyAlignment="1">
      <alignment horizontal="right" vertical="center"/>
    </xf>
    <xf numFmtId="168" fontId="13" fillId="76" borderId="129" xfId="13" applyNumberFormat="1" applyFont="1" applyFill="1" applyBorder="1" applyAlignment="1">
      <alignment vertical="center"/>
    </xf>
    <xf numFmtId="168" fontId="0" fillId="10" borderId="127" xfId="13" applyNumberFormat="1" applyFont="1" applyFill="1" applyBorder="1" applyAlignment="1">
      <alignment horizontal="right" vertical="center"/>
    </xf>
    <xf numFmtId="168" fontId="13" fillId="76" borderId="254" xfId="13" applyNumberFormat="1" applyFont="1" applyFill="1" applyBorder="1" applyAlignment="1">
      <alignment vertical="center"/>
    </xf>
    <xf numFmtId="168" fontId="22" fillId="31" borderId="45" xfId="13" applyNumberFormat="1" applyFont="1" applyFill="1" applyBorder="1" applyAlignment="1">
      <alignment vertical="center" wrapText="1"/>
    </xf>
    <xf numFmtId="178" fontId="30" fillId="44" borderId="105" xfId="13" applyNumberFormat="1" applyFont="1" applyFill="1" applyBorder="1" applyAlignment="1">
      <alignment vertical="center"/>
    </xf>
    <xf numFmtId="178" fontId="30" fillId="44" borderId="221" xfId="13" applyNumberFormat="1" applyFont="1" applyFill="1" applyBorder="1" applyAlignment="1">
      <alignment vertical="center"/>
    </xf>
    <xf numFmtId="178" fontId="30" fillId="44" borderId="104" xfId="13" applyNumberFormat="1" applyFont="1" applyFill="1" applyBorder="1" applyAlignment="1">
      <alignment vertical="center"/>
    </xf>
    <xf numFmtId="0" fontId="10" fillId="45" borderId="232" xfId="0" applyFont="1" applyFill="1" applyBorder="1" applyAlignment="1">
      <alignment horizontal="center" vertical="center"/>
    </xf>
    <xf numFmtId="177" fontId="0" fillId="0" borderId="231" xfId="0" applyNumberFormat="1" applyBorder="1" applyAlignment="1">
      <alignment horizontal="right" vertical="center"/>
    </xf>
    <xf numFmtId="177" fontId="0" fillId="0" borderId="232" xfId="0" applyNumberFormat="1" applyBorder="1" applyAlignment="1">
      <alignment horizontal="right" vertical="center"/>
    </xf>
    <xf numFmtId="177" fontId="0" fillId="0" borderId="257" xfId="0" applyNumberFormat="1" applyBorder="1" applyAlignment="1">
      <alignment horizontal="right" vertical="center"/>
    </xf>
    <xf numFmtId="9" fontId="0" fillId="26" borderId="253" xfId="0" applyNumberFormat="1" applyFill="1" applyBorder="1" applyAlignment="1">
      <alignment horizontal="center" vertical="center"/>
    </xf>
    <xf numFmtId="9" fontId="0" fillId="26" borderId="129" xfId="0" applyNumberFormat="1" applyFill="1" applyBorder="1" applyAlignment="1">
      <alignment horizontal="center" vertical="center"/>
    </xf>
    <xf numFmtId="9" fontId="0" fillId="26" borderId="127" xfId="0" applyNumberFormat="1" applyFill="1" applyBorder="1" applyAlignment="1">
      <alignment horizontal="center" vertical="center"/>
    </xf>
    <xf numFmtId="176" fontId="14" fillId="77" borderId="217" xfId="12" applyNumberFormat="1" applyFill="1" applyBorder="1"/>
    <xf numFmtId="168" fontId="0" fillId="77" borderId="100" xfId="13" applyNumberFormat="1" applyFont="1" applyFill="1" applyBorder="1" applyAlignment="1">
      <alignment vertical="center"/>
    </xf>
    <xf numFmtId="0" fontId="0" fillId="78" borderId="0" xfId="0" applyFill="1"/>
    <xf numFmtId="0" fontId="13" fillId="78" borderId="0" xfId="0" applyFont="1" applyFill="1" applyAlignment="1">
      <alignment horizontal="center" vertical="center"/>
    </xf>
    <xf numFmtId="0" fontId="0" fillId="78" borderId="0" xfId="0" applyFill="1" applyAlignment="1">
      <alignment horizontal="center" vertical="center"/>
    </xf>
    <xf numFmtId="178" fontId="30" fillId="64" borderId="244" xfId="13" applyNumberFormat="1" applyFont="1" applyFill="1" applyBorder="1" applyAlignment="1">
      <alignment vertical="center"/>
    </xf>
    <xf numFmtId="178" fontId="30" fillId="64" borderId="245" xfId="13" applyNumberFormat="1" applyFont="1" applyFill="1" applyBorder="1" applyAlignment="1">
      <alignment vertical="center"/>
    </xf>
    <xf numFmtId="178" fontId="30" fillId="64" borderId="246" xfId="13" applyNumberFormat="1" applyFont="1" applyFill="1" applyBorder="1" applyAlignment="1">
      <alignment vertical="center"/>
    </xf>
    <xf numFmtId="177" fontId="0" fillId="29" borderId="107" xfId="0" applyNumberFormat="1" applyFill="1" applyBorder="1" applyAlignment="1">
      <alignment vertical="center"/>
    </xf>
    <xf numFmtId="178" fontId="0" fillId="12" borderId="261" xfId="13" applyNumberFormat="1" applyFont="1" applyFill="1" applyBorder="1" applyAlignment="1" applyProtection="1">
      <alignment vertical="center"/>
      <protection locked="0"/>
    </xf>
    <xf numFmtId="178" fontId="0" fillId="12" borderId="231" xfId="13" applyNumberFormat="1" applyFont="1" applyFill="1" applyBorder="1" applyAlignment="1" applyProtection="1">
      <alignment vertical="center"/>
      <protection locked="0"/>
    </xf>
    <xf numFmtId="178" fontId="0" fillId="12" borderId="46" xfId="13" applyNumberFormat="1" applyFont="1" applyFill="1" applyBorder="1" applyAlignment="1" applyProtection="1">
      <alignment vertical="center"/>
      <protection locked="0"/>
    </xf>
    <xf numFmtId="178" fontId="0" fillId="12" borderId="232" xfId="13" applyNumberFormat="1" applyFont="1" applyFill="1" applyBorder="1" applyAlignment="1" applyProtection="1">
      <alignment vertical="center"/>
      <protection locked="0"/>
    </xf>
    <xf numFmtId="177" fontId="0" fillId="56" borderId="233" xfId="0" applyNumberFormat="1" applyFill="1" applyBorder="1" applyAlignment="1">
      <alignment vertical="center"/>
    </xf>
    <xf numFmtId="0" fontId="13" fillId="16" borderId="46" xfId="0" applyFont="1" applyFill="1" applyBorder="1" applyAlignment="1">
      <alignment horizontal="center" vertical="center" wrapText="1"/>
    </xf>
    <xf numFmtId="177" fontId="0" fillId="29" borderId="244" xfId="0" applyNumberFormat="1" applyFill="1" applyBorder="1" applyAlignment="1">
      <alignment vertical="center"/>
    </xf>
    <xf numFmtId="177" fontId="0" fillId="29" borderId="108" xfId="0" applyNumberFormat="1" applyFill="1" applyBorder="1" applyAlignment="1">
      <alignment vertical="center"/>
    </xf>
    <xf numFmtId="177" fontId="0" fillId="56" borderId="249" xfId="0" applyNumberFormat="1" applyFill="1" applyBorder="1" applyAlignment="1">
      <alignment vertical="center"/>
    </xf>
    <xf numFmtId="177" fontId="0" fillId="56" borderId="244" xfId="0" applyNumberFormat="1" applyFill="1" applyBorder="1" applyAlignment="1">
      <alignment vertical="center"/>
    </xf>
    <xf numFmtId="177" fontId="0" fillId="56" borderId="108" xfId="0" applyNumberFormat="1" applyFill="1" applyBorder="1" applyAlignment="1">
      <alignment vertical="center"/>
    </xf>
    <xf numFmtId="177" fontId="0" fillId="19" borderId="127" xfId="0" applyNumberFormat="1" applyFill="1" applyBorder="1" applyAlignment="1">
      <alignment vertical="center"/>
    </xf>
    <xf numFmtId="177" fontId="0" fillId="19" borderId="253" xfId="0" applyNumberFormat="1" applyFill="1" applyBorder="1" applyAlignment="1">
      <alignment vertical="center"/>
    </xf>
    <xf numFmtId="177" fontId="0" fillId="19" borderId="129" xfId="0" applyNumberFormat="1" applyFill="1" applyBorder="1" applyAlignment="1">
      <alignment vertical="center"/>
    </xf>
    <xf numFmtId="176" fontId="14" fillId="12" borderId="217" xfId="12" applyNumberFormat="1" applyFill="1" applyBorder="1" applyProtection="1">
      <protection locked="0"/>
    </xf>
    <xf numFmtId="42" fontId="0" fillId="0" borderId="0" xfId="31" applyFont="1" applyAlignment="1">
      <alignment vertical="center"/>
    </xf>
    <xf numFmtId="0" fontId="14" fillId="0" borderId="277" xfId="0" applyFont="1" applyBorder="1" applyAlignment="1">
      <alignment horizontal="center"/>
    </xf>
    <xf numFmtId="3" fontId="41" fillId="0" borderId="279" xfId="0" applyNumberFormat="1" applyFont="1" applyBorder="1" applyAlignment="1">
      <alignment horizontal="left"/>
    </xf>
    <xf numFmtId="0" fontId="41" fillId="0" borderId="279" xfId="0" applyFont="1" applyBorder="1" applyAlignment="1">
      <alignment vertical="center"/>
    </xf>
    <xf numFmtId="0" fontId="40" fillId="0" borderId="280" xfId="0" applyFont="1" applyBorder="1" applyAlignment="1">
      <alignment horizontal="left"/>
    </xf>
    <xf numFmtId="0" fontId="40" fillId="0" borderId="283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23" fillId="79" borderId="284" xfId="0" applyFont="1" applyFill="1" applyBorder="1" applyAlignment="1">
      <alignment horizontal="center"/>
    </xf>
    <xf numFmtId="0" fontId="13" fillId="79" borderId="284" xfId="0" applyFont="1" applyFill="1" applyBorder="1" applyAlignment="1">
      <alignment horizontal="center" vertical="center"/>
    </xf>
    <xf numFmtId="0" fontId="14" fillId="9" borderId="284" xfId="0" applyFont="1" applyFill="1" applyBorder="1" applyAlignment="1">
      <alignment vertical="center"/>
    </xf>
    <xf numFmtId="0" fontId="14" fillId="9" borderId="284" xfId="0" applyFont="1" applyFill="1" applyBorder="1" applyAlignment="1">
      <alignment horizontal="center" vertical="center"/>
    </xf>
    <xf numFmtId="189" fontId="14" fillId="9" borderId="284" xfId="13" applyNumberFormat="1" applyFill="1" applyBorder="1" applyAlignment="1">
      <alignment vertical="center"/>
    </xf>
    <xf numFmtId="2" fontId="14" fillId="9" borderId="284" xfId="0" applyNumberFormat="1" applyFont="1" applyFill="1" applyBorder="1" applyAlignment="1">
      <alignment horizontal="center" vertical="center"/>
    </xf>
    <xf numFmtId="0" fontId="13" fillId="79" borderId="218" xfId="0" applyFont="1" applyFill="1" applyBorder="1" applyAlignment="1">
      <alignment horizontal="center" vertical="center"/>
    </xf>
    <xf numFmtId="0" fontId="13" fillId="79" borderId="285" xfId="0" applyFont="1" applyFill="1" applyBorder="1" applyAlignment="1">
      <alignment vertical="center"/>
    </xf>
    <xf numFmtId="189" fontId="14" fillId="9" borderId="284" xfId="13" applyNumberFormat="1" applyFill="1" applyBorder="1"/>
    <xf numFmtId="0" fontId="13" fillId="0" borderId="287" xfId="0" applyFont="1" applyBorder="1" applyAlignment="1">
      <alignment horizontal="center"/>
    </xf>
    <xf numFmtId="0" fontId="13" fillId="0" borderId="289" xfId="0" applyFont="1" applyBorder="1" applyAlignment="1">
      <alignment horizontal="right"/>
    </xf>
    <xf numFmtId="189" fontId="14" fillId="0" borderId="289" xfId="13" applyNumberFormat="1" applyBorder="1"/>
    <xf numFmtId="0" fontId="14" fillId="0" borderId="287" xfId="0" applyFont="1" applyBorder="1" applyAlignment="1">
      <alignment horizontal="center"/>
    </xf>
    <xf numFmtId="189" fontId="14" fillId="0" borderId="292" xfId="13" applyNumberFormat="1" applyBorder="1"/>
    <xf numFmtId="191" fontId="13" fillId="0" borderId="293" xfId="12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189" fontId="14" fillId="0" borderId="286" xfId="13" applyNumberFormat="1" applyBorder="1"/>
    <xf numFmtId="189" fontId="14" fillId="0" borderId="0" xfId="13" applyNumberFormat="1"/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40" fillId="0" borderId="273" xfId="0" applyFont="1" applyBorder="1"/>
    <xf numFmtId="0" fontId="41" fillId="0" borderId="274" xfId="0" applyFont="1" applyBorder="1"/>
    <xf numFmtId="0" fontId="40" fillId="0" borderId="275" xfId="0" applyFont="1" applyBorder="1"/>
    <xf numFmtId="0" fontId="41" fillId="0" borderId="276" xfId="0" applyFont="1" applyBorder="1"/>
    <xf numFmtId="0" fontId="14" fillId="0" borderId="278" xfId="0" applyFont="1" applyBorder="1"/>
    <xf numFmtId="0" fontId="14" fillId="0" borderId="279" xfId="0" applyFont="1" applyBorder="1"/>
    <xf numFmtId="0" fontId="40" fillId="0" borderId="277" xfId="0" applyFont="1" applyBorder="1"/>
    <xf numFmtId="0" fontId="40" fillId="0" borderId="280" xfId="0" applyFont="1" applyBorder="1"/>
    <xf numFmtId="0" fontId="14" fillId="0" borderId="281" xfId="0" applyFont="1" applyBorder="1"/>
    <xf numFmtId="0" fontId="14" fillId="0" borderId="282" xfId="0" applyFont="1" applyBorder="1"/>
    <xf numFmtId="0" fontId="40" fillId="0" borderId="277" xfId="0" applyFont="1" applyBorder="1" applyAlignment="1">
      <alignment vertical="center"/>
    </xf>
    <xf numFmtId="0" fontId="41" fillId="0" borderId="282" xfId="0" applyFont="1" applyBorder="1"/>
    <xf numFmtId="0" fontId="41" fillId="0" borderId="283" xfId="0" applyFont="1" applyBorder="1"/>
    <xf numFmtId="0" fontId="14" fillId="79" borderId="284" xfId="0" applyFont="1" applyFill="1" applyBorder="1"/>
    <xf numFmtId="0" fontId="14" fillId="0" borderId="287" xfId="0" applyFont="1" applyBorder="1"/>
    <xf numFmtId="0" fontId="13" fillId="0" borderId="288" xfId="0" applyFont="1" applyBorder="1"/>
    <xf numFmtId="190" fontId="13" fillId="0" borderId="290" xfId="0" applyNumberFormat="1" applyFont="1" applyBorder="1"/>
    <xf numFmtId="0" fontId="14" fillId="0" borderId="291" xfId="0" applyFont="1" applyBorder="1"/>
    <xf numFmtId="191" fontId="14" fillId="0" borderId="292" xfId="0" applyNumberFormat="1" applyFont="1" applyBorder="1"/>
    <xf numFmtId="0" fontId="14" fillId="0" borderId="286" xfId="0" applyFont="1" applyBorder="1"/>
    <xf numFmtId="2" fontId="14" fillId="0" borderId="286" xfId="0" applyNumberFormat="1" applyFont="1" applyBorder="1"/>
    <xf numFmtId="0" fontId="39" fillId="0" borderId="0" xfId="0" applyFont="1" applyAlignment="1">
      <alignment vertical="center"/>
    </xf>
    <xf numFmtId="0" fontId="14" fillId="0" borderId="273" xfId="0" applyFont="1" applyBorder="1"/>
    <xf numFmtId="0" fontId="14" fillId="0" borderId="283" xfId="0" applyFont="1" applyBorder="1"/>
    <xf numFmtId="0" fontId="14" fillId="0" borderId="274" xfId="0" applyFont="1" applyBorder="1"/>
    <xf numFmtId="0" fontId="13" fillId="0" borderId="273" xfId="0" applyFont="1" applyBorder="1" applyAlignment="1">
      <alignment vertical="top"/>
    </xf>
    <xf numFmtId="0" fontId="13" fillId="0" borderId="283" xfId="0" applyFont="1" applyBorder="1" applyAlignment="1">
      <alignment vertical="top"/>
    </xf>
    <xf numFmtId="0" fontId="13" fillId="0" borderId="274" xfId="0" applyFont="1" applyBorder="1" applyAlignment="1">
      <alignment vertical="top"/>
    </xf>
    <xf numFmtId="0" fontId="13" fillId="0" borderId="275" xfId="0" applyFont="1" applyBorder="1" applyAlignment="1">
      <alignment vertical="top"/>
    </xf>
    <xf numFmtId="0" fontId="13" fillId="0" borderId="0" xfId="0" applyFont="1" applyAlignment="1">
      <alignment vertical="top"/>
    </xf>
    <xf numFmtId="0" fontId="13" fillId="0" borderId="276" xfId="0" applyFont="1" applyBorder="1" applyAlignment="1">
      <alignment vertical="top"/>
    </xf>
    <xf numFmtId="0" fontId="13" fillId="0" borderId="277" xfId="0" applyFont="1" applyBorder="1" applyAlignment="1">
      <alignment vertical="top"/>
    </xf>
    <xf numFmtId="0" fontId="13" fillId="0" borderId="278" xfId="0" applyFont="1" applyBorder="1" applyAlignment="1">
      <alignment vertical="top"/>
    </xf>
    <xf numFmtId="0" fontId="13" fillId="0" borderId="279" xfId="0" applyFont="1" applyBorder="1" applyAlignment="1">
      <alignment vertical="top"/>
    </xf>
    <xf numFmtId="0" fontId="23" fillId="79" borderId="227" xfId="0" applyFont="1" applyFill="1" applyBorder="1" applyAlignment="1">
      <alignment vertical="center"/>
    </xf>
    <xf numFmtId="0" fontId="13" fillId="79" borderId="227" xfId="0" applyFont="1" applyFill="1" applyBorder="1" applyAlignment="1">
      <alignment vertical="center"/>
    </xf>
    <xf numFmtId="0" fontId="23" fillId="79" borderId="294" xfId="0" applyFont="1" applyFill="1" applyBorder="1" applyAlignment="1">
      <alignment vertical="center"/>
    </xf>
    <xf numFmtId="0" fontId="13" fillId="79" borderId="294" xfId="0" applyFont="1" applyFill="1" applyBorder="1" applyAlignment="1">
      <alignment vertical="center"/>
    </xf>
    <xf numFmtId="0" fontId="14" fillId="9" borderId="227" xfId="0" applyFont="1" applyFill="1" applyBorder="1" applyAlignment="1">
      <alignment vertical="center"/>
    </xf>
    <xf numFmtId="2" fontId="14" fillId="9" borderId="227" xfId="0" applyNumberFormat="1" applyFont="1" applyFill="1" applyBorder="1" applyAlignment="1">
      <alignment vertical="center"/>
    </xf>
    <xf numFmtId="0" fontId="14" fillId="9" borderId="52" xfId="0" applyFont="1" applyFill="1" applyBorder="1" applyAlignment="1">
      <alignment vertical="center"/>
    </xf>
    <xf numFmtId="2" fontId="14" fillId="9" borderId="52" xfId="0" applyNumberFormat="1" applyFont="1" applyFill="1" applyBorder="1" applyAlignment="1">
      <alignment vertical="center"/>
    </xf>
    <xf numFmtId="0" fontId="14" fillId="9" borderId="294" xfId="0" applyFont="1" applyFill="1" applyBorder="1" applyAlignment="1">
      <alignment vertical="center"/>
    </xf>
    <xf numFmtId="2" fontId="14" fillId="9" borderId="294" xfId="0" applyNumberFormat="1" applyFont="1" applyFill="1" applyBorder="1" applyAlignment="1">
      <alignment vertical="center"/>
    </xf>
    <xf numFmtId="0" fontId="14" fillId="0" borderId="242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21" fillId="0" borderId="0" xfId="20"/>
    <xf numFmtId="0" fontId="0" fillId="0" borderId="0" xfId="0"/>
    <xf numFmtId="0" fontId="21" fillId="0" borderId="0" xfId="20" applyBorder="1" applyAlignment="1" applyProtection="1">
      <alignment horizontal="left" vertical="center"/>
    </xf>
    <xf numFmtId="0" fontId="21" fillId="0" borderId="0" xfId="20" applyBorder="1" applyAlignment="1" applyProtection="1">
      <alignment horizontal="left" vertical="center" wrapText="1"/>
    </xf>
    <xf numFmtId="0" fontId="21" fillId="0" borderId="0" xfId="20" applyBorder="1" applyAlignment="1" applyProtection="1">
      <alignment horizontal="left" vertical="center" indent="2"/>
    </xf>
    <xf numFmtId="0" fontId="21" fillId="0" borderId="0" xfId="20" applyFill="1" applyAlignment="1">
      <alignment horizontal="center"/>
    </xf>
    <xf numFmtId="168" fontId="0" fillId="9" borderId="270" xfId="13" applyNumberFormat="1" applyFont="1" applyFill="1" applyBorder="1" applyAlignment="1">
      <alignment horizontal="right" vertical="center"/>
    </xf>
    <xf numFmtId="168" fontId="0" fillId="9" borderId="246" xfId="13" applyNumberFormat="1" applyFont="1" applyFill="1" applyBorder="1" applyAlignment="1">
      <alignment horizontal="right" vertical="center"/>
    </xf>
    <xf numFmtId="0" fontId="0" fillId="0" borderId="153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148" xfId="0" applyBorder="1" applyAlignment="1">
      <alignment horizontal="center" vertical="center" wrapText="1"/>
    </xf>
    <xf numFmtId="168" fontId="0" fillId="9" borderId="268" xfId="13" applyNumberFormat="1" applyFont="1" applyFill="1" applyBorder="1" applyAlignment="1">
      <alignment horizontal="right" vertical="center"/>
    </xf>
    <xf numFmtId="0" fontId="0" fillId="0" borderId="169" xfId="0" applyBorder="1" applyAlignment="1">
      <alignment horizontal="center" vertical="center" wrapText="1"/>
    </xf>
    <xf numFmtId="0" fontId="0" fillId="0" borderId="170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168" fontId="22" fillId="31" borderId="36" xfId="0" applyNumberFormat="1" applyFont="1" applyFill="1" applyBorder="1" applyAlignment="1">
      <alignment horizontal="center" vertical="center"/>
    </xf>
    <xf numFmtId="0" fontId="23" fillId="0" borderId="156" xfId="0" applyFont="1" applyBorder="1" applyAlignment="1">
      <alignment horizontal="center" vertical="center" wrapText="1"/>
    </xf>
    <xf numFmtId="0" fontId="23" fillId="0" borderId="109" xfId="0" applyFont="1" applyBorder="1" applyAlignment="1">
      <alignment horizontal="center" vertical="center" wrapText="1"/>
    </xf>
    <xf numFmtId="0" fontId="23" fillId="0" borderId="45" xfId="0" applyFont="1" applyBorder="1" applyAlignment="1">
      <alignment horizontal="center" vertical="center" wrapText="1"/>
    </xf>
    <xf numFmtId="168" fontId="22" fillId="31" borderId="85" xfId="0" applyNumberFormat="1" applyFont="1" applyFill="1" applyBorder="1" applyAlignment="1">
      <alignment horizontal="right" vertical="center"/>
    </xf>
    <xf numFmtId="168" fontId="22" fillId="31" borderId="146" xfId="0" applyNumberFormat="1" applyFont="1" applyFill="1" applyBorder="1" applyAlignment="1">
      <alignment horizontal="right" vertical="center"/>
    </xf>
    <xf numFmtId="0" fontId="23" fillId="42" borderId="156" xfId="0" applyFont="1" applyFill="1" applyBorder="1" applyAlignment="1">
      <alignment horizontal="center" vertical="center" wrapText="1"/>
    </xf>
    <xf numFmtId="0" fontId="23" fillId="42" borderId="109" xfId="0" applyFont="1" applyFill="1" applyBorder="1" applyAlignment="1">
      <alignment horizontal="center" vertical="center" wrapText="1"/>
    </xf>
    <xf numFmtId="0" fontId="23" fillId="42" borderId="45" xfId="0" applyFont="1" applyFill="1" applyBorder="1" applyAlignment="1">
      <alignment horizontal="center" vertical="center" wrapText="1"/>
    </xf>
    <xf numFmtId="168" fontId="22" fillId="31" borderId="146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right" vertical="center"/>
    </xf>
    <xf numFmtId="0" fontId="23" fillId="12" borderId="3" xfId="0" applyFont="1" applyFill="1" applyBorder="1" applyAlignment="1" applyProtection="1">
      <alignment horizontal="center" vertical="center"/>
      <protection locked="0"/>
    </xf>
    <xf numFmtId="0" fontId="23" fillId="12" borderId="42" xfId="0" applyFont="1" applyFill="1" applyBorder="1" applyAlignment="1" applyProtection="1">
      <alignment horizontal="center" vertical="center"/>
      <protection locked="0"/>
    </xf>
    <xf numFmtId="0" fontId="23" fillId="12" borderId="4" xfId="0" applyFont="1" applyFill="1" applyBorder="1" applyAlignment="1" applyProtection="1">
      <alignment horizontal="center" vertical="center"/>
      <protection locked="0"/>
    </xf>
    <xf numFmtId="168" fontId="13" fillId="15" borderId="157" xfId="0" applyNumberFormat="1" applyFont="1" applyFill="1" applyBorder="1" applyAlignment="1">
      <alignment horizontal="center" vertical="center"/>
    </xf>
    <xf numFmtId="168" fontId="13" fillId="15" borderId="145" xfId="0" applyNumberFormat="1" applyFont="1" applyFill="1" applyBorder="1" applyAlignment="1">
      <alignment horizontal="center" vertical="center"/>
    </xf>
    <xf numFmtId="168" fontId="23" fillId="38" borderId="264" xfId="0" applyNumberFormat="1" applyFont="1" applyFill="1" applyBorder="1" applyAlignment="1">
      <alignment horizontal="center" vertical="center" wrapText="1"/>
    </xf>
    <xf numFmtId="168" fontId="23" fillId="38" borderId="265" xfId="0" applyNumberFormat="1" applyFont="1" applyFill="1" applyBorder="1" applyAlignment="1">
      <alignment horizontal="center" vertical="center" wrapText="1"/>
    </xf>
    <xf numFmtId="168" fontId="23" fillId="38" borderId="238" xfId="0" applyNumberFormat="1" applyFont="1" applyFill="1" applyBorder="1" applyAlignment="1">
      <alignment horizontal="center" vertical="center" wrapText="1"/>
    </xf>
    <xf numFmtId="168" fontId="24" fillId="33" borderId="158" xfId="0" applyNumberFormat="1" applyFont="1" applyFill="1" applyBorder="1" applyAlignment="1">
      <alignment horizontal="center" vertical="center" wrapText="1"/>
    </xf>
    <xf numFmtId="168" fontId="24" fillId="33" borderId="265" xfId="0" applyNumberFormat="1" applyFont="1" applyFill="1" applyBorder="1" applyAlignment="1">
      <alignment horizontal="center" vertical="center" wrapText="1"/>
    </xf>
    <xf numFmtId="168" fontId="24" fillId="33" borderId="260" xfId="0" applyNumberFormat="1" applyFont="1" applyFill="1" applyBorder="1" applyAlignment="1">
      <alignment horizontal="center" vertical="center" wrapText="1"/>
    </xf>
    <xf numFmtId="168" fontId="27" fillId="43" borderId="267" xfId="0" applyNumberFormat="1" applyFont="1" applyFill="1" applyBorder="1" applyAlignment="1">
      <alignment horizontal="center" vertical="center" wrapText="1"/>
    </xf>
    <xf numFmtId="168" fontId="27" fillId="43" borderId="54" xfId="0" applyNumberFormat="1" applyFont="1" applyFill="1" applyBorder="1" applyAlignment="1">
      <alignment horizontal="center" vertical="center" wrapText="1"/>
    </xf>
    <xf numFmtId="168" fontId="18" fillId="33" borderId="169" xfId="0" applyNumberFormat="1" applyFont="1" applyFill="1" applyBorder="1" applyAlignment="1">
      <alignment horizontal="center" vertical="center" wrapText="1"/>
    </xf>
    <xf numFmtId="168" fontId="18" fillId="33" borderId="170" xfId="0" applyNumberFormat="1" applyFont="1" applyFill="1" applyBorder="1" applyAlignment="1">
      <alignment horizontal="center" vertical="center" wrapText="1"/>
    </xf>
    <xf numFmtId="168" fontId="18" fillId="33" borderId="159" xfId="0" applyNumberFormat="1" applyFont="1" applyFill="1" applyBorder="1" applyAlignment="1">
      <alignment horizontal="center" vertical="center" wrapText="1"/>
    </xf>
    <xf numFmtId="168" fontId="18" fillId="33" borderId="52" xfId="0" applyNumberFormat="1" applyFont="1" applyFill="1" applyBorder="1" applyAlignment="1">
      <alignment horizontal="center" vertical="center" wrapText="1"/>
    </xf>
    <xf numFmtId="168" fontId="18" fillId="33" borderId="207" xfId="0" applyNumberFormat="1" applyFont="1" applyFill="1" applyBorder="1" applyAlignment="1">
      <alignment horizontal="center" vertical="center" wrapText="1"/>
    </xf>
    <xf numFmtId="168" fontId="18" fillId="33" borderId="109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 indent="2"/>
    </xf>
    <xf numFmtId="0" fontId="13" fillId="15" borderId="154" xfId="0" applyFont="1" applyFill="1" applyBorder="1" applyAlignment="1">
      <alignment horizontal="center" vertical="center" wrapText="1"/>
    </xf>
    <xf numFmtId="0" fontId="13" fillId="15" borderId="155" xfId="0" applyFont="1" applyFill="1" applyBorder="1" applyAlignment="1">
      <alignment horizontal="center" vertical="center" wrapText="1"/>
    </xf>
    <xf numFmtId="0" fontId="13" fillId="15" borderId="151" xfId="0" applyFont="1" applyFill="1" applyBorder="1" applyAlignment="1">
      <alignment horizontal="center" vertical="center" wrapText="1"/>
    </xf>
    <xf numFmtId="0" fontId="13" fillId="15" borderId="152" xfId="0" applyFont="1" applyFill="1" applyBorder="1" applyAlignment="1">
      <alignment horizontal="center" vertical="center" wrapText="1"/>
    </xf>
    <xf numFmtId="0" fontId="22" fillId="42" borderId="173" xfId="0" applyFont="1" applyFill="1" applyBorder="1" applyAlignment="1">
      <alignment horizontal="center" vertical="center" wrapText="1"/>
    </xf>
    <xf numFmtId="0" fontId="22" fillId="42" borderId="113" xfId="0" applyFont="1" applyFill="1" applyBorder="1" applyAlignment="1">
      <alignment horizontal="center" vertical="center" wrapText="1"/>
    </xf>
    <xf numFmtId="0" fontId="22" fillId="42" borderId="174" xfId="0" applyFont="1" applyFill="1" applyBorder="1" applyAlignment="1">
      <alignment horizontal="center" vertical="center" wrapText="1"/>
    </xf>
    <xf numFmtId="0" fontId="22" fillId="0" borderId="107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0" fontId="22" fillId="0" borderId="108" xfId="0" applyFont="1" applyBorder="1" applyAlignment="1">
      <alignment horizontal="center" vertical="center" wrapText="1"/>
    </xf>
    <xf numFmtId="0" fontId="23" fillId="13" borderId="125" xfId="0" applyFont="1" applyFill="1" applyBorder="1" applyAlignment="1" applyProtection="1">
      <alignment horizontal="center" vertical="center"/>
      <protection locked="0"/>
    </xf>
    <xf numFmtId="0" fontId="23" fillId="13" borderId="126" xfId="0" applyFont="1" applyFill="1" applyBorder="1" applyAlignment="1" applyProtection="1">
      <alignment horizontal="center" vertical="center"/>
      <protection locked="0"/>
    </xf>
    <xf numFmtId="168" fontId="24" fillId="33" borderId="39" xfId="0" applyNumberFormat="1" applyFont="1" applyFill="1" applyBorder="1" applyAlignment="1">
      <alignment horizontal="center" vertical="center" wrapText="1"/>
    </xf>
    <xf numFmtId="168" fontId="24" fillId="33" borderId="40" xfId="0" applyNumberFormat="1" applyFont="1" applyFill="1" applyBorder="1" applyAlignment="1">
      <alignment horizontal="center" vertical="center" wrapText="1"/>
    </xf>
    <xf numFmtId="168" fontId="24" fillId="33" borderId="248" xfId="0" applyNumberFormat="1" applyFont="1" applyFill="1" applyBorder="1" applyAlignment="1">
      <alignment horizontal="center" vertical="center" wrapText="1"/>
    </xf>
    <xf numFmtId="0" fontId="23" fillId="16" borderId="50" xfId="0" applyFont="1" applyFill="1" applyBorder="1" applyAlignment="1">
      <alignment horizontal="center" vertical="center" wrapText="1"/>
    </xf>
    <xf numFmtId="0" fontId="23" fillId="16" borderId="46" xfId="0" applyFont="1" applyFill="1" applyBorder="1" applyAlignment="1">
      <alignment horizontal="center" vertical="center" wrapText="1"/>
    </xf>
    <xf numFmtId="168" fontId="24" fillId="33" borderId="86" xfId="0" applyNumberFormat="1" applyFont="1" applyFill="1" applyBorder="1" applyAlignment="1">
      <alignment horizontal="center" vertical="center" wrapText="1"/>
    </xf>
    <xf numFmtId="168" fontId="24" fillId="33" borderId="88" xfId="0" applyNumberFormat="1" applyFont="1" applyFill="1" applyBorder="1" applyAlignment="1">
      <alignment horizontal="center" vertical="center" wrapText="1"/>
    </xf>
    <xf numFmtId="168" fontId="24" fillId="33" borderId="238" xfId="0" applyNumberFormat="1" applyFont="1" applyFill="1" applyBorder="1" applyAlignment="1">
      <alignment horizontal="center" vertical="center" wrapText="1"/>
    </xf>
    <xf numFmtId="0" fontId="25" fillId="11" borderId="0" xfId="0" applyFont="1" applyFill="1" applyAlignment="1">
      <alignment horizontal="left" vertical="center" indent="2"/>
    </xf>
    <xf numFmtId="0" fontId="23" fillId="15" borderId="23" xfId="0" applyFont="1" applyFill="1" applyBorder="1" applyAlignment="1">
      <alignment horizontal="center" vertical="center" wrapText="1"/>
    </xf>
    <xf numFmtId="0" fontId="23" fillId="15" borderId="43" xfId="0" applyFont="1" applyFill="1" applyBorder="1" applyAlignment="1">
      <alignment horizontal="center" vertical="center" wrapText="1"/>
    </xf>
    <xf numFmtId="0" fontId="23" fillId="16" borderId="130" xfId="0" applyFont="1" applyFill="1" applyBorder="1" applyAlignment="1">
      <alignment horizontal="center" vertical="center" wrapText="1"/>
    </xf>
    <xf numFmtId="0" fontId="23" fillId="16" borderId="131" xfId="0" applyFont="1" applyFill="1" applyBorder="1" applyAlignment="1">
      <alignment horizontal="center" vertical="center" wrapText="1"/>
    </xf>
    <xf numFmtId="0" fontId="23" fillId="15" borderId="127" xfId="0" applyFont="1" applyFill="1" applyBorder="1" applyAlignment="1">
      <alignment horizontal="center" vertical="center" wrapText="1"/>
    </xf>
    <xf numFmtId="0" fontId="23" fillId="15" borderId="111" xfId="0" applyFont="1" applyFill="1" applyBorder="1" applyAlignment="1">
      <alignment horizontal="center" vertical="center" wrapText="1"/>
    </xf>
    <xf numFmtId="0" fontId="22" fillId="44" borderId="204" xfId="0" applyFont="1" applyFill="1" applyBorder="1" applyAlignment="1">
      <alignment horizontal="center" vertical="center" wrapText="1"/>
    </xf>
    <xf numFmtId="0" fontId="22" fillId="44" borderId="222" xfId="0" applyFont="1" applyFill="1" applyBorder="1" applyAlignment="1">
      <alignment horizontal="center" vertical="center" wrapText="1"/>
    </xf>
    <xf numFmtId="0" fontId="22" fillId="44" borderId="105" xfId="0" applyFont="1" applyFill="1" applyBorder="1" applyAlignment="1">
      <alignment horizontal="center" vertical="center" wrapText="1"/>
    </xf>
    <xf numFmtId="170" fontId="0" fillId="56" borderId="244" xfId="13" applyNumberFormat="1" applyFont="1" applyFill="1" applyBorder="1" applyAlignment="1" applyProtection="1">
      <alignment horizontal="center" vertical="center"/>
      <protection locked="0"/>
    </xf>
    <xf numFmtId="170" fontId="0" fillId="56" borderId="245" xfId="13" applyNumberFormat="1" applyFont="1" applyFill="1" applyBorder="1" applyAlignment="1" applyProtection="1">
      <alignment horizontal="center" vertical="center"/>
      <protection locked="0"/>
    </xf>
    <xf numFmtId="170" fontId="0" fillId="56" borderId="246" xfId="13" applyNumberFormat="1" applyFont="1" applyFill="1" applyBorder="1" applyAlignment="1" applyProtection="1">
      <alignment horizontal="center" vertical="center"/>
      <protection locked="0"/>
    </xf>
    <xf numFmtId="168" fontId="13" fillId="15" borderId="36" xfId="0" applyNumberFormat="1" applyFont="1" applyFill="1" applyBorder="1" applyAlignment="1">
      <alignment horizontal="center" vertical="center" wrapText="1"/>
    </xf>
    <xf numFmtId="168" fontId="13" fillId="15" borderId="123" xfId="0" applyNumberFormat="1" applyFont="1" applyFill="1" applyBorder="1" applyAlignment="1">
      <alignment horizontal="center" vertical="center" wrapText="1"/>
    </xf>
    <xf numFmtId="0" fontId="22" fillId="44" borderId="13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178" fontId="0" fillId="56" borderId="244" xfId="13" applyNumberFormat="1" applyFont="1" applyFill="1" applyBorder="1" applyAlignment="1">
      <alignment horizontal="center" vertical="center"/>
    </xf>
    <xf numFmtId="178" fontId="0" fillId="56" borderId="245" xfId="13" applyNumberFormat="1" applyFont="1" applyFill="1" applyBorder="1" applyAlignment="1">
      <alignment horizontal="center" vertical="center"/>
    </xf>
    <xf numFmtId="178" fontId="0" fillId="56" borderId="246" xfId="13" applyNumberFormat="1" applyFont="1" applyFill="1" applyBorder="1" applyAlignment="1">
      <alignment horizontal="center" vertical="center"/>
    </xf>
    <xf numFmtId="0" fontId="11" fillId="16" borderId="8" xfId="0" applyFont="1" applyFill="1" applyBorder="1" applyAlignment="1">
      <alignment horizontal="center" vertical="center"/>
    </xf>
    <xf numFmtId="0" fontId="11" fillId="16" borderId="5" xfId="0" applyFont="1" applyFill="1" applyBorder="1" applyAlignment="1">
      <alignment horizontal="center" vertical="center"/>
    </xf>
    <xf numFmtId="0" fontId="11" fillId="15" borderId="97" xfId="0" applyFont="1" applyFill="1" applyBorder="1" applyAlignment="1">
      <alignment horizontal="center" vertical="center"/>
    </xf>
    <xf numFmtId="0" fontId="11" fillId="15" borderId="138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0" fontId="13" fillId="17" borderId="13" xfId="0" applyFont="1" applyFill="1" applyBorder="1" applyAlignment="1">
      <alignment horizontal="center" vertical="center"/>
    </xf>
    <xf numFmtId="0" fontId="23" fillId="1" borderId="217" xfId="0" applyFont="1" applyFill="1" applyBorder="1" applyAlignment="1">
      <alignment horizontal="center" vertical="center" wrapText="1"/>
    </xf>
    <xf numFmtId="0" fontId="23" fillId="0" borderId="217" xfId="0" applyFont="1" applyBorder="1" applyAlignment="1">
      <alignment horizontal="center" vertical="center" wrapText="1"/>
    </xf>
    <xf numFmtId="0" fontId="35" fillId="36" borderId="217" xfId="0" applyFont="1" applyFill="1" applyBorder="1" applyAlignment="1">
      <alignment horizontal="center" vertical="center"/>
    </xf>
    <xf numFmtId="0" fontId="34" fillId="49" borderId="224" xfId="0" applyFont="1" applyFill="1" applyBorder="1" applyAlignment="1">
      <alignment horizontal="center" vertical="center" wrapText="1"/>
    </xf>
    <xf numFmtId="0" fontId="34" fillId="49" borderId="149" xfId="0" applyFont="1" applyFill="1" applyBorder="1" applyAlignment="1">
      <alignment horizontal="center" vertical="center" wrapText="1"/>
    </xf>
    <xf numFmtId="0" fontId="23" fillId="12" borderId="27" xfId="0" applyFont="1" applyFill="1" applyBorder="1" applyAlignment="1" applyProtection="1">
      <alignment horizontal="center" vertical="center"/>
      <protection locked="0"/>
    </xf>
    <xf numFmtId="0" fontId="23" fillId="12" borderId="19" xfId="0" applyFont="1" applyFill="1" applyBorder="1" applyAlignment="1" applyProtection="1">
      <alignment horizontal="center" vertical="center"/>
      <protection locked="0"/>
    </xf>
    <xf numFmtId="0" fontId="11" fillId="17" borderId="100" xfId="0" applyFont="1" applyFill="1" applyBorder="1" applyAlignment="1">
      <alignment horizontal="center" vertical="center"/>
    </xf>
    <xf numFmtId="0" fontId="11" fillId="16" borderId="100" xfId="0" applyFont="1" applyFill="1" applyBorder="1" applyAlignment="1">
      <alignment horizontal="center" vertical="center" wrapText="1"/>
    </xf>
    <xf numFmtId="166" fontId="13" fillId="18" borderId="135" xfId="13" applyFont="1" applyFill="1" applyBorder="1" applyAlignment="1">
      <alignment horizontal="center" vertical="center" wrapText="1"/>
    </xf>
    <xf numFmtId="166" fontId="13" fillId="18" borderId="55" xfId="13" applyFont="1" applyFill="1" applyBorder="1" applyAlignment="1">
      <alignment horizontal="center" vertical="center" wrapText="1"/>
    </xf>
    <xf numFmtId="177" fontId="0" fillId="26" borderId="107" xfId="0" applyNumberFormat="1" applyFill="1" applyBorder="1" applyAlignment="1">
      <alignment horizontal="center" vertical="center"/>
    </xf>
    <xf numFmtId="177" fontId="0" fillId="26" borderId="78" xfId="0" applyNumberFormat="1" applyFill="1" applyBorder="1" applyAlignment="1">
      <alignment horizontal="center" vertical="center"/>
    </xf>
    <xf numFmtId="0" fontId="10" fillId="46" borderId="108" xfId="0" applyFont="1" applyFill="1" applyBorder="1" applyAlignment="1">
      <alignment horizontal="center" vertical="center"/>
    </xf>
    <xf numFmtId="0" fontId="10" fillId="46" borderId="118" xfId="0" applyFont="1" applyFill="1" applyBorder="1" applyAlignment="1">
      <alignment horizontal="center" vertical="center"/>
    </xf>
    <xf numFmtId="0" fontId="10" fillId="45" borderId="108" xfId="0" applyFont="1" applyFill="1" applyBorder="1" applyAlignment="1">
      <alignment horizontal="center" vertical="center"/>
    </xf>
    <xf numFmtId="0" fontId="10" fillId="45" borderId="118" xfId="0" applyFont="1" applyFill="1" applyBorder="1" applyAlignment="1">
      <alignment horizontal="center" vertical="center"/>
    </xf>
    <xf numFmtId="177" fontId="0" fillId="26" borderId="79" xfId="0" applyNumberFormat="1" applyFill="1" applyBorder="1" applyAlignment="1">
      <alignment horizontal="center" vertical="center"/>
    </xf>
    <xf numFmtId="0" fontId="13" fillId="16" borderId="207" xfId="0" applyFont="1" applyFill="1" applyBorder="1" applyAlignment="1">
      <alignment horizontal="center" vertical="center" wrapText="1"/>
    </xf>
    <xf numFmtId="0" fontId="13" fillId="16" borderId="4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11" fillId="16" borderId="63" xfId="0" applyFont="1" applyFill="1" applyBorder="1" applyAlignment="1">
      <alignment horizontal="center" vertical="center" wrapText="1"/>
    </xf>
    <xf numFmtId="0" fontId="18" fillId="46" borderId="107" xfId="0" applyFont="1" applyFill="1" applyBorder="1" applyAlignment="1">
      <alignment horizontal="center" vertical="center"/>
    </xf>
    <xf numFmtId="0" fontId="18" fillId="46" borderId="78" xfId="0" applyFont="1" applyFill="1" applyBorder="1" applyAlignment="1">
      <alignment horizontal="center" vertical="center"/>
    </xf>
    <xf numFmtId="0" fontId="18" fillId="45" borderId="107" xfId="0" applyFont="1" applyFill="1" applyBorder="1" applyAlignment="1">
      <alignment horizontal="center" vertical="center"/>
    </xf>
    <xf numFmtId="0" fontId="18" fillId="45" borderId="78" xfId="0" applyFont="1" applyFill="1" applyBorder="1" applyAlignment="1">
      <alignment horizontal="center" vertical="center"/>
    </xf>
    <xf numFmtId="0" fontId="10" fillId="14" borderId="108" xfId="0" applyFont="1" applyFill="1" applyBorder="1" applyAlignment="1">
      <alignment horizontal="center" vertical="center"/>
    </xf>
    <xf numFmtId="0" fontId="10" fillId="14" borderId="118" xfId="0" applyFont="1" applyFill="1" applyBorder="1" applyAlignment="1">
      <alignment horizontal="center" vertical="center"/>
    </xf>
    <xf numFmtId="0" fontId="18" fillId="14" borderId="77" xfId="0" applyFont="1" applyFill="1" applyBorder="1" applyAlignment="1">
      <alignment horizontal="center" vertical="center"/>
    </xf>
    <xf numFmtId="0" fontId="18" fillId="14" borderId="67" xfId="0" applyFont="1" applyFill="1" applyBorder="1" applyAlignment="1">
      <alignment horizontal="center" vertical="center"/>
    </xf>
    <xf numFmtId="0" fontId="18" fillId="46" borderId="77" xfId="0" applyFont="1" applyFill="1" applyBorder="1" applyAlignment="1">
      <alignment horizontal="center" vertical="center"/>
    </xf>
    <xf numFmtId="0" fontId="18" fillId="46" borderId="99" xfId="0" applyFont="1" applyFill="1" applyBorder="1" applyAlignment="1">
      <alignment horizontal="center" vertical="center"/>
    </xf>
    <xf numFmtId="0" fontId="18" fillId="45" borderId="79" xfId="0" applyFont="1" applyFill="1" applyBorder="1" applyAlignment="1">
      <alignment horizontal="center" vertical="center"/>
    </xf>
    <xf numFmtId="0" fontId="18" fillId="45" borderId="99" xfId="0" applyFont="1" applyFill="1" applyBorder="1" applyAlignment="1">
      <alignment horizontal="center" vertical="center"/>
    </xf>
    <xf numFmtId="0" fontId="18" fillId="14" borderId="107" xfId="0" applyFont="1" applyFill="1" applyBorder="1" applyAlignment="1">
      <alignment horizontal="center" vertical="center"/>
    </xf>
    <xf numFmtId="0" fontId="18" fillId="14" borderId="78" xfId="0" applyFont="1" applyFill="1" applyBorder="1" applyAlignment="1">
      <alignment horizontal="center" vertical="center"/>
    </xf>
    <xf numFmtId="0" fontId="23" fillId="45" borderId="66" xfId="0" applyFont="1" applyFill="1" applyBorder="1" applyAlignment="1">
      <alignment horizontal="center" vertical="center" textRotation="90" wrapText="1"/>
    </xf>
    <xf numFmtId="0" fontId="23" fillId="45" borderId="68" xfId="0" applyFont="1" applyFill="1" applyBorder="1" applyAlignment="1">
      <alignment horizontal="center" vertical="center" textRotation="90" wrapText="1"/>
    </xf>
    <xf numFmtId="0" fontId="23" fillId="45" borderId="45" xfId="0" applyFont="1" applyFill="1" applyBorder="1" applyAlignment="1">
      <alignment horizontal="center" vertical="center" textRotation="90" wrapText="1"/>
    </xf>
    <xf numFmtId="0" fontId="23" fillId="45" borderId="66" xfId="0" applyFont="1" applyFill="1" applyBorder="1" applyAlignment="1">
      <alignment horizontal="left" vertical="center" wrapText="1"/>
    </xf>
    <xf numFmtId="0" fontId="23" fillId="45" borderId="68" xfId="0" applyFont="1" applyFill="1" applyBorder="1" applyAlignment="1">
      <alignment horizontal="left" vertical="center" wrapText="1"/>
    </xf>
    <xf numFmtId="0" fontId="23" fillId="45" borderId="45" xfId="0" applyFont="1" applyFill="1" applyBorder="1" applyAlignment="1">
      <alignment horizontal="left" vertical="center" wrapText="1"/>
    </xf>
    <xf numFmtId="0" fontId="26" fillId="45" borderId="56" xfId="0" applyFont="1" applyFill="1" applyBorder="1" applyAlignment="1">
      <alignment horizontal="center" vertical="center" textRotation="90" wrapText="1"/>
    </xf>
    <xf numFmtId="0" fontId="26" fillId="45" borderId="53" xfId="0" applyFont="1" applyFill="1" applyBorder="1" applyAlignment="1">
      <alignment horizontal="center" vertical="center" textRotation="90" wrapText="1"/>
    </xf>
    <xf numFmtId="0" fontId="23" fillId="12" borderId="233" xfId="0" applyFont="1" applyFill="1" applyBorder="1" applyAlignment="1" applyProtection="1">
      <alignment horizontal="left" vertical="center" wrapText="1"/>
      <protection locked="0"/>
    </xf>
    <xf numFmtId="0" fontId="23" fillId="12" borderId="72" xfId="0" applyFont="1" applyFill="1" applyBorder="1" applyAlignment="1" applyProtection="1">
      <alignment horizontal="left" vertical="center" wrapText="1"/>
      <protection locked="0"/>
    </xf>
    <xf numFmtId="0" fontId="23" fillId="12" borderId="70" xfId="0" applyFont="1" applyFill="1" applyBorder="1" applyAlignment="1" applyProtection="1">
      <alignment horizontal="left" vertical="center" wrapText="1"/>
      <protection locked="0"/>
    </xf>
    <xf numFmtId="0" fontId="23" fillId="12" borderId="71" xfId="0" applyFont="1" applyFill="1" applyBorder="1" applyAlignment="1" applyProtection="1">
      <alignment horizontal="left" vertical="center" wrapText="1"/>
      <protection locked="0"/>
    </xf>
    <xf numFmtId="0" fontId="23" fillId="12" borderId="66" xfId="0" applyFont="1" applyFill="1" applyBorder="1" applyAlignment="1" applyProtection="1">
      <alignment horizontal="left" vertical="center" wrapText="1"/>
      <protection locked="0"/>
    </xf>
    <xf numFmtId="0" fontId="23" fillId="12" borderId="109" xfId="0" applyFont="1" applyFill="1" applyBorder="1" applyAlignment="1" applyProtection="1">
      <alignment horizontal="left" vertical="center" wrapText="1"/>
      <protection locked="0"/>
    </xf>
    <xf numFmtId="0" fontId="23" fillId="12" borderId="68" xfId="0" applyFont="1" applyFill="1" applyBorder="1" applyAlignment="1" applyProtection="1">
      <alignment horizontal="left" vertical="center" wrapText="1"/>
      <protection locked="0"/>
    </xf>
    <xf numFmtId="0" fontId="23" fillId="12" borderId="45" xfId="0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Alignment="1">
      <alignment horizontal="center" vertical="center"/>
    </xf>
    <xf numFmtId="0" fontId="13" fillId="17" borderId="21" xfId="0" applyFont="1" applyFill="1" applyBorder="1" applyAlignment="1">
      <alignment horizontal="center" vertical="center" wrapText="1"/>
    </xf>
    <xf numFmtId="0" fontId="13" fillId="17" borderId="82" xfId="0" applyFont="1" applyFill="1" applyBorder="1" applyAlignment="1">
      <alignment horizontal="center" vertical="center" wrapText="1"/>
    </xf>
    <xf numFmtId="0" fontId="11" fillId="15" borderId="21" xfId="0" applyFont="1" applyFill="1" applyBorder="1" applyAlignment="1">
      <alignment horizontal="center" vertical="center" wrapText="1"/>
    </xf>
    <xf numFmtId="0" fontId="11" fillId="15" borderId="82" xfId="0" applyFont="1" applyFill="1" applyBorder="1" applyAlignment="1">
      <alignment horizontal="center" vertical="center" wrapText="1"/>
    </xf>
    <xf numFmtId="0" fontId="13" fillId="26" borderId="37" xfId="0" applyFont="1" applyFill="1" applyBorder="1" applyAlignment="1">
      <alignment horizontal="center" vertical="center" wrapText="1"/>
    </xf>
    <xf numFmtId="0" fontId="13" fillId="26" borderId="68" xfId="0" applyFont="1" applyFill="1" applyBorder="1" applyAlignment="1">
      <alignment horizontal="center" vertical="center" wrapText="1"/>
    </xf>
    <xf numFmtId="0" fontId="18" fillId="14" borderId="115" xfId="0" applyFont="1" applyFill="1" applyBorder="1" applyAlignment="1">
      <alignment horizontal="center" vertical="center"/>
    </xf>
    <xf numFmtId="0" fontId="18" fillId="45" borderId="115" xfId="0" applyFont="1" applyFill="1" applyBorder="1" applyAlignment="1">
      <alignment horizontal="center" vertical="center"/>
    </xf>
    <xf numFmtId="0" fontId="18" fillId="45" borderId="271" xfId="0" applyFont="1" applyFill="1" applyBorder="1" applyAlignment="1">
      <alignment horizontal="center" vertical="center"/>
    </xf>
    <xf numFmtId="0" fontId="13" fillId="16" borderId="208" xfId="0" applyFont="1" applyFill="1" applyBorder="1" applyAlignment="1">
      <alignment horizontal="center" vertical="center" wrapText="1"/>
    </xf>
    <xf numFmtId="0" fontId="13" fillId="16" borderId="225" xfId="0" applyFont="1" applyFill="1" applyBorder="1" applyAlignment="1">
      <alignment horizontal="center" vertical="center" wrapText="1"/>
    </xf>
    <xf numFmtId="0" fontId="13" fillId="16" borderId="198" xfId="0" applyFont="1" applyFill="1" applyBorder="1" applyAlignment="1">
      <alignment horizontal="center" vertical="center" wrapText="1"/>
    </xf>
    <xf numFmtId="0" fontId="13" fillId="16" borderId="234" xfId="0" applyFont="1" applyFill="1" applyBorder="1" applyAlignment="1">
      <alignment horizontal="center" vertical="center" wrapText="1"/>
    </xf>
    <xf numFmtId="0" fontId="13" fillId="16" borderId="186" xfId="0" applyFont="1" applyFill="1" applyBorder="1" applyAlignment="1">
      <alignment horizontal="center" vertical="center"/>
    </xf>
    <xf numFmtId="0" fontId="13" fillId="16" borderId="235" xfId="0" applyFont="1" applyFill="1" applyBorder="1" applyAlignment="1">
      <alignment horizontal="center" vertical="center"/>
    </xf>
    <xf numFmtId="0" fontId="13" fillId="16" borderId="186" xfId="0" applyFont="1" applyFill="1" applyBorder="1" applyAlignment="1">
      <alignment horizontal="center" vertical="center" wrapText="1"/>
    </xf>
    <xf numFmtId="0" fontId="13" fillId="16" borderId="235" xfId="0" applyFont="1" applyFill="1" applyBorder="1" applyAlignment="1">
      <alignment horizontal="center" vertical="center" wrapText="1"/>
    </xf>
    <xf numFmtId="0" fontId="22" fillId="16" borderId="187" xfId="0" applyFont="1" applyFill="1" applyBorder="1" applyAlignment="1">
      <alignment horizontal="center" vertical="center" wrapText="1"/>
    </xf>
    <xf numFmtId="0" fontId="22" fillId="16" borderId="123" xfId="0" applyFont="1" applyFill="1" applyBorder="1" applyAlignment="1">
      <alignment horizontal="center" vertical="center" wrapText="1"/>
    </xf>
    <xf numFmtId="0" fontId="22" fillId="16" borderId="124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23" fillId="42" borderId="113" xfId="0" applyFont="1" applyFill="1" applyBorder="1" applyAlignment="1">
      <alignment horizontal="left" vertical="center" wrapText="1"/>
    </xf>
    <xf numFmtId="0" fontId="23" fillId="42" borderId="174" xfId="0" applyFont="1" applyFill="1" applyBorder="1" applyAlignment="1">
      <alignment horizontal="left" vertical="center" wrapText="1"/>
    </xf>
    <xf numFmtId="0" fontId="23" fillId="0" borderId="208" xfId="0" applyFont="1" applyBorder="1" applyAlignment="1">
      <alignment horizontal="left" vertical="center" wrapText="1"/>
    </xf>
    <xf numFmtId="0" fontId="23" fillId="0" borderId="113" xfId="0" applyFont="1" applyBorder="1" applyAlignment="1">
      <alignment horizontal="left" vertical="center" wrapText="1"/>
    </xf>
    <xf numFmtId="0" fontId="23" fillId="0" borderId="198" xfId="0" applyFont="1" applyBorder="1" applyAlignment="1">
      <alignment horizontal="left" vertical="center" wrapText="1"/>
    </xf>
    <xf numFmtId="0" fontId="23" fillId="16" borderId="136" xfId="0" applyFont="1" applyFill="1" applyBorder="1" applyAlignment="1">
      <alignment horizontal="center" vertical="center"/>
    </xf>
    <xf numFmtId="0" fontId="23" fillId="16" borderId="134" xfId="0" applyFont="1" applyFill="1" applyBorder="1" applyAlignment="1">
      <alignment horizontal="center" vertical="center"/>
    </xf>
    <xf numFmtId="0" fontId="23" fillId="16" borderId="239" xfId="0" applyFont="1" applyFill="1" applyBorder="1" applyAlignment="1">
      <alignment horizontal="center" vertical="center"/>
    </xf>
    <xf numFmtId="0" fontId="23" fillId="12" borderId="11" xfId="0" applyFont="1" applyFill="1" applyBorder="1" applyAlignment="1" applyProtection="1">
      <alignment horizontal="center" vertical="center"/>
      <protection locked="0"/>
    </xf>
    <xf numFmtId="0" fontId="23" fillId="12" borderId="12" xfId="0" applyFont="1" applyFill="1" applyBorder="1" applyAlignment="1" applyProtection="1">
      <alignment horizontal="center" vertical="center"/>
      <protection locked="0"/>
    </xf>
    <xf numFmtId="168" fontId="23" fillId="17" borderId="86" xfId="0" applyNumberFormat="1" applyFont="1" applyFill="1" applyBorder="1" applyAlignment="1">
      <alignment horizontal="center" vertical="center" wrapText="1"/>
    </xf>
    <xf numFmtId="168" fontId="23" fillId="17" borderId="88" xfId="0" applyNumberFormat="1" applyFont="1" applyFill="1" applyBorder="1" applyAlignment="1">
      <alignment horizontal="center" vertical="center" wrapText="1"/>
    </xf>
    <xf numFmtId="168" fontId="23" fillId="17" borderId="238" xfId="0" applyNumberFormat="1" applyFont="1" applyFill="1" applyBorder="1" applyAlignment="1">
      <alignment horizontal="center" vertical="center" wrapText="1"/>
    </xf>
    <xf numFmtId="168" fontId="24" fillId="33" borderId="30" xfId="0" applyNumberFormat="1" applyFont="1" applyFill="1" applyBorder="1" applyAlignment="1">
      <alignment horizontal="center" vertical="center" wrapText="1"/>
    </xf>
    <xf numFmtId="168" fontId="24" fillId="33" borderId="22" xfId="0" applyNumberFormat="1" applyFont="1" applyFill="1" applyBorder="1" applyAlignment="1">
      <alignment horizontal="center" vertical="center" wrapText="1"/>
    </xf>
    <xf numFmtId="168" fontId="24" fillId="33" borderId="157" xfId="0" applyNumberFormat="1" applyFont="1" applyFill="1" applyBorder="1" applyAlignment="1">
      <alignment horizontal="center" vertical="center" wrapText="1"/>
    </xf>
    <xf numFmtId="0" fontId="13" fillId="15" borderId="71" xfId="0" applyFont="1" applyFill="1" applyBorder="1" applyAlignment="1">
      <alignment horizontal="center" vertical="center" wrapText="1"/>
    </xf>
    <xf numFmtId="0" fontId="13" fillId="15" borderId="73" xfId="0" applyFont="1" applyFill="1" applyBorder="1" applyAlignment="1">
      <alignment horizontal="center" vertical="center" wrapText="1"/>
    </xf>
    <xf numFmtId="0" fontId="13" fillId="15" borderId="78" xfId="0" applyFont="1" applyFill="1" applyBorder="1" applyAlignment="1">
      <alignment horizontal="center" vertical="center" wrapText="1"/>
    </xf>
    <xf numFmtId="0" fontId="13" fillId="15" borderId="35" xfId="0" applyFont="1" applyFill="1" applyBorder="1" applyAlignment="1">
      <alignment horizontal="center" vertical="center" wrapText="1"/>
    </xf>
    <xf numFmtId="0" fontId="23" fillId="42" borderId="208" xfId="0" applyFont="1" applyFill="1" applyBorder="1" applyAlignment="1">
      <alignment horizontal="center" vertical="center" wrapText="1"/>
    </xf>
    <xf numFmtId="0" fontId="23" fillId="42" borderId="113" xfId="0" applyFont="1" applyFill="1" applyBorder="1" applyAlignment="1">
      <alignment horizontal="center" vertical="center" wrapText="1"/>
    </xf>
    <xf numFmtId="0" fontId="23" fillId="42" borderId="198" xfId="0" applyFont="1" applyFill="1" applyBorder="1" applyAlignment="1">
      <alignment horizontal="center" vertical="center" wrapText="1"/>
    </xf>
    <xf numFmtId="177" fontId="23" fillId="56" borderId="207" xfId="0" applyNumberFormat="1" applyFont="1" applyFill="1" applyBorder="1" applyAlignment="1">
      <alignment horizontal="right" vertical="center"/>
    </xf>
    <xf numFmtId="177" fontId="23" fillId="56" borderId="109" xfId="0" applyNumberFormat="1" applyFont="1" applyFill="1" applyBorder="1" applyAlignment="1">
      <alignment horizontal="right" vertical="center"/>
    </xf>
    <xf numFmtId="177" fontId="23" fillId="56" borderId="45" xfId="0" applyNumberFormat="1" applyFont="1" applyFill="1" applyBorder="1" applyAlignment="1">
      <alignment horizontal="right" vertical="center"/>
    </xf>
    <xf numFmtId="177" fontId="23" fillId="29" borderId="272" xfId="0" applyNumberFormat="1" applyFont="1" applyFill="1" applyBorder="1" applyAlignment="1">
      <alignment horizontal="right" vertical="center"/>
    </xf>
    <xf numFmtId="177" fontId="23" fillId="29" borderId="56" xfId="0" applyNumberFormat="1" applyFont="1" applyFill="1" applyBorder="1" applyAlignment="1">
      <alignment horizontal="right" vertical="center"/>
    </xf>
    <xf numFmtId="177" fontId="23" fillId="29" borderId="53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23" fillId="11" borderId="208" xfId="0" applyFont="1" applyFill="1" applyBorder="1" applyAlignment="1">
      <alignment horizontal="center" vertical="center" wrapText="1"/>
    </xf>
    <xf numFmtId="0" fontId="23" fillId="11" borderId="113" xfId="0" applyFont="1" applyFill="1" applyBorder="1" applyAlignment="1">
      <alignment horizontal="center" vertical="center" wrapText="1"/>
    </xf>
    <xf numFmtId="0" fontId="13" fillId="16" borderId="206" xfId="0" applyFont="1" applyFill="1" applyBorder="1" applyAlignment="1">
      <alignment horizontal="center" vertical="center" wrapText="1"/>
    </xf>
    <xf numFmtId="0" fontId="13" fillId="16" borderId="193" xfId="0" applyFont="1" applyFill="1" applyBorder="1" applyAlignment="1">
      <alignment horizontal="center" vertical="center" wrapText="1"/>
    </xf>
    <xf numFmtId="0" fontId="13" fillId="16" borderId="113" xfId="0" applyFont="1" applyFill="1" applyBorder="1" applyAlignment="1">
      <alignment horizontal="center" vertical="center" wrapText="1"/>
    </xf>
    <xf numFmtId="0" fontId="13" fillId="16" borderId="214" xfId="0" applyFont="1" applyFill="1" applyBorder="1" applyAlignment="1">
      <alignment horizontal="center" vertical="center"/>
    </xf>
    <xf numFmtId="0" fontId="13" fillId="16" borderId="172" xfId="0" applyFont="1" applyFill="1" applyBorder="1" applyAlignment="1">
      <alignment horizontal="center" vertical="center"/>
    </xf>
    <xf numFmtId="0" fontId="13" fillId="16" borderId="140" xfId="0" applyFont="1" applyFill="1" applyBorder="1" applyAlignment="1">
      <alignment horizontal="center" vertical="center"/>
    </xf>
    <xf numFmtId="0" fontId="13" fillId="16" borderId="140" xfId="0" applyFont="1" applyFill="1" applyBorder="1" applyAlignment="1">
      <alignment horizontal="center" vertical="center" wrapText="1"/>
    </xf>
    <xf numFmtId="0" fontId="22" fillId="16" borderId="36" xfId="0" applyFont="1" applyFill="1" applyBorder="1" applyAlignment="1">
      <alignment horizontal="center" vertical="center" wrapText="1"/>
    </xf>
    <xf numFmtId="0" fontId="13" fillId="26" borderId="207" xfId="0" applyFont="1" applyFill="1" applyBorder="1" applyAlignment="1">
      <alignment horizontal="center" vertical="center" wrapText="1"/>
    </xf>
    <xf numFmtId="0" fontId="13" fillId="26" borderId="109" xfId="0" applyFont="1" applyFill="1" applyBorder="1" applyAlignment="1">
      <alignment horizontal="center" vertical="center" wrapText="1"/>
    </xf>
    <xf numFmtId="0" fontId="22" fillId="0" borderId="182" xfId="0" applyFont="1" applyBorder="1" applyAlignment="1">
      <alignment horizontal="center" vertical="center" wrapText="1"/>
    </xf>
    <xf numFmtId="0" fontId="22" fillId="0" borderId="183" xfId="0" applyFont="1" applyBorder="1" applyAlignment="1">
      <alignment horizontal="center" vertical="center" wrapText="1"/>
    </xf>
    <xf numFmtId="0" fontId="22" fillId="0" borderId="184" xfId="0" applyFont="1" applyBorder="1" applyAlignment="1">
      <alignment horizontal="center" vertical="center" wrapText="1"/>
    </xf>
    <xf numFmtId="0" fontId="13" fillId="16" borderId="94" xfId="0" applyFont="1" applyFill="1" applyBorder="1" applyAlignment="1">
      <alignment horizontal="center" vertical="center" wrapText="1"/>
    </xf>
    <xf numFmtId="0" fontId="13" fillId="16" borderId="95" xfId="0" applyFont="1" applyFill="1" applyBorder="1" applyAlignment="1">
      <alignment horizontal="center" vertical="center" wrapText="1"/>
    </xf>
    <xf numFmtId="0" fontId="23" fillId="12" borderId="9" xfId="0" applyFont="1" applyFill="1" applyBorder="1" applyAlignment="1" applyProtection="1">
      <alignment horizontal="center" vertical="center"/>
      <protection locked="0"/>
    </xf>
    <xf numFmtId="0" fontId="23" fillId="12" borderId="10" xfId="0" applyFont="1" applyFill="1" applyBorder="1" applyAlignment="1" applyProtection="1">
      <alignment horizontal="center" vertical="center"/>
      <protection locked="0"/>
    </xf>
    <xf numFmtId="0" fontId="13" fillId="16" borderId="134" xfId="0" applyFont="1" applyFill="1" applyBorder="1" applyAlignment="1">
      <alignment horizontal="center" vertical="center"/>
    </xf>
    <xf numFmtId="0" fontId="13" fillId="16" borderId="93" xfId="0" applyFont="1" applyFill="1" applyBorder="1" applyAlignment="1">
      <alignment horizontal="center" vertical="center"/>
    </xf>
    <xf numFmtId="0" fontId="23" fillId="15" borderId="86" xfId="0" applyFont="1" applyFill="1" applyBorder="1" applyAlignment="1">
      <alignment horizontal="center" vertical="center" wrapText="1"/>
    </xf>
    <xf numFmtId="0" fontId="23" fillId="15" borderId="176" xfId="0" applyFont="1" applyFill="1" applyBorder="1" applyAlignment="1">
      <alignment horizontal="center" vertical="center" wrapText="1"/>
    </xf>
    <xf numFmtId="0" fontId="23" fillId="15" borderId="90" xfId="0" applyFont="1" applyFill="1" applyBorder="1" applyAlignment="1">
      <alignment horizontal="center" vertical="center" wrapText="1"/>
    </xf>
    <xf numFmtId="0" fontId="23" fillId="15" borderId="185" xfId="0" applyFont="1" applyFill="1" applyBorder="1" applyAlignment="1">
      <alignment horizontal="center" vertical="center" wrapText="1"/>
    </xf>
    <xf numFmtId="0" fontId="13" fillId="16" borderId="136" xfId="0" applyFont="1" applyFill="1" applyBorder="1" applyAlignment="1">
      <alignment horizontal="center" vertical="center"/>
    </xf>
    <xf numFmtId="0" fontId="13" fillId="16" borderId="89" xfId="0" applyFont="1" applyFill="1" applyBorder="1" applyAlignment="1">
      <alignment horizontal="center" vertical="center"/>
    </xf>
    <xf numFmtId="168" fontId="24" fillId="33" borderId="91" xfId="0" applyNumberFormat="1" applyFont="1" applyFill="1" applyBorder="1" applyAlignment="1">
      <alignment horizontal="center" vertical="center" wrapText="1"/>
    </xf>
    <xf numFmtId="168" fontId="13" fillId="17" borderId="92" xfId="0" applyNumberFormat="1" applyFont="1" applyFill="1" applyBorder="1" applyAlignment="1">
      <alignment horizontal="center" vertical="center" wrapText="1"/>
    </xf>
    <xf numFmtId="168" fontId="13" fillId="17" borderId="88" xfId="0" applyNumberFormat="1" applyFont="1" applyFill="1" applyBorder="1" applyAlignment="1">
      <alignment horizontal="center" vertical="center" wrapText="1"/>
    </xf>
    <xf numFmtId="168" fontId="13" fillId="17" borderId="87" xfId="0" applyNumberFormat="1" applyFont="1" applyFill="1" applyBorder="1" applyAlignment="1">
      <alignment horizontal="center" vertical="center" wrapText="1"/>
    </xf>
    <xf numFmtId="0" fontId="0" fillId="37" borderId="24" xfId="0" applyFill="1" applyBorder="1" applyAlignment="1">
      <alignment horizontal="left" vertical="center" wrapText="1"/>
    </xf>
    <xf numFmtId="0" fontId="0" fillId="37" borderId="17" xfId="0" applyFill="1" applyBorder="1" applyAlignment="1">
      <alignment horizontal="left" vertical="center" wrapText="1"/>
    </xf>
    <xf numFmtId="0" fontId="0" fillId="37" borderId="31" xfId="0" applyFill="1" applyBorder="1" applyAlignment="1">
      <alignment horizontal="left" vertical="center" wrapText="1"/>
    </xf>
    <xf numFmtId="0" fontId="0" fillId="37" borderId="25" xfId="0" applyFill="1" applyBorder="1" applyAlignment="1">
      <alignment horizontal="left" vertical="center" wrapText="1"/>
    </xf>
    <xf numFmtId="0" fontId="0" fillId="37" borderId="0" xfId="0" applyFill="1" applyAlignment="1">
      <alignment horizontal="left" vertical="center" wrapText="1"/>
    </xf>
    <xf numFmtId="0" fontId="0" fillId="37" borderId="32" xfId="0" applyFill="1" applyBorder="1" applyAlignment="1">
      <alignment horizontal="left" vertical="center" wrapText="1"/>
    </xf>
    <xf numFmtId="0" fontId="0" fillId="37" borderId="18" xfId="0" applyFill="1" applyBorder="1" applyAlignment="1">
      <alignment horizontal="left" vertical="center" wrapText="1"/>
    </xf>
    <xf numFmtId="0" fontId="0" fillId="37" borderId="14" xfId="0" applyFill="1" applyBorder="1" applyAlignment="1">
      <alignment horizontal="left" vertical="center" wrapText="1"/>
    </xf>
    <xf numFmtId="0" fontId="0" fillId="37" borderId="15" xfId="0" applyFill="1" applyBorder="1" applyAlignment="1">
      <alignment horizontal="left" vertical="center" wrapText="1"/>
    </xf>
  </cellXfs>
  <cellStyles count="60">
    <cellStyle name="Accent" xfId="1" xr:uid="{00000000-0005-0000-0000-000000000000}"/>
    <cellStyle name="Accent 1" xfId="2" xr:uid="{00000000-0005-0000-0000-000001000000}"/>
    <cellStyle name="Accent 1 1" xfId="37" xr:uid="{00000000-0005-0000-0000-000002000000}"/>
    <cellStyle name="Accent 2" xfId="3" xr:uid="{00000000-0005-0000-0000-000003000000}"/>
    <cellStyle name="Accent 2 1" xfId="38" xr:uid="{00000000-0005-0000-0000-000004000000}"/>
    <cellStyle name="Accent 3" xfId="4" xr:uid="{00000000-0005-0000-0000-000005000000}"/>
    <cellStyle name="Accent 3 1" xfId="39" xr:uid="{00000000-0005-0000-0000-000006000000}"/>
    <cellStyle name="Accent 4" xfId="40" xr:uid="{00000000-0005-0000-0000-000007000000}"/>
    <cellStyle name="Bad" xfId="5" xr:uid="{00000000-0005-0000-0000-000008000000}"/>
    <cellStyle name="Bad 1" xfId="41" xr:uid="{00000000-0005-0000-0000-000009000000}"/>
    <cellStyle name="Error" xfId="6" xr:uid="{00000000-0005-0000-0000-00000A000000}"/>
    <cellStyle name="Error 1" xfId="42" xr:uid="{00000000-0005-0000-0000-00000B000000}"/>
    <cellStyle name="Euro" xfId="21" xr:uid="{00000000-0005-0000-0000-00000C000000}"/>
    <cellStyle name="Euro 2" xfId="22" xr:uid="{00000000-0005-0000-0000-00000D000000}"/>
    <cellStyle name="Euro 2 2" xfId="44" xr:uid="{00000000-0005-0000-0000-00000E000000}"/>
    <cellStyle name="Euro 3" xfId="23" xr:uid="{00000000-0005-0000-0000-00000F000000}"/>
    <cellStyle name="Euro 3 2" xfId="45" xr:uid="{00000000-0005-0000-0000-000010000000}"/>
    <cellStyle name="Euro 4" xfId="43" xr:uid="{00000000-0005-0000-0000-000011000000}"/>
    <cellStyle name="Footnote" xfId="7" xr:uid="{00000000-0005-0000-0000-000012000000}"/>
    <cellStyle name="Footnote 1" xfId="46" xr:uid="{00000000-0005-0000-0000-000013000000}"/>
    <cellStyle name="Good" xfId="8" xr:uid="{00000000-0005-0000-0000-000014000000}"/>
    <cellStyle name="Good 1" xfId="47" xr:uid="{00000000-0005-0000-0000-000015000000}"/>
    <cellStyle name="Heading" xfId="9" xr:uid="{00000000-0005-0000-0000-000016000000}"/>
    <cellStyle name="Heading 1" xfId="10" xr:uid="{00000000-0005-0000-0000-000017000000}"/>
    <cellStyle name="Heading 1 1" xfId="48" xr:uid="{00000000-0005-0000-0000-000018000000}"/>
    <cellStyle name="Heading 2" xfId="11" xr:uid="{00000000-0005-0000-0000-000019000000}"/>
    <cellStyle name="Heading 2 1" xfId="49" xr:uid="{00000000-0005-0000-0000-00001A000000}"/>
    <cellStyle name="Heading 3" xfId="50" xr:uid="{00000000-0005-0000-0000-00001B000000}"/>
    <cellStyle name="Hipervínculo" xfId="20" builtinId="8"/>
    <cellStyle name="Hipervínculo 2" xfId="51" xr:uid="{00000000-0005-0000-0000-00001D000000}"/>
    <cellStyle name="Millares" xfId="12" builtinId="3"/>
    <cellStyle name="Millares 2" xfId="24" xr:uid="{00000000-0005-0000-0000-00001F000000}"/>
    <cellStyle name="Millares 3" xfId="59" xr:uid="{00000000-0005-0000-0000-000020000000}"/>
    <cellStyle name="Moneda" xfId="13" builtinId="4"/>
    <cellStyle name="Moneda [0]" xfId="31" builtinId="7"/>
    <cellStyle name="Moneda 2" xfId="26" xr:uid="{00000000-0005-0000-0000-000023000000}"/>
    <cellStyle name="Moneda 2 2" xfId="52" xr:uid="{00000000-0005-0000-0000-000024000000}"/>
    <cellStyle name="Moneda 3" xfId="25" xr:uid="{00000000-0005-0000-0000-000025000000}"/>
    <cellStyle name="Neutral" xfId="14" builtinId="28" customBuiltin="1"/>
    <cellStyle name="Normal" xfId="0" builtinId="0"/>
    <cellStyle name="Normal 2" xfId="27" xr:uid="{00000000-0005-0000-0000-000028000000}"/>
    <cellStyle name="Normal 3" xfId="28" xr:uid="{00000000-0005-0000-0000-000029000000}"/>
    <cellStyle name="Normal 4" xfId="29" xr:uid="{00000000-0005-0000-0000-00002A000000}"/>
    <cellStyle name="Normal 5" xfId="58" xr:uid="{00000000-0005-0000-0000-00002B000000}"/>
    <cellStyle name="Note" xfId="15" xr:uid="{00000000-0005-0000-0000-00002C000000}"/>
    <cellStyle name="Note 1" xfId="53" xr:uid="{00000000-0005-0000-0000-00002D000000}"/>
    <cellStyle name="Note 2" xfId="33" xr:uid="{00000000-0005-0000-0000-00002E000000}"/>
    <cellStyle name="Note 3" xfId="34" xr:uid="{00000000-0005-0000-0000-00002F000000}"/>
    <cellStyle name="Note 4" xfId="32" xr:uid="{00000000-0005-0000-0000-000030000000}"/>
    <cellStyle name="Note 5" xfId="36" xr:uid="{00000000-0005-0000-0000-000031000000}"/>
    <cellStyle name="Note 6" xfId="35" xr:uid="{00000000-0005-0000-0000-000032000000}"/>
    <cellStyle name="Porcentaje" xfId="16" builtinId="5"/>
    <cellStyle name="Porcentaje 2" xfId="30" xr:uid="{00000000-0005-0000-0000-000034000000}"/>
    <cellStyle name="Porcentaje 2 2" xfId="54" xr:uid="{00000000-0005-0000-0000-000035000000}"/>
    <cellStyle name="Status" xfId="17" xr:uid="{00000000-0005-0000-0000-000036000000}"/>
    <cellStyle name="Status 1" xfId="55" xr:uid="{00000000-0005-0000-0000-000037000000}"/>
    <cellStyle name="Text" xfId="18" xr:uid="{00000000-0005-0000-0000-000038000000}"/>
    <cellStyle name="Text 1" xfId="56" xr:uid="{00000000-0005-0000-0000-000039000000}"/>
    <cellStyle name="Warning" xfId="19" xr:uid="{00000000-0005-0000-0000-00003A000000}"/>
    <cellStyle name="Warning 1" xfId="57" xr:uid="{00000000-0005-0000-0000-00003B000000}"/>
  </cellStyles>
  <dxfs count="5"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theme="0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FF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3CDDD"/>
      <rgbColor rgb="00FF99CC"/>
      <rgbColor rgb="00CC99FF"/>
      <rgbColor rgb="00FAC090"/>
      <rgbColor rgb="003366FF"/>
      <rgbColor rgb="0033CCCC"/>
      <rgbColor rgb="0092D05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00FF"/>
      <color rgb="FF0000CC"/>
      <color rgb="FFCCFFCC"/>
      <color rgb="FFFF9933"/>
      <color rgb="FFFF0909"/>
      <color rgb="FF000099"/>
      <color rgb="FF69D8FF"/>
      <color rgb="FFFFFF66"/>
      <color rgb="FF00A249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B) Reajuste Tarifas y Ocupaci&#243;n'!A32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) Costos Indirectos'!Z9"/><Relationship Id="rId2" Type="http://schemas.openxmlformats.org/officeDocument/2006/relationships/hyperlink" Target="#'D) Costos Indirectos'!U9"/><Relationship Id="rId1" Type="http://schemas.openxmlformats.org/officeDocument/2006/relationships/hyperlink" Target="#'D) Costos Indirectos'!M9"/><Relationship Id="rId6" Type="http://schemas.openxmlformats.org/officeDocument/2006/relationships/hyperlink" Target="#'D) Costos Indirectos'!AN9"/><Relationship Id="rId5" Type="http://schemas.openxmlformats.org/officeDocument/2006/relationships/hyperlink" Target="#'D) Costos Indirectos'!A1"/><Relationship Id="rId4" Type="http://schemas.openxmlformats.org/officeDocument/2006/relationships/hyperlink" Target="#'D) Costos Indirectos'!AG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3</xdr:row>
      <xdr:rowOff>119062</xdr:rowOff>
    </xdr:from>
    <xdr:to>
      <xdr:col>8</xdr:col>
      <xdr:colOff>285751</xdr:colOff>
      <xdr:row>5</xdr:row>
      <xdr:rowOff>71437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919C748-5006-46EF-9194-C805EE79AA88}"/>
            </a:ext>
          </a:extLst>
        </xdr:cNvPr>
        <xdr:cNvSpPr txBox="1"/>
      </xdr:nvSpPr>
      <xdr:spPr>
        <a:xfrm>
          <a:off x="285749" y="604837"/>
          <a:ext cx="6096002" cy="276225"/>
        </a:xfrm>
        <a:prstGeom prst="rect">
          <a:avLst/>
        </a:prstGeom>
        <a:solidFill>
          <a:srgbClr val="FFFF00"/>
        </a:solidFill>
        <a:ln w="285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1050" b="1" baseline="0">
              <a:latin typeface="Arial" panose="020B0604020202020204" pitchFamily="34" charset="0"/>
              <a:cs typeface="Arial" panose="020B0604020202020204" pitchFamily="34" charset="0"/>
            </a:rPr>
            <a:t>INGRESE LOS DATOS EN LAS CELDAS DESTACADAS EN COLOR AMARILLO Y NARANJO</a:t>
          </a:r>
          <a:endParaRPr lang="es-CL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21167</xdr:colOff>
      <xdr:row>7</xdr:row>
      <xdr:rowOff>10584</xdr:rowOff>
    </xdr:from>
    <xdr:to>
      <xdr:col>7</xdr:col>
      <xdr:colOff>539751</xdr:colOff>
      <xdr:row>54</xdr:row>
      <xdr:rowOff>137584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4D16761-665A-C37F-6A6E-9E9ED7AAF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149" t="18315" r="33845" b="7910"/>
        <a:stretch/>
      </xdr:blipFill>
      <xdr:spPr>
        <a:xfrm>
          <a:off x="21167" y="1121834"/>
          <a:ext cx="5852584" cy="758825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7</xdr:row>
      <xdr:rowOff>10585</xdr:rowOff>
    </xdr:from>
    <xdr:to>
      <xdr:col>15</xdr:col>
      <xdr:colOff>359833</xdr:colOff>
      <xdr:row>54</xdr:row>
      <xdr:rowOff>137582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A68EB58-6761-B2F2-5AD0-8FD75150E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031" t="17389" r="33789" b="8836"/>
        <a:stretch/>
      </xdr:blipFill>
      <xdr:spPr>
        <a:xfrm>
          <a:off x="5905500" y="1121835"/>
          <a:ext cx="5884333" cy="7588247"/>
        </a:xfrm>
        <a:prstGeom prst="rect">
          <a:avLst/>
        </a:prstGeom>
      </xdr:spPr>
    </xdr:pic>
    <xdr:clientData/>
  </xdr:twoCellAnchor>
  <xdr:twoCellAnchor editAs="oneCell">
    <xdr:from>
      <xdr:col>15</xdr:col>
      <xdr:colOff>402167</xdr:colOff>
      <xdr:row>7</xdr:row>
      <xdr:rowOff>1</xdr:rowOff>
    </xdr:from>
    <xdr:to>
      <xdr:col>23</xdr:col>
      <xdr:colOff>179918</xdr:colOff>
      <xdr:row>54</xdr:row>
      <xdr:rowOff>148168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697C429-409F-0466-8C7F-52C59C7FD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4090" t="18830" r="33788" b="7190"/>
        <a:stretch/>
      </xdr:blipFill>
      <xdr:spPr>
        <a:xfrm>
          <a:off x="11832167" y="1111251"/>
          <a:ext cx="5873751" cy="7609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10588</xdr:rowOff>
    </xdr:from>
    <xdr:to>
      <xdr:col>7</xdr:col>
      <xdr:colOff>539751</xdr:colOff>
      <xdr:row>102</xdr:row>
      <xdr:rowOff>148167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DBFA814-6AEB-50D5-E8EB-8FD6C6279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148" t="17491" r="33730" b="8631"/>
        <a:stretch/>
      </xdr:blipFill>
      <xdr:spPr>
        <a:xfrm>
          <a:off x="0" y="8741838"/>
          <a:ext cx="5873751" cy="7598829"/>
        </a:xfrm>
        <a:prstGeom prst="rect">
          <a:avLst/>
        </a:prstGeom>
      </xdr:spPr>
    </xdr:pic>
    <xdr:clientData/>
  </xdr:twoCellAnchor>
  <xdr:twoCellAnchor editAs="oneCell">
    <xdr:from>
      <xdr:col>7</xdr:col>
      <xdr:colOff>582083</xdr:colOff>
      <xdr:row>55</xdr:row>
      <xdr:rowOff>10584</xdr:rowOff>
    </xdr:from>
    <xdr:to>
      <xdr:col>15</xdr:col>
      <xdr:colOff>370418</xdr:colOff>
      <xdr:row>102</xdr:row>
      <xdr:rowOff>127001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5D93EAE-04EF-3F8A-F08A-3D6DA9E980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4090" t="17904" r="33730" b="8425"/>
        <a:stretch/>
      </xdr:blipFill>
      <xdr:spPr>
        <a:xfrm>
          <a:off x="5916083" y="8741834"/>
          <a:ext cx="5884335" cy="7577667"/>
        </a:xfrm>
        <a:prstGeom prst="rect">
          <a:avLst/>
        </a:prstGeom>
      </xdr:spPr>
    </xdr:pic>
    <xdr:clientData/>
  </xdr:twoCellAnchor>
  <xdr:twoCellAnchor editAs="oneCell">
    <xdr:from>
      <xdr:col>15</xdr:col>
      <xdr:colOff>412751</xdr:colOff>
      <xdr:row>55</xdr:row>
      <xdr:rowOff>21168</xdr:rowOff>
    </xdr:from>
    <xdr:to>
      <xdr:col>23</xdr:col>
      <xdr:colOff>169334</xdr:colOff>
      <xdr:row>102</xdr:row>
      <xdr:rowOff>116417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6D93E3A-C93D-07BC-FAFE-B79B3C80F9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4148" t="18315" r="33846" b="8219"/>
        <a:stretch/>
      </xdr:blipFill>
      <xdr:spPr>
        <a:xfrm>
          <a:off x="11842751" y="8752418"/>
          <a:ext cx="5852583" cy="755649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103</xdr:row>
      <xdr:rowOff>21186</xdr:rowOff>
    </xdr:from>
    <xdr:to>
      <xdr:col>7</xdr:col>
      <xdr:colOff>529166</xdr:colOff>
      <xdr:row>151</xdr:row>
      <xdr:rowOff>21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3164E4D-4FF5-1103-BF60-CBA0662181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4205" t="17080" r="33846" b="9042"/>
        <a:stretch/>
      </xdr:blipFill>
      <xdr:spPr>
        <a:xfrm>
          <a:off x="21167" y="16372436"/>
          <a:ext cx="5841999" cy="7598835"/>
        </a:xfrm>
        <a:prstGeom prst="rect">
          <a:avLst/>
        </a:prstGeom>
      </xdr:spPr>
    </xdr:pic>
    <xdr:clientData/>
  </xdr:twoCellAnchor>
  <xdr:twoCellAnchor editAs="oneCell">
    <xdr:from>
      <xdr:col>7</xdr:col>
      <xdr:colOff>582082</xdr:colOff>
      <xdr:row>103</xdr:row>
      <xdr:rowOff>21184</xdr:rowOff>
    </xdr:from>
    <xdr:to>
      <xdr:col>15</xdr:col>
      <xdr:colOff>328082</xdr:colOff>
      <xdr:row>151</xdr:row>
      <xdr:rowOff>10601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D4E2456-82C5-FEB8-0DB4-C6D79F9DAF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4205" t="18933" r="33846" b="7087"/>
        <a:stretch/>
      </xdr:blipFill>
      <xdr:spPr>
        <a:xfrm>
          <a:off x="5916082" y="16372434"/>
          <a:ext cx="5842000" cy="76094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369094</xdr:colOff>
      <xdr:row>1</xdr:row>
      <xdr:rowOff>71437</xdr:rowOff>
    </xdr:from>
    <xdr:to>
      <xdr:col>0</xdr:col>
      <xdr:colOff>1119190</xdr:colOff>
      <xdr:row>5</xdr:row>
      <xdr:rowOff>226217</xdr:rowOff>
    </xdr:to>
    <xdr:sp macro="" textlink="">
      <xdr:nvSpPr>
        <xdr:cNvPr id="2" name="Flecha: a l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>
          <a:off x="369094" y="238125"/>
          <a:ext cx="750096" cy="881061"/>
        </a:xfrm>
        <a:prstGeom prst="rightArrow">
          <a:avLst>
            <a:gd name="adj1" fmla="val 50000"/>
            <a:gd name="adj2" fmla="val 50000"/>
          </a:avLst>
        </a:prstGeom>
        <a:solidFill>
          <a:srgbClr val="00B0F0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</a:t>
          </a:r>
        </a:p>
        <a:p>
          <a:pPr algn="ctr"/>
          <a:r>
            <a:rPr lang="es-CL" sz="1200" b="1">
              <a:solidFill>
                <a:srgbClr val="FF0000"/>
              </a:solidFill>
            </a:rPr>
            <a:t>TABLA</a:t>
          </a:r>
          <a:r>
            <a:rPr lang="es-CL" sz="1200" b="1" baseline="0">
              <a:solidFill>
                <a:srgbClr val="FF0000"/>
              </a:solidFill>
            </a:rPr>
            <a:t> 4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1</xdr:row>
      <xdr:rowOff>0</xdr:rowOff>
    </xdr:from>
    <xdr:to>
      <xdr:col>1</xdr:col>
      <xdr:colOff>762000</xdr:colOff>
      <xdr:row>4</xdr:row>
      <xdr:rowOff>119062</xdr:rowOff>
    </xdr:to>
    <xdr:sp macro="" textlink="">
      <xdr:nvSpPr>
        <xdr:cNvPr id="2" name="Flecha: hacia abaj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47624" y="166688"/>
          <a:ext cx="1190626" cy="690562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7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797719</xdr:colOff>
      <xdr:row>1</xdr:row>
      <xdr:rowOff>23811</xdr:rowOff>
    </xdr:from>
    <xdr:to>
      <xdr:col>2</xdr:col>
      <xdr:colOff>119064</xdr:colOff>
      <xdr:row>4</xdr:row>
      <xdr:rowOff>142873</xdr:rowOff>
    </xdr:to>
    <xdr:sp macro="" textlink="">
      <xdr:nvSpPr>
        <xdr:cNvPr id="3" name="Flecha: hacia abaj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 bwMode="auto">
        <a:xfrm>
          <a:off x="1273969" y="190499"/>
          <a:ext cx="1190626" cy="690562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8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154781</xdr:colOff>
      <xdr:row>1</xdr:row>
      <xdr:rowOff>35718</xdr:rowOff>
    </xdr:from>
    <xdr:to>
      <xdr:col>2</xdr:col>
      <xdr:colOff>1345407</xdr:colOff>
      <xdr:row>4</xdr:row>
      <xdr:rowOff>154780</xdr:rowOff>
    </xdr:to>
    <xdr:sp macro="" textlink="">
      <xdr:nvSpPr>
        <xdr:cNvPr id="5" name="Flecha: hacia abaj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 bwMode="auto">
        <a:xfrm>
          <a:off x="2500312" y="202406"/>
          <a:ext cx="1190626" cy="690562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9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1404937</xdr:colOff>
      <xdr:row>1</xdr:row>
      <xdr:rowOff>47625</xdr:rowOff>
    </xdr:from>
    <xdr:to>
      <xdr:col>3</xdr:col>
      <xdr:colOff>678656</xdr:colOff>
      <xdr:row>5</xdr:row>
      <xdr:rowOff>83344</xdr:rowOff>
    </xdr:to>
    <xdr:sp macro="" textlink="">
      <xdr:nvSpPr>
        <xdr:cNvPr id="7" name="Flecha: hacia abaj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 bwMode="auto">
        <a:xfrm>
          <a:off x="3750468" y="214313"/>
          <a:ext cx="1190626" cy="773906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10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32</xdr:col>
      <xdr:colOff>333375</xdr:colOff>
      <xdr:row>2</xdr:row>
      <xdr:rowOff>47625</xdr:rowOff>
    </xdr:from>
    <xdr:to>
      <xdr:col>32</xdr:col>
      <xdr:colOff>750093</xdr:colOff>
      <xdr:row>3</xdr:row>
      <xdr:rowOff>178593</xdr:rowOff>
    </xdr:to>
    <xdr:sp macro="" textlink="">
      <xdr:nvSpPr>
        <xdr:cNvPr id="8" name="Flecha derecha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 bwMode="auto">
        <a:xfrm rot="10800000">
          <a:off x="37040344" y="381000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24</xdr:col>
      <xdr:colOff>0</xdr:colOff>
      <xdr:row>3</xdr:row>
      <xdr:rowOff>0</xdr:rowOff>
    </xdr:from>
    <xdr:to>
      <xdr:col>24</xdr:col>
      <xdr:colOff>416718</xdr:colOff>
      <xdr:row>4</xdr:row>
      <xdr:rowOff>59531</xdr:rowOff>
    </xdr:to>
    <xdr:sp macro="" textlink="">
      <xdr:nvSpPr>
        <xdr:cNvPr id="9" name="Flecha derecha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 bwMode="auto">
        <a:xfrm rot="10800000">
          <a:off x="29479875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20</xdr:col>
      <xdr:colOff>0</xdr:colOff>
      <xdr:row>3</xdr:row>
      <xdr:rowOff>0</xdr:rowOff>
    </xdr:from>
    <xdr:to>
      <xdr:col>20</xdr:col>
      <xdr:colOff>416718</xdr:colOff>
      <xdr:row>4</xdr:row>
      <xdr:rowOff>59531</xdr:rowOff>
    </xdr:to>
    <xdr:sp macro="" textlink="">
      <xdr:nvSpPr>
        <xdr:cNvPr id="11" name="Flecha derech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 bwMode="auto">
        <a:xfrm rot="10800000">
          <a:off x="2308621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12</xdr:col>
      <xdr:colOff>369094</xdr:colOff>
      <xdr:row>3</xdr:row>
      <xdr:rowOff>23813</xdr:rowOff>
    </xdr:from>
    <xdr:to>
      <xdr:col>12</xdr:col>
      <xdr:colOff>785812</xdr:colOff>
      <xdr:row>4</xdr:row>
      <xdr:rowOff>83344</xdr:rowOff>
    </xdr:to>
    <xdr:sp macro="" textlink="">
      <xdr:nvSpPr>
        <xdr:cNvPr id="12" name="Flecha derecha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rot="10800000">
          <a:off x="15156657" y="523876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5</xdr:col>
      <xdr:colOff>1321594</xdr:colOff>
      <xdr:row>1</xdr:row>
      <xdr:rowOff>0</xdr:rowOff>
    </xdr:from>
    <xdr:to>
      <xdr:col>7</xdr:col>
      <xdr:colOff>47627</xdr:colOff>
      <xdr:row>5</xdr:row>
      <xdr:rowOff>35719</xdr:rowOff>
    </xdr:to>
    <xdr:sp macro="" textlink="">
      <xdr:nvSpPr>
        <xdr:cNvPr id="13" name="Flecha: hacia abajo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 bwMode="auto">
        <a:xfrm>
          <a:off x="8870157" y="166688"/>
          <a:ext cx="1190626" cy="773906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11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39</xdr:col>
      <xdr:colOff>0</xdr:colOff>
      <xdr:row>3</xdr:row>
      <xdr:rowOff>0</xdr:rowOff>
    </xdr:from>
    <xdr:to>
      <xdr:col>39</xdr:col>
      <xdr:colOff>416718</xdr:colOff>
      <xdr:row>4</xdr:row>
      <xdr:rowOff>59531</xdr:rowOff>
    </xdr:to>
    <xdr:sp macro="" textlink="">
      <xdr:nvSpPr>
        <xdr:cNvPr id="14" name="Flecha derech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 rot="10800000">
          <a:off x="4318396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C1:J52"/>
  <sheetViews>
    <sheetView showGridLines="0" zoomScale="90" zoomScaleNormal="90" workbookViewId="0">
      <selection activeCell="X24" sqref="X24"/>
    </sheetView>
  </sheetViews>
  <sheetFormatPr baseColWidth="10" defaultColWidth="11.42578125" defaultRowHeight="12.75" x14ac:dyDescent="0.2"/>
  <cols>
    <col min="1" max="16384" width="11.42578125" style="653"/>
  </cols>
  <sheetData>
    <row r="1" spans="3:10" x14ac:dyDescent="0.2">
      <c r="J1" s="654"/>
    </row>
    <row r="2" spans="3:10" x14ac:dyDescent="0.2">
      <c r="J2" s="654" t="s">
        <v>255</v>
      </c>
    </row>
    <row r="3" spans="3:10" x14ac:dyDescent="0.2">
      <c r="J3" s="654"/>
    </row>
    <row r="5" spans="3:10" x14ac:dyDescent="0.2">
      <c r="C5" s="655"/>
      <c r="D5" s="655"/>
      <c r="E5" s="655"/>
      <c r="F5" s="655"/>
      <c r="G5" s="655"/>
      <c r="H5" s="655"/>
      <c r="I5" s="655"/>
      <c r="J5" s="655"/>
    </row>
    <row r="6" spans="3:10" x14ac:dyDescent="0.2">
      <c r="C6" s="655"/>
      <c r="D6" s="655"/>
      <c r="E6" s="655"/>
      <c r="F6" s="655"/>
      <c r="G6" s="655"/>
      <c r="H6" s="655"/>
      <c r="I6" s="655"/>
      <c r="J6" s="655"/>
    </row>
    <row r="7" spans="3:10" x14ac:dyDescent="0.2">
      <c r="C7" s="655"/>
      <c r="D7" s="655"/>
      <c r="E7" s="655"/>
      <c r="F7" s="655"/>
      <c r="G7" s="655"/>
      <c r="H7" s="655"/>
      <c r="I7" s="655"/>
      <c r="J7" s="655"/>
    </row>
    <row r="8" spans="3:10" x14ac:dyDescent="0.2">
      <c r="C8" s="655"/>
      <c r="D8" s="655"/>
      <c r="E8" s="655"/>
      <c r="F8" s="655"/>
      <c r="G8" s="655"/>
      <c r="H8" s="655"/>
      <c r="I8" s="655"/>
      <c r="J8" s="655"/>
    </row>
    <row r="9" spans="3:10" x14ac:dyDescent="0.2">
      <c r="C9" s="655"/>
      <c r="D9" s="655"/>
      <c r="E9" s="655"/>
      <c r="F9" s="655"/>
      <c r="G9" s="655"/>
      <c r="H9" s="655"/>
      <c r="I9" s="655"/>
      <c r="J9" s="655"/>
    </row>
    <row r="10" spans="3:10" x14ac:dyDescent="0.2">
      <c r="C10" s="655"/>
      <c r="D10" s="655"/>
      <c r="E10" s="655"/>
      <c r="F10" s="655"/>
      <c r="G10" s="655"/>
      <c r="H10" s="655"/>
      <c r="I10" s="655"/>
      <c r="J10" s="655"/>
    </row>
    <row r="11" spans="3:10" x14ac:dyDescent="0.2">
      <c r="C11" s="655"/>
      <c r="D11" s="655"/>
      <c r="E11" s="655"/>
      <c r="F11" s="655"/>
      <c r="G11" s="655"/>
      <c r="H11" s="655"/>
      <c r="I11" s="655"/>
      <c r="J11" s="655"/>
    </row>
    <row r="12" spans="3:10" x14ac:dyDescent="0.2">
      <c r="C12" s="655"/>
      <c r="D12" s="655"/>
      <c r="E12" s="655"/>
      <c r="F12" s="655"/>
      <c r="G12" s="655"/>
      <c r="H12" s="655"/>
      <c r="I12" s="655"/>
      <c r="J12" s="655"/>
    </row>
    <row r="13" spans="3:10" x14ac:dyDescent="0.2">
      <c r="C13" s="655"/>
      <c r="D13" s="655"/>
      <c r="E13" s="655"/>
      <c r="F13" s="655"/>
      <c r="G13" s="655"/>
      <c r="H13" s="655"/>
      <c r="I13" s="655"/>
      <c r="J13" s="655"/>
    </row>
    <row r="14" spans="3:10" x14ac:dyDescent="0.2">
      <c r="C14" s="655"/>
      <c r="D14" s="655"/>
      <c r="E14" s="655"/>
      <c r="F14" s="655"/>
      <c r="G14" s="655"/>
      <c r="H14" s="655"/>
      <c r="I14" s="655"/>
      <c r="J14" s="655"/>
    </row>
    <row r="15" spans="3:10" x14ac:dyDescent="0.2">
      <c r="C15" s="655"/>
      <c r="D15" s="655"/>
      <c r="E15" s="655"/>
      <c r="F15" s="655"/>
      <c r="G15" s="655"/>
      <c r="H15" s="655"/>
      <c r="I15" s="655"/>
      <c r="J15" s="655"/>
    </row>
    <row r="16" spans="3:10" x14ac:dyDescent="0.2">
      <c r="C16" s="655"/>
      <c r="D16" s="655"/>
      <c r="E16" s="655"/>
      <c r="F16" s="655"/>
      <c r="G16" s="655"/>
      <c r="H16" s="655"/>
      <c r="I16" s="655"/>
      <c r="J16" s="655"/>
    </row>
    <row r="17" spans="3:10" x14ac:dyDescent="0.2">
      <c r="C17" s="655"/>
      <c r="D17" s="655"/>
      <c r="E17" s="655"/>
      <c r="F17" s="655"/>
      <c r="G17" s="655"/>
      <c r="H17" s="655"/>
      <c r="I17" s="655"/>
      <c r="J17" s="655"/>
    </row>
    <row r="18" spans="3:10" x14ac:dyDescent="0.2">
      <c r="C18" s="655"/>
      <c r="D18" s="655"/>
      <c r="E18" s="655"/>
      <c r="F18" s="655"/>
      <c r="G18" s="655"/>
      <c r="H18" s="655"/>
      <c r="I18" s="655"/>
      <c r="J18" s="655"/>
    </row>
    <row r="19" spans="3:10" x14ac:dyDescent="0.2">
      <c r="C19" s="655"/>
      <c r="D19" s="655"/>
      <c r="E19" s="655"/>
      <c r="F19" s="655"/>
      <c r="G19" s="655"/>
      <c r="H19" s="655"/>
      <c r="I19" s="655"/>
      <c r="J19" s="655"/>
    </row>
    <row r="20" spans="3:10" x14ac:dyDescent="0.2">
      <c r="C20" s="655"/>
      <c r="D20" s="655"/>
      <c r="E20" s="655"/>
      <c r="F20" s="655"/>
      <c r="G20" s="655"/>
      <c r="H20" s="655"/>
      <c r="I20" s="655"/>
      <c r="J20" s="655"/>
    </row>
    <row r="21" spans="3:10" x14ac:dyDescent="0.2">
      <c r="C21" s="655"/>
      <c r="D21" s="655"/>
      <c r="E21" s="655"/>
      <c r="F21" s="655"/>
      <c r="G21" s="655"/>
      <c r="H21" s="655"/>
      <c r="I21" s="655"/>
      <c r="J21" s="655"/>
    </row>
    <row r="22" spans="3:10" x14ac:dyDescent="0.2">
      <c r="C22" s="655"/>
      <c r="D22" s="655"/>
      <c r="E22" s="655"/>
      <c r="F22" s="655"/>
      <c r="G22" s="655"/>
      <c r="H22" s="655"/>
      <c r="I22" s="655"/>
      <c r="J22" s="655"/>
    </row>
    <row r="23" spans="3:10" x14ac:dyDescent="0.2">
      <c r="C23" s="655"/>
      <c r="D23" s="655"/>
      <c r="E23" s="655"/>
      <c r="F23" s="655"/>
      <c r="G23" s="655"/>
      <c r="H23" s="655"/>
      <c r="I23" s="655"/>
      <c r="J23" s="655"/>
    </row>
    <row r="24" spans="3:10" x14ac:dyDescent="0.2">
      <c r="C24" s="655"/>
      <c r="D24" s="655"/>
      <c r="E24" s="655"/>
      <c r="F24" s="655"/>
      <c r="G24" s="655"/>
      <c r="H24" s="655"/>
      <c r="I24" s="655"/>
      <c r="J24" s="655"/>
    </row>
    <row r="25" spans="3:10" x14ac:dyDescent="0.2">
      <c r="C25" s="655"/>
      <c r="D25" s="655"/>
      <c r="E25" s="655"/>
      <c r="F25" s="655"/>
      <c r="G25" s="655"/>
      <c r="H25" s="655"/>
      <c r="I25" s="655"/>
      <c r="J25" s="655"/>
    </row>
    <row r="26" spans="3:10" x14ac:dyDescent="0.2">
      <c r="C26" s="655"/>
      <c r="D26" s="655"/>
      <c r="E26" s="655"/>
      <c r="F26" s="655"/>
      <c r="G26" s="655"/>
      <c r="H26" s="655"/>
      <c r="I26" s="655"/>
      <c r="J26" s="655"/>
    </row>
    <row r="27" spans="3:10" x14ac:dyDescent="0.2">
      <c r="C27" s="655"/>
      <c r="D27" s="655"/>
      <c r="E27" s="655"/>
      <c r="F27" s="655"/>
      <c r="G27" s="655"/>
      <c r="H27" s="655"/>
      <c r="I27" s="655"/>
      <c r="J27" s="655"/>
    </row>
    <row r="28" spans="3:10" x14ac:dyDescent="0.2">
      <c r="C28" s="655"/>
      <c r="D28" s="655"/>
      <c r="E28" s="655"/>
      <c r="F28" s="655"/>
      <c r="G28" s="655"/>
      <c r="H28" s="655"/>
      <c r="I28" s="655"/>
      <c r="J28" s="655"/>
    </row>
    <row r="29" spans="3:10" x14ac:dyDescent="0.2">
      <c r="C29" s="655"/>
      <c r="D29" s="655"/>
      <c r="E29" s="655"/>
      <c r="F29" s="655"/>
      <c r="G29" s="655"/>
      <c r="H29" s="655"/>
      <c r="I29" s="655"/>
      <c r="J29" s="655"/>
    </row>
    <row r="30" spans="3:10" x14ac:dyDescent="0.2">
      <c r="C30" s="655"/>
      <c r="D30" s="655"/>
      <c r="E30" s="655"/>
      <c r="F30" s="655"/>
      <c r="G30" s="655"/>
      <c r="H30" s="655"/>
      <c r="I30" s="655"/>
      <c r="J30" s="655"/>
    </row>
    <row r="31" spans="3:10" x14ac:dyDescent="0.2">
      <c r="C31" s="655"/>
      <c r="D31" s="655"/>
      <c r="E31" s="655"/>
      <c r="F31" s="655"/>
      <c r="G31" s="655"/>
      <c r="H31" s="655"/>
      <c r="I31" s="655"/>
      <c r="J31" s="655"/>
    </row>
    <row r="32" spans="3:10" x14ac:dyDescent="0.2">
      <c r="C32" s="655"/>
      <c r="D32" s="655"/>
      <c r="E32" s="655"/>
      <c r="F32" s="655"/>
      <c r="G32" s="655"/>
      <c r="H32" s="655"/>
      <c r="I32" s="655"/>
      <c r="J32" s="655"/>
    </row>
    <row r="33" spans="3:10" x14ac:dyDescent="0.2">
      <c r="C33" s="655"/>
      <c r="D33" s="655"/>
      <c r="E33" s="655"/>
      <c r="F33" s="655"/>
      <c r="G33" s="655"/>
      <c r="H33" s="655"/>
      <c r="I33" s="655"/>
      <c r="J33" s="655"/>
    </row>
    <row r="34" spans="3:10" x14ac:dyDescent="0.2">
      <c r="C34" s="655"/>
      <c r="D34" s="655"/>
      <c r="E34" s="655"/>
      <c r="F34" s="655"/>
      <c r="G34" s="655"/>
      <c r="H34" s="655"/>
      <c r="I34" s="655"/>
      <c r="J34" s="655"/>
    </row>
    <row r="35" spans="3:10" x14ac:dyDescent="0.2">
      <c r="C35" s="655"/>
      <c r="D35" s="655"/>
      <c r="E35" s="655"/>
      <c r="F35" s="655"/>
      <c r="G35" s="655"/>
      <c r="H35" s="655"/>
      <c r="I35" s="655"/>
      <c r="J35" s="655"/>
    </row>
    <row r="36" spans="3:10" x14ac:dyDescent="0.2">
      <c r="C36" s="655"/>
      <c r="D36" s="655"/>
      <c r="E36" s="655"/>
      <c r="F36" s="655"/>
      <c r="G36" s="655"/>
      <c r="H36" s="655"/>
      <c r="I36" s="655"/>
      <c r="J36" s="655"/>
    </row>
    <row r="37" spans="3:10" x14ac:dyDescent="0.2">
      <c r="C37" s="655"/>
      <c r="D37" s="655"/>
      <c r="E37" s="655"/>
      <c r="F37" s="655"/>
      <c r="G37" s="655"/>
      <c r="H37" s="655"/>
      <c r="I37" s="655"/>
      <c r="J37" s="655"/>
    </row>
    <row r="38" spans="3:10" x14ac:dyDescent="0.2">
      <c r="C38" s="655"/>
      <c r="D38" s="655"/>
      <c r="E38" s="655"/>
      <c r="F38" s="655"/>
      <c r="G38" s="655"/>
      <c r="H38" s="655"/>
      <c r="I38" s="655"/>
      <c r="J38" s="655"/>
    </row>
    <row r="39" spans="3:10" x14ac:dyDescent="0.2">
      <c r="C39" s="655"/>
      <c r="D39" s="655"/>
      <c r="E39" s="655"/>
      <c r="F39" s="655"/>
      <c r="G39" s="655"/>
      <c r="H39" s="655"/>
      <c r="I39" s="655"/>
      <c r="J39" s="655"/>
    </row>
    <row r="40" spans="3:10" x14ac:dyDescent="0.2">
      <c r="C40" s="655"/>
      <c r="D40" s="655"/>
      <c r="E40" s="655"/>
      <c r="F40" s="655"/>
      <c r="G40" s="655"/>
      <c r="H40" s="655"/>
      <c r="I40" s="655"/>
      <c r="J40" s="655"/>
    </row>
    <row r="41" spans="3:10" x14ac:dyDescent="0.2">
      <c r="C41" s="655"/>
      <c r="D41" s="655"/>
      <c r="E41" s="655"/>
      <c r="F41" s="655"/>
      <c r="G41" s="655"/>
      <c r="H41" s="655"/>
      <c r="I41" s="655"/>
      <c r="J41" s="655"/>
    </row>
    <row r="42" spans="3:10" x14ac:dyDescent="0.2">
      <c r="C42" s="655"/>
      <c r="D42" s="655"/>
      <c r="E42" s="655"/>
      <c r="F42" s="655"/>
      <c r="G42" s="655"/>
      <c r="H42" s="655"/>
      <c r="I42" s="655"/>
      <c r="J42" s="655"/>
    </row>
    <row r="43" spans="3:10" x14ac:dyDescent="0.2">
      <c r="C43" s="655"/>
      <c r="D43" s="655"/>
      <c r="E43" s="655"/>
      <c r="F43" s="655"/>
      <c r="G43" s="655"/>
      <c r="H43" s="655"/>
      <c r="I43" s="655"/>
      <c r="J43" s="655"/>
    </row>
    <row r="44" spans="3:10" x14ac:dyDescent="0.2">
      <c r="C44" s="655"/>
      <c r="D44" s="655"/>
      <c r="E44" s="655"/>
      <c r="F44" s="655"/>
      <c r="G44" s="655"/>
      <c r="H44" s="655"/>
      <c r="I44" s="655"/>
      <c r="J44" s="655"/>
    </row>
    <row r="45" spans="3:10" x14ac:dyDescent="0.2">
      <c r="C45" s="655"/>
      <c r="D45" s="655"/>
      <c r="E45" s="655"/>
      <c r="F45" s="655"/>
      <c r="G45" s="655"/>
      <c r="H45" s="655"/>
      <c r="I45" s="655"/>
      <c r="J45" s="655"/>
    </row>
    <row r="46" spans="3:10" x14ac:dyDescent="0.2">
      <c r="C46" s="655"/>
      <c r="D46" s="655"/>
      <c r="E46" s="655"/>
      <c r="F46" s="655"/>
      <c r="G46" s="655"/>
      <c r="H46" s="655"/>
      <c r="I46" s="655"/>
      <c r="J46" s="655"/>
    </row>
    <row r="47" spans="3:10" x14ac:dyDescent="0.2">
      <c r="C47" s="655"/>
      <c r="D47" s="655"/>
      <c r="E47" s="655"/>
      <c r="F47" s="655"/>
      <c r="G47" s="655"/>
      <c r="H47" s="655"/>
      <c r="I47" s="655"/>
      <c r="J47" s="655"/>
    </row>
    <row r="48" spans="3:10" x14ac:dyDescent="0.2">
      <c r="C48" s="655"/>
      <c r="D48" s="655"/>
      <c r="E48" s="655"/>
      <c r="F48" s="655"/>
      <c r="G48" s="655"/>
      <c r="H48" s="655"/>
      <c r="I48" s="655"/>
      <c r="J48" s="655"/>
    </row>
    <row r="49" spans="3:10" x14ac:dyDescent="0.2">
      <c r="C49" s="655"/>
      <c r="D49" s="655"/>
      <c r="E49" s="655"/>
      <c r="F49" s="655"/>
      <c r="G49" s="655"/>
      <c r="H49" s="655"/>
      <c r="I49" s="655"/>
      <c r="J49" s="655"/>
    </row>
    <row r="50" spans="3:10" x14ac:dyDescent="0.2">
      <c r="C50" s="655"/>
      <c r="D50" s="655"/>
      <c r="E50" s="655"/>
      <c r="F50" s="655"/>
      <c r="G50" s="655"/>
      <c r="H50" s="655"/>
      <c r="I50" s="655"/>
      <c r="J50" s="655"/>
    </row>
    <row r="51" spans="3:10" x14ac:dyDescent="0.2">
      <c r="C51" s="655"/>
      <c r="D51" s="655"/>
      <c r="E51" s="655"/>
      <c r="F51" s="655"/>
      <c r="G51" s="655"/>
      <c r="H51" s="655"/>
      <c r="I51" s="655"/>
      <c r="J51" s="655"/>
    </row>
    <row r="52" spans="3:10" x14ac:dyDescent="0.2">
      <c r="C52" s="655"/>
      <c r="D52" s="655"/>
      <c r="E52" s="655"/>
      <c r="F52" s="655"/>
      <c r="G52" s="655"/>
      <c r="H52" s="655"/>
      <c r="I52" s="655"/>
      <c r="J52" s="655"/>
    </row>
  </sheetData>
  <sheetProtection algorithmName="SHA-512" hashValue="+aDl2bAvEEmBtWRp5aUyB0eRbmfoim30+3zctoVAXw3F0bD2Q5LOiZnIAeowgKme0tqL1dN+ZNWMqkUfmnT3+A==" saltValue="yJLb8Qctg1l4G44FtCN41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2" tint="-0.499984740745262"/>
  </sheetPr>
  <dimension ref="A1:P35"/>
  <sheetViews>
    <sheetView showGridLines="0" topLeftCell="D1" zoomScale="80" zoomScaleNormal="80" workbookViewId="0">
      <selection activeCell="N15" sqref="N15"/>
    </sheetView>
  </sheetViews>
  <sheetFormatPr baseColWidth="10" defaultColWidth="11.42578125" defaultRowHeight="12.75" x14ac:dyDescent="0.2"/>
  <cols>
    <col min="1" max="1" width="11.42578125" style="55"/>
    <col min="2" max="2" width="36.42578125" style="55" customWidth="1"/>
    <col min="3" max="3" width="62.140625" style="55" customWidth="1"/>
    <col min="4" max="5" width="11.42578125" style="55"/>
    <col min="6" max="6" width="60.5703125" style="55" customWidth="1"/>
    <col min="7" max="8" width="11.42578125" style="55"/>
    <col min="9" max="9" width="28.42578125" style="55" customWidth="1"/>
    <col min="10" max="10" width="16.140625" style="55" customWidth="1"/>
    <col min="11" max="11" width="13.28515625" style="55" customWidth="1"/>
    <col min="12" max="16384" width="11.42578125" style="55"/>
  </cols>
  <sheetData>
    <row r="1" spans="1:16" x14ac:dyDescent="0.2">
      <c r="J1" s="193"/>
      <c r="K1" s="196"/>
    </row>
    <row r="2" spans="1:16" x14ac:dyDescent="0.2">
      <c r="J2" s="193" t="s">
        <v>198</v>
      </c>
      <c r="K2" s="196"/>
    </row>
    <row r="4" spans="1:16" ht="19.5" customHeight="1" x14ac:dyDescent="0.2">
      <c r="I4" s="194" t="s">
        <v>0</v>
      </c>
      <c r="J4" s="922" t="str">
        <f>+'B) Reajuste Tarifas y Ocupación'!F5</f>
        <v>(DEPTO./DELEG.)</v>
      </c>
      <c r="K4" s="923"/>
    </row>
    <row r="6" spans="1:16" ht="12.75" customHeight="1" x14ac:dyDescent="0.2">
      <c r="A6" s="195" t="s">
        <v>120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</row>
    <row r="7" spans="1:16" x14ac:dyDescent="0.2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</row>
    <row r="8" spans="1:16" x14ac:dyDescent="0.2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</row>
    <row r="9" spans="1:16" x14ac:dyDescent="0.2">
      <c r="A9" s="56"/>
      <c r="B9" s="56"/>
      <c r="C9" s="56"/>
      <c r="D9" s="56"/>
      <c r="E9" s="56"/>
      <c r="F9" s="56"/>
      <c r="G9" s="56"/>
      <c r="H9" s="56"/>
      <c r="I9" s="56"/>
    </row>
    <row r="10" spans="1:16" ht="27" thickBot="1" x14ac:dyDescent="0.25">
      <c r="A10" s="701"/>
      <c r="B10" s="723" t="s">
        <v>301</v>
      </c>
      <c r="C10" s="723"/>
      <c r="D10" s="723"/>
      <c r="E10" s="723"/>
      <c r="F10" s="723"/>
      <c r="G10" s="723"/>
      <c r="H10" s="723"/>
      <c r="I10" s="723"/>
      <c r="J10" s="723"/>
    </row>
    <row r="11" spans="1:16" ht="18.75" thickTop="1" x14ac:dyDescent="0.25">
      <c r="A11" s="701"/>
      <c r="B11" s="702" t="s">
        <v>302</v>
      </c>
      <c r="C11" s="703" t="s">
        <v>303</v>
      </c>
      <c r="D11" s="701"/>
      <c r="E11" s="701"/>
      <c r="F11" s="701"/>
      <c r="G11" s="724" t="s">
        <v>304</v>
      </c>
      <c r="H11" s="725"/>
      <c r="I11" s="726"/>
      <c r="J11" s="701"/>
    </row>
    <row r="12" spans="1:16" ht="18.75" thickBot="1" x14ac:dyDescent="0.3">
      <c r="A12" s="701"/>
      <c r="B12" s="704" t="s">
        <v>305</v>
      </c>
      <c r="C12" s="705" t="s">
        <v>306</v>
      </c>
      <c r="D12" s="701"/>
      <c r="E12" s="701"/>
      <c r="F12" s="701"/>
      <c r="G12" s="676" t="s">
        <v>307</v>
      </c>
      <c r="H12" s="706"/>
      <c r="I12" s="707"/>
      <c r="J12" s="701"/>
    </row>
    <row r="13" spans="1:16" ht="19.5" thickTop="1" thickBot="1" x14ac:dyDescent="0.3">
      <c r="A13" s="701"/>
      <c r="B13" s="708" t="s">
        <v>308</v>
      </c>
      <c r="C13" s="677">
        <v>1998</v>
      </c>
      <c r="D13" s="701"/>
      <c r="E13" s="701"/>
      <c r="F13" s="701"/>
      <c r="G13" s="701"/>
      <c r="H13" s="701"/>
      <c r="I13" s="701"/>
      <c r="J13" s="701"/>
    </row>
    <row r="14" spans="1:16" ht="19.5" thickTop="1" thickBot="1" x14ac:dyDescent="0.3">
      <c r="A14" s="701"/>
      <c r="B14" s="702" t="s">
        <v>309</v>
      </c>
      <c r="C14" s="703" t="s">
        <v>310</v>
      </c>
      <c r="D14" s="701"/>
      <c r="E14" s="709" t="s">
        <v>311</v>
      </c>
      <c r="F14" s="710"/>
      <c r="G14" s="710"/>
      <c r="H14" s="710"/>
      <c r="I14" s="710"/>
      <c r="J14" s="711"/>
    </row>
    <row r="15" spans="1:16" ht="18.75" thickTop="1" x14ac:dyDescent="0.25">
      <c r="A15" s="701"/>
      <c r="B15" s="704"/>
      <c r="C15" s="705"/>
      <c r="D15" s="701"/>
      <c r="E15" s="727" t="s">
        <v>312</v>
      </c>
      <c r="F15" s="728"/>
      <c r="G15" s="728"/>
      <c r="H15" s="728"/>
      <c r="I15" s="728"/>
      <c r="J15" s="729"/>
    </row>
    <row r="16" spans="1:16" ht="18.75" thickBot="1" x14ac:dyDescent="0.25">
      <c r="A16" s="701"/>
      <c r="B16" s="712" t="s">
        <v>313</v>
      </c>
      <c r="C16" s="678" t="s">
        <v>314</v>
      </c>
      <c r="D16" s="701"/>
      <c r="E16" s="730"/>
      <c r="F16" s="731"/>
      <c r="G16" s="731"/>
      <c r="H16" s="731"/>
      <c r="I16" s="731"/>
      <c r="J16" s="732"/>
    </row>
    <row r="17" spans="1:10" ht="19.5" thickTop="1" thickBot="1" x14ac:dyDescent="0.3">
      <c r="A17" s="701"/>
      <c r="B17" s="679" t="s">
        <v>315</v>
      </c>
      <c r="C17" s="713" t="s">
        <v>316</v>
      </c>
      <c r="D17" s="701"/>
      <c r="E17" s="730"/>
      <c r="F17" s="731"/>
      <c r="G17" s="731"/>
      <c r="H17" s="731"/>
      <c r="I17" s="731"/>
      <c r="J17" s="732"/>
    </row>
    <row r="18" spans="1:10" ht="19.5" thickTop="1" thickBot="1" x14ac:dyDescent="0.3">
      <c r="A18" s="701"/>
      <c r="B18" s="680" t="s">
        <v>317</v>
      </c>
      <c r="C18" s="714" t="s">
        <v>317</v>
      </c>
      <c r="D18" s="701"/>
      <c r="E18" s="733"/>
      <c r="F18" s="734"/>
      <c r="G18" s="734"/>
      <c r="H18" s="734"/>
      <c r="I18" s="734"/>
      <c r="J18" s="735"/>
    </row>
    <row r="19" spans="1:10" ht="13.5" thickTop="1" x14ac:dyDescent="0.2">
      <c r="A19" s="701"/>
      <c r="B19" s="681"/>
      <c r="C19" s="701"/>
      <c r="D19" s="701"/>
      <c r="E19" s="701"/>
      <c r="F19" s="701"/>
      <c r="G19" s="701"/>
      <c r="H19" s="701"/>
      <c r="I19" s="701"/>
      <c r="J19" s="701"/>
    </row>
    <row r="20" spans="1:10" ht="15.75" x14ac:dyDescent="0.25">
      <c r="A20" s="701"/>
      <c r="B20" s="682" t="s">
        <v>318</v>
      </c>
      <c r="C20" s="736" t="s">
        <v>319</v>
      </c>
      <c r="D20" s="736" t="s">
        <v>320</v>
      </c>
      <c r="E20" s="736" t="s">
        <v>68</v>
      </c>
      <c r="F20" s="736" t="s">
        <v>321</v>
      </c>
      <c r="G20" s="736" t="s">
        <v>322</v>
      </c>
      <c r="H20" s="682" t="s">
        <v>323</v>
      </c>
      <c r="I20" s="736" t="s">
        <v>324</v>
      </c>
      <c r="J20" s="737" t="s">
        <v>325</v>
      </c>
    </row>
    <row r="21" spans="1:10" ht="12.75" customHeight="1" x14ac:dyDescent="0.2">
      <c r="A21" s="701"/>
      <c r="B21" s="683" t="s">
        <v>326</v>
      </c>
      <c r="C21" s="738"/>
      <c r="D21" s="738"/>
      <c r="E21" s="738"/>
      <c r="F21" s="738"/>
      <c r="G21" s="738"/>
      <c r="H21" s="715"/>
      <c r="I21" s="738"/>
      <c r="J21" s="739"/>
    </row>
    <row r="22" spans="1:10" x14ac:dyDescent="0.2">
      <c r="A22" s="701"/>
      <c r="B22" s="684" t="s">
        <v>296</v>
      </c>
      <c r="C22" s="684" t="s">
        <v>327</v>
      </c>
      <c r="D22" s="685" t="s">
        <v>328</v>
      </c>
      <c r="E22" s="685">
        <v>1</v>
      </c>
      <c r="F22" s="684" t="s">
        <v>329</v>
      </c>
      <c r="G22" s="685" t="s">
        <v>330</v>
      </c>
      <c r="H22" s="686">
        <f>+E22*2500</f>
        <v>2500</v>
      </c>
      <c r="I22" s="687">
        <v>60</v>
      </c>
      <c r="J22" s="685">
        <v>1</v>
      </c>
    </row>
    <row r="23" spans="1:10" x14ac:dyDescent="0.2">
      <c r="A23" s="701"/>
      <c r="B23" s="684" t="s">
        <v>331</v>
      </c>
      <c r="C23" s="684" t="s">
        <v>332</v>
      </c>
      <c r="D23" s="685" t="s">
        <v>328</v>
      </c>
      <c r="E23" s="685">
        <v>1</v>
      </c>
      <c r="F23" s="684" t="s">
        <v>333</v>
      </c>
      <c r="G23" s="685" t="s">
        <v>334</v>
      </c>
      <c r="H23" s="686"/>
      <c r="I23" s="687">
        <v>200</v>
      </c>
      <c r="J23" s="685">
        <v>1</v>
      </c>
    </row>
    <row r="24" spans="1:10" x14ac:dyDescent="0.2">
      <c r="A24" s="701"/>
      <c r="B24" s="684" t="s">
        <v>297</v>
      </c>
      <c r="C24" s="684" t="s">
        <v>335</v>
      </c>
      <c r="D24" s="685" t="s">
        <v>328</v>
      </c>
      <c r="E24" s="685">
        <v>1</v>
      </c>
      <c r="F24" s="684" t="s">
        <v>336</v>
      </c>
      <c r="G24" s="685" t="s">
        <v>337</v>
      </c>
      <c r="H24" s="686">
        <f>+E24*2500</f>
        <v>2500</v>
      </c>
      <c r="I24" s="687">
        <v>50</v>
      </c>
      <c r="J24" s="685">
        <v>1</v>
      </c>
    </row>
    <row r="25" spans="1:10" x14ac:dyDescent="0.2">
      <c r="A25" s="701"/>
      <c r="B25" s="688" t="s">
        <v>338</v>
      </c>
      <c r="C25" s="689"/>
      <c r="D25" s="689"/>
      <c r="E25" s="689"/>
      <c r="F25" s="689"/>
      <c r="G25" s="689"/>
      <c r="H25" s="689"/>
      <c r="I25" s="689"/>
      <c r="J25" s="689"/>
    </row>
    <row r="26" spans="1:10" x14ac:dyDescent="0.2">
      <c r="A26" s="701"/>
      <c r="B26" s="740" t="s">
        <v>339</v>
      </c>
      <c r="C26" s="740" t="s">
        <v>340</v>
      </c>
      <c r="D26" s="740" t="s">
        <v>328</v>
      </c>
      <c r="E26" s="740">
        <v>1</v>
      </c>
      <c r="F26" s="740" t="s">
        <v>341</v>
      </c>
      <c r="G26" s="740" t="s">
        <v>330</v>
      </c>
      <c r="H26" s="686">
        <v>35000</v>
      </c>
      <c r="I26" s="741">
        <v>50</v>
      </c>
      <c r="J26" s="740">
        <v>1</v>
      </c>
    </row>
    <row r="27" spans="1:10" x14ac:dyDescent="0.2">
      <c r="A27" s="701"/>
      <c r="B27" s="742"/>
      <c r="C27" s="742"/>
      <c r="D27" s="742"/>
      <c r="E27" s="742"/>
      <c r="F27" s="742"/>
      <c r="G27" s="742"/>
      <c r="H27" s="690">
        <f>18*10000</f>
        <v>180000</v>
      </c>
      <c r="I27" s="743"/>
      <c r="J27" s="742"/>
    </row>
    <row r="28" spans="1:10" x14ac:dyDescent="0.2">
      <c r="A28" s="701"/>
      <c r="B28" s="742"/>
      <c r="C28" s="742"/>
      <c r="D28" s="742"/>
      <c r="E28" s="742"/>
      <c r="F28" s="742"/>
      <c r="G28" s="742"/>
      <c r="H28" s="690">
        <v>15000</v>
      </c>
      <c r="I28" s="743"/>
      <c r="J28" s="742"/>
    </row>
    <row r="29" spans="1:10" x14ac:dyDescent="0.2">
      <c r="A29" s="701"/>
      <c r="B29" s="744"/>
      <c r="C29" s="744"/>
      <c r="D29" s="744"/>
      <c r="E29" s="744"/>
      <c r="F29" s="744"/>
      <c r="G29" s="744"/>
      <c r="H29" s="690"/>
      <c r="I29" s="745"/>
      <c r="J29" s="744"/>
    </row>
    <row r="30" spans="1:10" x14ac:dyDescent="0.2">
      <c r="A30" s="701"/>
      <c r="B30" s="701"/>
      <c r="C30" s="746"/>
      <c r="D30" s="746"/>
      <c r="E30" s="746"/>
      <c r="F30" s="746"/>
      <c r="G30" s="746"/>
      <c r="H30" s="746"/>
      <c r="I30" s="746"/>
      <c r="J30" s="746"/>
    </row>
    <row r="31" spans="1:10" ht="13.5" thickBot="1" x14ac:dyDescent="0.25">
      <c r="A31" s="701"/>
      <c r="B31" s="701"/>
      <c r="C31" s="747"/>
      <c r="D31" s="747"/>
      <c r="E31" s="747"/>
      <c r="F31" s="747"/>
      <c r="G31" s="747"/>
      <c r="H31" s="747"/>
      <c r="I31" s="747"/>
      <c r="J31" s="747"/>
    </row>
    <row r="32" spans="1:10" x14ac:dyDescent="0.2">
      <c r="A32" s="701"/>
      <c r="B32" s="701"/>
      <c r="C32" s="691" t="s">
        <v>342</v>
      </c>
      <c r="D32" s="716"/>
      <c r="E32" s="716"/>
      <c r="F32" s="717" t="s">
        <v>343</v>
      </c>
      <c r="G32" s="692" t="s">
        <v>344</v>
      </c>
      <c r="H32" s="693"/>
      <c r="I32" s="718">
        <f>SUM(I22:I29)</f>
        <v>360</v>
      </c>
      <c r="J32" s="716"/>
    </row>
    <row r="33" spans="1:10" ht="13.5" thickBot="1" x14ac:dyDescent="0.25">
      <c r="A33" s="701"/>
      <c r="B33" s="701"/>
      <c r="C33" s="694" t="s">
        <v>345</v>
      </c>
      <c r="D33" s="716"/>
      <c r="E33" s="716"/>
      <c r="F33" s="719"/>
      <c r="G33" s="720"/>
      <c r="H33" s="695"/>
      <c r="I33" s="696">
        <f>+I32*37602</f>
        <v>13536720</v>
      </c>
      <c r="J33" s="716"/>
    </row>
    <row r="34" spans="1:10" x14ac:dyDescent="0.2">
      <c r="A34" s="701"/>
      <c r="B34" s="697"/>
      <c r="C34" s="694" t="s">
        <v>346</v>
      </c>
      <c r="D34" s="716"/>
      <c r="E34" s="716"/>
      <c r="F34" s="721"/>
      <c r="G34" s="721"/>
      <c r="H34" s="698"/>
      <c r="I34" s="722"/>
      <c r="J34" s="716"/>
    </row>
    <row r="35" spans="1:10" x14ac:dyDescent="0.2">
      <c r="A35" s="701"/>
      <c r="B35" s="701"/>
      <c r="C35" s="701"/>
      <c r="D35" s="701"/>
      <c r="E35" s="701"/>
      <c r="F35" s="701"/>
      <c r="G35" s="701"/>
      <c r="H35" s="699"/>
      <c r="I35" s="700"/>
      <c r="J35" s="701"/>
    </row>
  </sheetData>
  <mergeCells count="1">
    <mergeCell ref="J4:K4"/>
  </mergeCells>
  <pageMargins left="0.7" right="0.7" top="0.75" bottom="0.75" header="0.3" footer="0.3"/>
  <ignoredErrors>
    <ignoredError sqref="J4" unlockedFormula="1"/>
  </ignoredError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4" tint="0.39997558519241921"/>
    <pageSetUpPr fitToPage="1"/>
  </sheetPr>
  <dimension ref="A2:O23"/>
  <sheetViews>
    <sheetView zoomScale="90" zoomScaleNormal="90" workbookViewId="0">
      <selection activeCell="F31" sqref="F31"/>
    </sheetView>
  </sheetViews>
  <sheetFormatPr baseColWidth="10" defaultRowHeight="15" x14ac:dyDescent="0.25"/>
  <cols>
    <col min="1" max="1" width="38.140625" style="478" bestFit="1" customWidth="1"/>
    <col min="2" max="2" width="14.85546875" style="478" bestFit="1" customWidth="1"/>
    <col min="3" max="13" width="13.85546875" style="478" bestFit="1" customWidth="1"/>
    <col min="14" max="14" width="14.85546875" style="478" bestFit="1" customWidth="1"/>
    <col min="15" max="15" width="13.85546875" style="478" bestFit="1" customWidth="1"/>
    <col min="16" max="16384" width="11.42578125" style="478"/>
  </cols>
  <sheetData>
    <row r="2" spans="1:15" ht="15.75" x14ac:dyDescent="0.25">
      <c r="A2" s="793" t="s">
        <v>248</v>
      </c>
      <c r="B2" s="793"/>
      <c r="C2" s="793"/>
      <c r="D2" s="793"/>
    </row>
    <row r="4" spans="1:15" x14ac:dyDescent="0.25">
      <c r="A4" s="479" t="s">
        <v>253</v>
      </c>
      <c r="B4" s="480" t="s">
        <v>232</v>
      </c>
      <c r="C4" s="480" t="s">
        <v>233</v>
      </c>
      <c r="D4" s="480" t="s">
        <v>234</v>
      </c>
      <c r="E4" s="480" t="s">
        <v>235</v>
      </c>
      <c r="F4" s="480" t="s">
        <v>236</v>
      </c>
      <c r="G4" s="480" t="s">
        <v>237</v>
      </c>
      <c r="H4" s="480" t="s">
        <v>238</v>
      </c>
      <c r="I4" s="480" t="s">
        <v>239</v>
      </c>
      <c r="J4" s="480" t="s">
        <v>240</v>
      </c>
      <c r="K4" s="480" t="s">
        <v>241</v>
      </c>
      <c r="L4" s="480" t="s">
        <v>242</v>
      </c>
      <c r="M4" s="480" t="s">
        <v>243</v>
      </c>
    </row>
    <row r="5" spans="1:15" x14ac:dyDescent="0.25">
      <c r="A5" s="481" t="s">
        <v>249</v>
      </c>
      <c r="B5" s="482"/>
      <c r="C5" s="482"/>
      <c r="D5" s="482">
        <f>+'B) Reajuste Tarifas y Ocupación'!$I$25</f>
        <v>65</v>
      </c>
      <c r="E5" s="482">
        <f>+'B) Reajuste Tarifas y Ocupación'!$I$25</f>
        <v>65</v>
      </c>
      <c r="F5" s="482">
        <f>+'B) Reajuste Tarifas y Ocupación'!$I$25</f>
        <v>65</v>
      </c>
      <c r="G5" s="482">
        <f>+'B) Reajuste Tarifas y Ocupación'!$I$25</f>
        <v>65</v>
      </c>
      <c r="H5" s="482">
        <f>+'B) Reajuste Tarifas y Ocupación'!$I$25</f>
        <v>65</v>
      </c>
      <c r="I5" s="482">
        <f>+'B) Reajuste Tarifas y Ocupación'!$I$25</f>
        <v>65</v>
      </c>
      <c r="J5" s="482">
        <f>+'B) Reajuste Tarifas y Ocupación'!$I$25</f>
        <v>65</v>
      </c>
      <c r="K5" s="482">
        <f>+'B) Reajuste Tarifas y Ocupación'!$I$25</f>
        <v>65</v>
      </c>
      <c r="L5" s="482">
        <f>+'B) Reajuste Tarifas y Ocupación'!$I$25</f>
        <v>65</v>
      </c>
      <c r="M5" s="482">
        <f>+'B) Reajuste Tarifas y Ocupación'!$I$25</f>
        <v>65</v>
      </c>
    </row>
    <row r="6" spans="1:15" x14ac:dyDescent="0.25">
      <c r="A6" s="481" t="s">
        <v>250</v>
      </c>
      <c r="B6" s="482">
        <f>+COUNTA('F) Remuneraciones'!$C$11:$C$22)</f>
        <v>12</v>
      </c>
      <c r="C6" s="482">
        <f>+COUNTA('F) Remuneraciones'!$C$11:$C$22)</f>
        <v>12</v>
      </c>
      <c r="D6" s="482">
        <f>+COUNTA('F) Remuneraciones'!$C$11:$C$22)</f>
        <v>12</v>
      </c>
      <c r="E6" s="482">
        <f>+COUNTA('F) Remuneraciones'!$C$11:$C$22)</f>
        <v>12</v>
      </c>
      <c r="F6" s="482">
        <f>+COUNTA('F) Remuneraciones'!$C$11:$C$22)</f>
        <v>12</v>
      </c>
      <c r="G6" s="482">
        <f>+COUNTA('F) Remuneraciones'!$C$11:$C$22)</f>
        <v>12</v>
      </c>
      <c r="H6" s="482">
        <f>+COUNTA('F) Remuneraciones'!$C$11:$C$22)</f>
        <v>12</v>
      </c>
      <c r="I6" s="482">
        <f>+COUNTA('F) Remuneraciones'!$C$11:$C$22)</f>
        <v>12</v>
      </c>
      <c r="J6" s="482">
        <f>+COUNTA('F) Remuneraciones'!$C$11:$C$22)</f>
        <v>12</v>
      </c>
      <c r="K6" s="482">
        <f>+COUNTA('F) Remuneraciones'!$C$11:$C$22)</f>
        <v>12</v>
      </c>
      <c r="L6" s="482">
        <f>+COUNTA('F) Remuneraciones'!$C$11:$C$22)</f>
        <v>12</v>
      </c>
      <c r="M6" s="482">
        <f>+COUNTA('F) Remuneraciones'!$C$11:$C$22)</f>
        <v>12</v>
      </c>
    </row>
    <row r="7" spans="1:15" x14ac:dyDescent="0.25">
      <c r="A7" s="481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</row>
    <row r="8" spans="1:15" ht="30" x14ac:dyDescent="0.25">
      <c r="A8" s="484" t="str">
        <f>+'A) Resumen Ingresos y Egresos'!A21</f>
        <v>Jardín Infantil Pequeños Héroes</v>
      </c>
      <c r="B8" s="480" t="s">
        <v>232</v>
      </c>
      <c r="C8" s="480" t="s">
        <v>233</v>
      </c>
      <c r="D8" s="480" t="s">
        <v>234</v>
      </c>
      <c r="E8" s="480" t="s">
        <v>235</v>
      </c>
      <c r="F8" s="480" t="s">
        <v>236</v>
      </c>
      <c r="G8" s="480" t="s">
        <v>237</v>
      </c>
      <c r="H8" s="480" t="s">
        <v>238</v>
      </c>
      <c r="I8" s="480" t="s">
        <v>239</v>
      </c>
      <c r="J8" s="480" t="s">
        <v>240</v>
      </c>
      <c r="K8" s="480" t="s">
        <v>241</v>
      </c>
      <c r="L8" s="480" t="s">
        <v>242</v>
      </c>
      <c r="M8" s="480" t="s">
        <v>243</v>
      </c>
      <c r="N8" s="480" t="s">
        <v>251</v>
      </c>
    </row>
    <row r="9" spans="1:15" x14ac:dyDescent="0.25">
      <c r="A9" s="485" t="s">
        <v>244</v>
      </c>
      <c r="B9" s="486">
        <f>+'A) Resumen Ingresos y Egresos'!P30</f>
        <v>2718000</v>
      </c>
      <c r="C9" s="486">
        <f>+'A) Resumen Ingresos y Egresos'!N30*0.7</f>
        <v>8731940</v>
      </c>
      <c r="D9" s="486">
        <f>+'A) Resumen Ingresos y Egresos'!N30*0.3+'A) Resumen Ingresos y Egresos'!O30*0.1</f>
        <v>16216460</v>
      </c>
      <c r="E9" s="486">
        <f>+'A) Resumen Ingresos y Egresos'!$O$30*0.1</f>
        <v>12474200</v>
      </c>
      <c r="F9" s="486">
        <f>+'A) Resumen Ingresos y Egresos'!$O$30*0.1</f>
        <v>12474200</v>
      </c>
      <c r="G9" s="486">
        <f>+'A) Resumen Ingresos y Egresos'!$O$30*0.1</f>
        <v>12474200</v>
      </c>
      <c r="H9" s="486">
        <f>+'A) Resumen Ingresos y Egresos'!$O$30*0.1</f>
        <v>12474200</v>
      </c>
      <c r="I9" s="486">
        <f>+'A) Resumen Ingresos y Egresos'!$O$30*0.1</f>
        <v>12474200</v>
      </c>
      <c r="J9" s="486">
        <f>+'A) Resumen Ingresos y Egresos'!$O$30*0.1</f>
        <v>12474200</v>
      </c>
      <c r="K9" s="486">
        <f>+'A) Resumen Ingresos y Egresos'!$O$30*0.1</f>
        <v>12474200</v>
      </c>
      <c r="L9" s="486">
        <f>+'A) Resumen Ingresos y Egresos'!$O$30*0.1</f>
        <v>12474200</v>
      </c>
      <c r="M9" s="486">
        <f>+'A) Resumen Ingresos y Egresos'!$O$30*0.1</f>
        <v>12474200</v>
      </c>
      <c r="N9" s="487">
        <f>SUM(B9:M9)</f>
        <v>139934200</v>
      </c>
    </row>
    <row r="10" spans="1:15" x14ac:dyDescent="0.25">
      <c r="A10" s="485" t="s">
        <v>245</v>
      </c>
      <c r="B10" s="486">
        <f>+'F) Remuneraciones'!$L$11/12</f>
        <v>2932778.0441666669</v>
      </c>
      <c r="C10" s="486">
        <f>+'F) Remuneraciones'!$L$11/12</f>
        <v>2932778.0441666669</v>
      </c>
      <c r="D10" s="486">
        <f>+'F) Remuneraciones'!$L$11/12</f>
        <v>2932778.0441666669</v>
      </c>
      <c r="E10" s="486">
        <f>+'F) Remuneraciones'!$L$11/12</f>
        <v>2932778.0441666669</v>
      </c>
      <c r="F10" s="486">
        <f>+'F) Remuneraciones'!$L$11/12</f>
        <v>2932778.0441666669</v>
      </c>
      <c r="G10" s="486">
        <f>+'F) Remuneraciones'!$L$11/12</f>
        <v>2932778.0441666669</v>
      </c>
      <c r="H10" s="486">
        <f>+'F) Remuneraciones'!$L$11/12</f>
        <v>2932778.0441666669</v>
      </c>
      <c r="I10" s="486">
        <f>+'F) Remuneraciones'!$L$11/12</f>
        <v>2932778.0441666669</v>
      </c>
      <c r="J10" s="486">
        <f>+'F) Remuneraciones'!$L$11/12</f>
        <v>2932778.0441666669</v>
      </c>
      <c r="K10" s="486">
        <f>+'F) Remuneraciones'!$L$11/12</f>
        <v>2932778.0441666669</v>
      </c>
      <c r="L10" s="486">
        <f>+'F) Remuneraciones'!$L$11/12</f>
        <v>2932778.0441666669</v>
      </c>
      <c r="M10" s="486">
        <f>+'F) Remuneraciones'!$L$11/12</f>
        <v>2932778.0441666669</v>
      </c>
      <c r="N10" s="487">
        <f t="shared" ref="N10:N11" si="0">SUM(B10:M10)</f>
        <v>35193336.529999994</v>
      </c>
    </row>
    <row r="11" spans="1:15" x14ac:dyDescent="0.25">
      <c r="A11" s="485" t="s">
        <v>246</v>
      </c>
      <c r="B11" s="486">
        <f>(+'C) Costos Directos'!$H$75-'C) Costos Directos'!$D$14)*0.05</f>
        <v>2414631.6700000004</v>
      </c>
      <c r="C11" s="486">
        <f>(+'C) Costos Directos'!$H$75-'C) Costos Directos'!$D$14)*0.05</f>
        <v>2414631.6700000004</v>
      </c>
      <c r="D11" s="486">
        <f>(+'C) Costos Directos'!$H$75-'C) Costos Directos'!$D$14)*0.09</f>
        <v>4346337.0060000001</v>
      </c>
      <c r="E11" s="486">
        <f>(+'C) Costos Directos'!$H$75-'C) Costos Directos'!$D$14)*0.09</f>
        <v>4346337.0060000001</v>
      </c>
      <c r="F11" s="486">
        <f>(+'C) Costos Directos'!$H$75-'C) Costos Directos'!$D$14)*0.09</f>
        <v>4346337.0060000001</v>
      </c>
      <c r="G11" s="486">
        <f>(+'C) Costos Directos'!$H$75-'C) Costos Directos'!$D$14)*0.09</f>
        <v>4346337.0060000001</v>
      </c>
      <c r="H11" s="486">
        <f>(+'C) Costos Directos'!$H$75-'C) Costos Directos'!$D$14)*0.09</f>
        <v>4346337.0060000001</v>
      </c>
      <c r="I11" s="486">
        <f>(+'C) Costos Directos'!$H$75-'C) Costos Directos'!$D$14)*0.09</f>
        <v>4346337.0060000001</v>
      </c>
      <c r="J11" s="486">
        <f>(+'C) Costos Directos'!$H$75-'C) Costos Directos'!$D$14)*0.09</f>
        <v>4346337.0060000001</v>
      </c>
      <c r="K11" s="486">
        <f>(+'C) Costos Directos'!$H$75-'C) Costos Directos'!$D$14)*0.09</f>
        <v>4346337.0060000001</v>
      </c>
      <c r="L11" s="486">
        <f>(+'C) Costos Directos'!$H$75-'C) Costos Directos'!$D$14)*0.09</f>
        <v>4346337.0060000001</v>
      </c>
      <c r="M11" s="486">
        <f>(+'C) Costos Directos'!$H$75-'C) Costos Directos'!$D$14)*0.09</f>
        <v>4346337.0060000001</v>
      </c>
      <c r="N11" s="487">
        <f t="shared" si="0"/>
        <v>48292633.399999999</v>
      </c>
      <c r="O11" s="486"/>
    </row>
    <row r="12" spans="1:15" x14ac:dyDescent="0.25">
      <c r="A12" s="488" t="s">
        <v>252</v>
      </c>
      <c r="B12" s="489">
        <f>+B9-B10-B11</f>
        <v>-2629409.7141666673</v>
      </c>
      <c r="C12" s="489">
        <f t="shared" ref="C12:N12" si="1">+C9-C10-C11</f>
        <v>3384530.2858333322</v>
      </c>
      <c r="D12" s="489">
        <f t="shared" si="1"/>
        <v>8937344.9498333335</v>
      </c>
      <c r="E12" s="489">
        <f t="shared" si="1"/>
        <v>5195084.9498333326</v>
      </c>
      <c r="F12" s="489">
        <f t="shared" si="1"/>
        <v>5195084.9498333326</v>
      </c>
      <c r="G12" s="489">
        <f t="shared" si="1"/>
        <v>5195084.9498333326</v>
      </c>
      <c r="H12" s="489">
        <f t="shared" si="1"/>
        <v>5195084.9498333326</v>
      </c>
      <c r="I12" s="489">
        <f t="shared" si="1"/>
        <v>5195084.9498333326</v>
      </c>
      <c r="J12" s="489">
        <f t="shared" si="1"/>
        <v>5195084.9498333326</v>
      </c>
      <c r="K12" s="489">
        <f t="shared" si="1"/>
        <v>5195084.9498333326</v>
      </c>
      <c r="L12" s="489">
        <f t="shared" si="1"/>
        <v>5195084.9498333326</v>
      </c>
      <c r="M12" s="489">
        <f t="shared" si="1"/>
        <v>5195084.9498333326</v>
      </c>
      <c r="N12" s="489">
        <f t="shared" si="1"/>
        <v>56448230.07</v>
      </c>
      <c r="O12" s="486"/>
    </row>
    <row r="15" spans="1:15" x14ac:dyDescent="0.25">
      <c r="A15" s="479" t="s">
        <v>253</v>
      </c>
      <c r="B15" s="480" t="s">
        <v>232</v>
      </c>
      <c r="C15" s="480" t="s">
        <v>233</v>
      </c>
      <c r="D15" s="480" t="s">
        <v>234</v>
      </c>
      <c r="E15" s="480" t="s">
        <v>235</v>
      </c>
      <c r="F15" s="480" t="s">
        <v>236</v>
      </c>
      <c r="G15" s="480" t="s">
        <v>237</v>
      </c>
      <c r="H15" s="480" t="s">
        <v>238</v>
      </c>
      <c r="I15" s="480" t="s">
        <v>239</v>
      </c>
      <c r="J15" s="480" t="s">
        <v>240</v>
      </c>
      <c r="K15" s="480" t="s">
        <v>241</v>
      </c>
      <c r="L15" s="480" t="s">
        <v>242</v>
      </c>
      <c r="M15" s="480" t="s">
        <v>243</v>
      </c>
    </row>
    <row r="16" spans="1:15" x14ac:dyDescent="0.25">
      <c r="A16" s="481" t="s">
        <v>249</v>
      </c>
      <c r="B16" s="482"/>
      <c r="C16" s="482"/>
      <c r="D16" s="482">
        <f>+'B) Reajuste Tarifas y Ocupación'!$I$28</f>
        <v>12</v>
      </c>
      <c r="E16" s="482">
        <f>+'B) Reajuste Tarifas y Ocupación'!$I$28</f>
        <v>12</v>
      </c>
      <c r="F16" s="482">
        <f>+'B) Reajuste Tarifas y Ocupación'!$I$28</f>
        <v>12</v>
      </c>
      <c r="G16" s="482">
        <f>+'B) Reajuste Tarifas y Ocupación'!$I$28</f>
        <v>12</v>
      </c>
      <c r="H16" s="482">
        <f>+'B) Reajuste Tarifas y Ocupación'!$I$28</f>
        <v>12</v>
      </c>
      <c r="I16" s="482">
        <f>+'B) Reajuste Tarifas y Ocupación'!$I$28</f>
        <v>12</v>
      </c>
      <c r="J16" s="482">
        <f>+'B) Reajuste Tarifas y Ocupación'!$I$28</f>
        <v>12</v>
      </c>
      <c r="K16" s="482">
        <f>+'B) Reajuste Tarifas y Ocupación'!$I$28</f>
        <v>12</v>
      </c>
      <c r="L16" s="482">
        <f>+'B) Reajuste Tarifas y Ocupación'!$I$28</f>
        <v>12</v>
      </c>
      <c r="M16" s="482">
        <f>+'B) Reajuste Tarifas y Ocupación'!$I$28</f>
        <v>12</v>
      </c>
    </row>
    <row r="17" spans="1:14" x14ac:dyDescent="0.25">
      <c r="A17" s="481" t="s">
        <v>250</v>
      </c>
      <c r="B17" s="482">
        <f>+COUNTA('F) Remuneraciones'!$C$23:$C$30)</f>
        <v>5</v>
      </c>
      <c r="C17" s="482">
        <f>+COUNTA('F) Remuneraciones'!$C$23:$C$30)</f>
        <v>5</v>
      </c>
      <c r="D17" s="482">
        <f>+COUNTA('F) Remuneraciones'!$C$23:$C$30)</f>
        <v>5</v>
      </c>
      <c r="E17" s="482">
        <f>+COUNTA('F) Remuneraciones'!$C$23:$C$30)</f>
        <v>5</v>
      </c>
      <c r="F17" s="482">
        <f>+COUNTA('F) Remuneraciones'!$C$23:$C$30)</f>
        <v>5</v>
      </c>
      <c r="G17" s="482">
        <f>+COUNTA('F) Remuneraciones'!$C$23:$C$30)</f>
        <v>5</v>
      </c>
      <c r="H17" s="482">
        <f>+COUNTA('F) Remuneraciones'!$C$23:$C$30)</f>
        <v>5</v>
      </c>
      <c r="I17" s="482">
        <f>+COUNTA('F) Remuneraciones'!$C$23:$C$30)</f>
        <v>5</v>
      </c>
      <c r="J17" s="482">
        <f>+COUNTA('F) Remuneraciones'!$C$23:$C$30)</f>
        <v>5</v>
      </c>
      <c r="K17" s="482">
        <f>+COUNTA('F) Remuneraciones'!$C$23:$C$30)</f>
        <v>5</v>
      </c>
      <c r="L17" s="482">
        <f>+COUNTA('F) Remuneraciones'!$C$23:$C$30)</f>
        <v>5</v>
      </c>
      <c r="M17" s="482">
        <f>+COUNTA('F) Remuneraciones'!$C$23:$C$30)</f>
        <v>5</v>
      </c>
    </row>
    <row r="18" spans="1:14" x14ac:dyDescent="0.25">
      <c r="A18" s="481"/>
      <c r="B18" s="483"/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</row>
    <row r="19" spans="1:14" ht="30" x14ac:dyDescent="0.25">
      <c r="A19" s="484" t="str">
        <f>+'A) Resumen Ingresos y Egresos'!A31</f>
        <v>Sala Cuna Pequeños Héroes</v>
      </c>
      <c r="B19" s="480" t="s">
        <v>232</v>
      </c>
      <c r="C19" s="480" t="s">
        <v>233</v>
      </c>
      <c r="D19" s="480" t="s">
        <v>234</v>
      </c>
      <c r="E19" s="480" t="s">
        <v>235</v>
      </c>
      <c r="F19" s="480" t="s">
        <v>236</v>
      </c>
      <c r="G19" s="480" t="s">
        <v>237</v>
      </c>
      <c r="H19" s="480" t="s">
        <v>238</v>
      </c>
      <c r="I19" s="480" t="s">
        <v>239</v>
      </c>
      <c r="J19" s="480" t="s">
        <v>240</v>
      </c>
      <c r="K19" s="480" t="s">
        <v>241</v>
      </c>
      <c r="L19" s="480" t="s">
        <v>242</v>
      </c>
      <c r="M19" s="480" t="s">
        <v>243</v>
      </c>
      <c r="N19" s="480" t="s">
        <v>251</v>
      </c>
    </row>
    <row r="20" spans="1:14" x14ac:dyDescent="0.25">
      <c r="A20" s="485" t="s">
        <v>244</v>
      </c>
      <c r="B20" s="486">
        <f>(+'A) Resumen Ingresos y Egresos'!$N$40)/12+('A) Resumen Ingresos y Egresos'!$O$40)/12</f>
        <v>5251200</v>
      </c>
      <c r="C20" s="486">
        <f>(+'A) Resumen Ingresos y Egresos'!$N$40)/12+('A) Resumen Ingresos y Egresos'!$O$40)/12</f>
        <v>5251200</v>
      </c>
      <c r="D20" s="486">
        <f>(+'A) Resumen Ingresos y Egresos'!$N$40)/12+('A) Resumen Ingresos y Egresos'!$O$40)/12</f>
        <v>5251200</v>
      </c>
      <c r="E20" s="486">
        <f>(+'A) Resumen Ingresos y Egresos'!$N$40)/12+('A) Resumen Ingresos y Egresos'!$O$40)/12</f>
        <v>5251200</v>
      </c>
      <c r="F20" s="486">
        <f>(+'A) Resumen Ingresos y Egresos'!$N$40)/12+('A) Resumen Ingresos y Egresos'!$O$40)/12</f>
        <v>5251200</v>
      </c>
      <c r="G20" s="486">
        <f>(+'A) Resumen Ingresos y Egresos'!$N$40)/12+('A) Resumen Ingresos y Egresos'!$O$40)/12</f>
        <v>5251200</v>
      </c>
      <c r="H20" s="486">
        <f>(+'A) Resumen Ingresos y Egresos'!$N$40)/12+('A) Resumen Ingresos y Egresos'!$O$40)/12</f>
        <v>5251200</v>
      </c>
      <c r="I20" s="486">
        <f>(+'A) Resumen Ingresos y Egresos'!$N$40)/12+('A) Resumen Ingresos y Egresos'!$O$40)/12</f>
        <v>5251200</v>
      </c>
      <c r="J20" s="486">
        <f>(+'A) Resumen Ingresos y Egresos'!$N$40)/12+('A) Resumen Ingresos y Egresos'!$O$40)/12</f>
        <v>5251200</v>
      </c>
      <c r="K20" s="486">
        <f>(+'A) Resumen Ingresos y Egresos'!$N$40)/12+('A) Resumen Ingresos y Egresos'!$O$40)/12</f>
        <v>5251200</v>
      </c>
      <c r="L20" s="486">
        <f>(+'A) Resumen Ingresos y Egresos'!$N$40)/12+('A) Resumen Ingresos y Egresos'!$O$40)/12</f>
        <v>5251200</v>
      </c>
      <c r="M20" s="486">
        <f>(+'A) Resumen Ingresos y Egresos'!$N$40)/12+('A) Resumen Ingresos y Egresos'!$O$40)/12</f>
        <v>5251200</v>
      </c>
      <c r="N20" s="487">
        <f>SUM(B20:M20)</f>
        <v>63014400</v>
      </c>
    </row>
    <row r="21" spans="1:14" x14ac:dyDescent="0.25">
      <c r="A21" s="485" t="s">
        <v>245</v>
      </c>
      <c r="B21" s="486">
        <f>SUM('F) Remuneraciones'!$L$23)/12</f>
        <v>2007006.2741666667</v>
      </c>
      <c r="C21" s="486">
        <f>SUM('F) Remuneraciones'!$L$23)/12</f>
        <v>2007006.2741666667</v>
      </c>
      <c r="D21" s="486">
        <f>SUM('F) Remuneraciones'!$L$23)/12</f>
        <v>2007006.2741666667</v>
      </c>
      <c r="E21" s="486">
        <f>SUM('F) Remuneraciones'!$L$23)/12</f>
        <v>2007006.2741666667</v>
      </c>
      <c r="F21" s="486">
        <f>SUM('F) Remuneraciones'!$L$23)/12</f>
        <v>2007006.2741666667</v>
      </c>
      <c r="G21" s="486">
        <f>SUM('F) Remuneraciones'!$L$23)/12</f>
        <v>2007006.2741666667</v>
      </c>
      <c r="H21" s="486">
        <f>SUM('F) Remuneraciones'!$L$23)/12</f>
        <v>2007006.2741666667</v>
      </c>
      <c r="I21" s="486">
        <f>SUM('F) Remuneraciones'!$L$23)/12</f>
        <v>2007006.2741666667</v>
      </c>
      <c r="J21" s="486">
        <f>SUM('F) Remuneraciones'!$L$23)/12</f>
        <v>2007006.2741666667</v>
      </c>
      <c r="K21" s="486">
        <f>SUM('F) Remuneraciones'!$L$23)/12</f>
        <v>2007006.2741666667</v>
      </c>
      <c r="L21" s="486">
        <f>SUM('F) Remuneraciones'!$L$23)/12</f>
        <v>2007006.2741666667</v>
      </c>
      <c r="M21" s="486">
        <f>SUM('F) Remuneraciones'!$L$23)/12</f>
        <v>2007006.2741666667</v>
      </c>
      <c r="N21" s="487">
        <f t="shared" ref="N21:N22" si="2">SUM(B21:M21)</f>
        <v>24084075.289999995</v>
      </c>
    </row>
    <row r="22" spans="1:14" x14ac:dyDescent="0.25">
      <c r="A22" s="485" t="s">
        <v>246</v>
      </c>
      <c r="B22" s="486">
        <f>(+'C) Costos Directos'!$H$139-'C) Costos Directos'!$D$78)/12</f>
        <v>1392841.7166666668</v>
      </c>
      <c r="C22" s="486">
        <f>(+'C) Costos Directos'!$H$139-'C) Costos Directos'!$D$78)/12</f>
        <v>1392841.7166666668</v>
      </c>
      <c r="D22" s="486">
        <f>(+'C) Costos Directos'!$H$139-'C) Costos Directos'!$D$78)/12</f>
        <v>1392841.7166666668</v>
      </c>
      <c r="E22" s="486">
        <f>(+'C) Costos Directos'!$H$139-'C) Costos Directos'!$D$78)/12</f>
        <v>1392841.7166666668</v>
      </c>
      <c r="F22" s="486">
        <f>(+'C) Costos Directos'!$H$139-'C) Costos Directos'!$D$78)/12</f>
        <v>1392841.7166666668</v>
      </c>
      <c r="G22" s="486">
        <f>(+'C) Costos Directos'!$H$139-'C) Costos Directos'!$D$78)/12</f>
        <v>1392841.7166666668</v>
      </c>
      <c r="H22" s="486">
        <f>(+'C) Costos Directos'!$H$139-'C) Costos Directos'!$D$78)/12</f>
        <v>1392841.7166666668</v>
      </c>
      <c r="I22" s="486">
        <f>(+'C) Costos Directos'!$H$139-'C) Costos Directos'!$D$78)/12</f>
        <v>1392841.7166666668</v>
      </c>
      <c r="J22" s="486">
        <f>(+'C) Costos Directos'!$H$139-'C) Costos Directos'!$D$78)/12</f>
        <v>1392841.7166666668</v>
      </c>
      <c r="K22" s="486">
        <f>(+'C) Costos Directos'!$H$139-'C) Costos Directos'!$D$78)/12</f>
        <v>1392841.7166666668</v>
      </c>
      <c r="L22" s="486">
        <f>(+'C) Costos Directos'!$H$139-'C) Costos Directos'!$D$78)/12</f>
        <v>1392841.7166666668</v>
      </c>
      <c r="M22" s="486">
        <f>(+'C) Costos Directos'!$H$139-'C) Costos Directos'!$D$78)/12</f>
        <v>1392841.7166666668</v>
      </c>
      <c r="N22" s="487">
        <f t="shared" si="2"/>
        <v>16714100.600000001</v>
      </c>
    </row>
    <row r="23" spans="1:14" x14ac:dyDescent="0.25">
      <c r="A23" s="488" t="s">
        <v>252</v>
      </c>
      <c r="B23" s="489">
        <f>+B20-B21-B22</f>
        <v>1851352.0091666663</v>
      </c>
      <c r="C23" s="489">
        <f t="shared" ref="C23" si="3">+C20-C21-C22</f>
        <v>1851352.0091666663</v>
      </c>
      <c r="D23" s="489">
        <f t="shared" ref="D23" si="4">+D20-D21-D22</f>
        <v>1851352.0091666663</v>
      </c>
      <c r="E23" s="489">
        <f t="shared" ref="E23" si="5">+E20-E21-E22</f>
        <v>1851352.0091666663</v>
      </c>
      <c r="F23" s="489">
        <f t="shared" ref="F23" si="6">+F20-F21-F22</f>
        <v>1851352.0091666663</v>
      </c>
      <c r="G23" s="489">
        <f t="shared" ref="G23" si="7">+G20-G21-G22</f>
        <v>1851352.0091666663</v>
      </c>
      <c r="H23" s="489">
        <f t="shared" ref="H23" si="8">+H20-H21-H22</f>
        <v>1851352.0091666663</v>
      </c>
      <c r="I23" s="489">
        <f t="shared" ref="I23" si="9">+I20-I21-I22</f>
        <v>1851352.0091666663</v>
      </c>
      <c r="J23" s="489">
        <f t="shared" ref="J23" si="10">+J20-J21-J22</f>
        <v>1851352.0091666663</v>
      </c>
      <c r="K23" s="489">
        <f t="shared" ref="K23" si="11">+K20-K21-K22</f>
        <v>1851352.0091666663</v>
      </c>
      <c r="L23" s="489">
        <f t="shared" ref="L23" si="12">+L20-L21-L22</f>
        <v>1851352.0091666663</v>
      </c>
      <c r="M23" s="489">
        <f t="shared" ref="M23" si="13">+M20-M21-M22</f>
        <v>1851352.0091666663</v>
      </c>
      <c r="N23" s="489">
        <f t="shared" ref="N23" si="14">+N20-N21-N22</f>
        <v>22216224.110000007</v>
      </c>
    </row>
  </sheetData>
  <sheetProtection algorithmName="SHA-512" hashValue="5hlbGfKdqud9li5zGSTL2bPFKQgNCnpnZwRu3RR2ro3Xk3uzBtcxAYzygqu61H78bfuiHpa4z+sXd+JL72qEEA==" saltValue="hvqLphAI2hrn0qCT0iaRFQ==" spinCount="100000" sheet="1" objects="1" scenarios="1"/>
  <mergeCells count="1">
    <mergeCell ref="A2:D2"/>
  </mergeCells>
  <pageMargins left="0.7" right="0.7" top="0.75" bottom="0.75" header="0.3" footer="0.3"/>
  <pageSetup scale="5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CC00FF"/>
  </sheetPr>
  <dimension ref="B1:S56"/>
  <sheetViews>
    <sheetView showGridLines="0" zoomScale="80" zoomScaleNormal="80" workbookViewId="0">
      <selection activeCell="P32" sqref="P32"/>
    </sheetView>
  </sheetViews>
  <sheetFormatPr baseColWidth="10" defaultColWidth="11.42578125" defaultRowHeight="12.75" x14ac:dyDescent="0.2"/>
  <sheetData>
    <row r="1" spans="2:11" x14ac:dyDescent="0.2">
      <c r="H1" s="30"/>
    </row>
    <row r="2" spans="2:11" x14ac:dyDescent="0.2">
      <c r="H2" s="30" t="s">
        <v>83</v>
      </c>
    </row>
    <row r="5" spans="2:11" x14ac:dyDescent="0.2">
      <c r="B5" s="748" t="s">
        <v>160</v>
      </c>
      <c r="C5" s="748"/>
      <c r="D5" s="748"/>
      <c r="E5" s="748"/>
      <c r="F5" s="748"/>
    </row>
    <row r="7" spans="2:11" x14ac:dyDescent="0.2">
      <c r="C7" s="177" t="s">
        <v>145</v>
      </c>
      <c r="D7" s="177"/>
      <c r="E7" s="177"/>
      <c r="F7" s="177"/>
      <c r="G7" s="177"/>
      <c r="H7" s="177"/>
      <c r="I7" s="177"/>
      <c r="J7" s="177"/>
      <c r="K7" s="177"/>
    </row>
    <row r="9" spans="2:11" x14ac:dyDescent="0.2">
      <c r="C9" s="177" t="s">
        <v>146</v>
      </c>
      <c r="D9" s="177"/>
      <c r="E9" s="177"/>
      <c r="F9" s="177"/>
      <c r="G9" s="177"/>
      <c r="H9" s="177"/>
    </row>
    <row r="11" spans="2:11" x14ac:dyDescent="0.2">
      <c r="B11" s="748" t="s">
        <v>161</v>
      </c>
      <c r="C11" s="748"/>
      <c r="D11" s="748"/>
      <c r="E11" s="748"/>
      <c r="F11" s="748"/>
    </row>
    <row r="13" spans="2:11" x14ac:dyDescent="0.2">
      <c r="C13" s="178" t="s">
        <v>147</v>
      </c>
      <c r="D13" s="178"/>
      <c r="E13" s="178"/>
      <c r="F13" s="178"/>
      <c r="G13" s="178"/>
      <c r="H13" s="178"/>
    </row>
    <row r="15" spans="2:11" x14ac:dyDescent="0.2">
      <c r="C15" s="178" t="s">
        <v>148</v>
      </c>
      <c r="D15" s="178"/>
      <c r="E15" s="178"/>
      <c r="F15" s="178"/>
      <c r="G15" s="178"/>
      <c r="H15" s="178"/>
    </row>
    <row r="19" spans="2:16" x14ac:dyDescent="0.2">
      <c r="B19" s="748" t="s">
        <v>162</v>
      </c>
      <c r="C19" s="748"/>
      <c r="D19" s="748"/>
      <c r="E19" s="748"/>
      <c r="F19" s="748"/>
    </row>
    <row r="21" spans="2:16" x14ac:dyDescent="0.2">
      <c r="C21" s="178" t="s">
        <v>150</v>
      </c>
      <c r="D21" s="178"/>
      <c r="E21" s="178"/>
      <c r="F21" s="179"/>
      <c r="G21" s="179"/>
      <c r="H21" s="179"/>
    </row>
    <row r="22" spans="2:16" x14ac:dyDescent="0.2">
      <c r="C22" s="749"/>
      <c r="D22" s="749"/>
      <c r="E22" s="749"/>
      <c r="F22" s="749"/>
      <c r="G22" s="749"/>
      <c r="H22" s="749"/>
      <c r="I22" s="749"/>
      <c r="J22" s="749"/>
      <c r="K22" s="749"/>
    </row>
    <row r="24" spans="2:16" x14ac:dyDescent="0.2">
      <c r="B24" s="748" t="s">
        <v>163</v>
      </c>
      <c r="C24" s="748"/>
      <c r="D24" s="748"/>
      <c r="E24" s="748"/>
      <c r="F24" s="748"/>
    </row>
    <row r="26" spans="2:16" x14ac:dyDescent="0.2">
      <c r="C26" s="180" t="s">
        <v>151</v>
      </c>
      <c r="D26" s="180"/>
      <c r="E26" s="180"/>
      <c r="F26" s="180"/>
      <c r="G26" s="180"/>
      <c r="H26" s="180"/>
      <c r="I26" s="180"/>
      <c r="J26" s="180"/>
    </row>
    <row r="27" spans="2:16" ht="12.75" customHeight="1" x14ac:dyDescent="0.2">
      <c r="C27" s="750" t="s">
        <v>152</v>
      </c>
      <c r="D27" s="750"/>
      <c r="E27" s="750"/>
      <c r="F27" s="750"/>
      <c r="G27" s="750"/>
      <c r="H27" s="750"/>
      <c r="I27" s="750"/>
      <c r="J27" s="750"/>
      <c r="K27" s="750"/>
      <c r="L27" s="750"/>
      <c r="M27" s="750"/>
    </row>
    <row r="28" spans="2:16" ht="12.75" customHeight="1" x14ac:dyDescent="0.2">
      <c r="C28" s="750"/>
      <c r="D28" s="750"/>
      <c r="E28" s="750"/>
      <c r="F28" s="750"/>
      <c r="G28" s="750"/>
      <c r="H28" s="750"/>
      <c r="I28" s="750"/>
      <c r="J28" s="750"/>
      <c r="K28" s="750"/>
      <c r="L28" s="750"/>
      <c r="M28" s="750"/>
    </row>
    <row r="29" spans="2:16" ht="12.75" customHeight="1" x14ac:dyDescent="0.2">
      <c r="C29" s="180" t="s">
        <v>153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79"/>
    </row>
    <row r="30" spans="2:16" ht="12.75" customHeight="1" x14ac:dyDescent="0.2"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79"/>
    </row>
    <row r="31" spans="2:16" ht="12.75" customHeight="1" x14ac:dyDescent="0.2">
      <c r="C31" s="184" t="s">
        <v>154</v>
      </c>
      <c r="D31" s="181"/>
      <c r="E31" s="181"/>
      <c r="F31" s="183"/>
      <c r="G31" s="181"/>
      <c r="H31" s="181"/>
      <c r="I31" s="181"/>
      <c r="J31" s="181"/>
      <c r="K31" s="181"/>
      <c r="L31" s="181"/>
      <c r="M31" s="181"/>
      <c r="N31" s="179"/>
      <c r="O31" s="179"/>
      <c r="P31" s="179"/>
    </row>
    <row r="32" spans="2:16" ht="12.75" customHeight="1" x14ac:dyDescent="0.2">
      <c r="C32" s="182"/>
      <c r="D32" s="182"/>
      <c r="E32" s="182"/>
      <c r="F32" s="182"/>
      <c r="G32" s="182"/>
      <c r="H32" s="182"/>
      <c r="I32" s="181"/>
      <c r="J32" s="181"/>
      <c r="K32" s="181"/>
      <c r="L32" s="181"/>
      <c r="M32" s="181"/>
      <c r="N32" s="179"/>
    </row>
    <row r="33" spans="2:19" ht="12.75" customHeight="1" x14ac:dyDescent="0.2">
      <c r="C33" s="751" t="s">
        <v>155</v>
      </c>
      <c r="D33" s="751"/>
      <c r="E33" s="751"/>
      <c r="F33" s="751"/>
      <c r="G33" s="751"/>
      <c r="H33" s="751"/>
      <c r="I33" s="751"/>
      <c r="J33" s="751"/>
      <c r="K33" s="751"/>
      <c r="L33" s="751"/>
      <c r="M33" s="751"/>
      <c r="N33" s="179"/>
    </row>
    <row r="34" spans="2:19" ht="12.75" customHeight="1" x14ac:dyDescent="0.2">
      <c r="C34" s="141"/>
      <c r="D34" s="141"/>
      <c r="E34" s="141"/>
      <c r="F34" s="141"/>
      <c r="G34" s="141"/>
      <c r="H34" s="141"/>
      <c r="I34" s="180"/>
      <c r="J34" s="180"/>
      <c r="K34" s="180"/>
      <c r="L34" s="180"/>
      <c r="M34" s="180"/>
      <c r="N34" s="179"/>
    </row>
    <row r="35" spans="2:19" ht="12.75" customHeight="1" x14ac:dyDescent="0.2">
      <c r="C35" s="181" t="s">
        <v>156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79"/>
    </row>
    <row r="36" spans="2:19" ht="12.75" customHeight="1" x14ac:dyDescent="0.2">
      <c r="C36" s="182"/>
      <c r="D36" s="182"/>
      <c r="E36" s="182"/>
      <c r="F36" s="182"/>
      <c r="G36" s="182"/>
      <c r="H36" s="182"/>
      <c r="I36" s="181"/>
      <c r="J36" s="181"/>
      <c r="K36" s="181"/>
      <c r="L36" s="181"/>
      <c r="M36" s="181"/>
      <c r="N36" s="179"/>
    </row>
    <row r="37" spans="2:19" ht="12.75" customHeight="1" x14ac:dyDescent="0.2"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</row>
    <row r="38" spans="2:19" ht="12.75" customHeight="1" x14ac:dyDescent="0.2"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</row>
    <row r="39" spans="2:19" ht="12.75" customHeight="1" x14ac:dyDescent="0.2">
      <c r="B39" s="184" t="s">
        <v>164</v>
      </c>
      <c r="C39" s="180"/>
      <c r="D39" s="100"/>
      <c r="E39" s="100"/>
      <c r="F39" s="100"/>
      <c r="G39" s="100"/>
      <c r="H39" s="100"/>
      <c r="I39" s="100"/>
      <c r="J39" s="100"/>
      <c r="K39" s="100"/>
      <c r="L39" s="100"/>
      <c r="M39" s="100"/>
    </row>
    <row r="40" spans="2:19" x14ac:dyDescent="0.2">
      <c r="O40" s="749"/>
      <c r="P40" s="749"/>
      <c r="Q40" s="749"/>
      <c r="R40" s="749"/>
      <c r="S40" s="749"/>
    </row>
    <row r="41" spans="2:19" x14ac:dyDescent="0.2">
      <c r="C41" s="752" t="s">
        <v>157</v>
      </c>
      <c r="D41" s="752"/>
      <c r="E41" s="752"/>
      <c r="F41" s="752"/>
    </row>
    <row r="42" spans="2:19" x14ac:dyDescent="0.2">
      <c r="C42" s="749"/>
      <c r="D42" s="749"/>
      <c r="E42" s="749"/>
      <c r="F42" s="749"/>
      <c r="G42" s="749"/>
      <c r="H42" s="749"/>
      <c r="I42" s="749"/>
      <c r="J42" s="749"/>
    </row>
    <row r="44" spans="2:19" x14ac:dyDescent="0.2">
      <c r="B44" s="748" t="s">
        <v>165</v>
      </c>
      <c r="C44" s="748"/>
      <c r="D44" s="748"/>
      <c r="E44" s="748"/>
      <c r="F44" s="748"/>
    </row>
    <row r="46" spans="2:19" x14ac:dyDescent="0.2">
      <c r="C46" s="185" t="s">
        <v>158</v>
      </c>
      <c r="D46" s="185"/>
      <c r="E46" s="185"/>
      <c r="F46" s="185"/>
      <c r="G46" s="185"/>
      <c r="H46" s="185"/>
      <c r="I46" s="185"/>
      <c r="J46" s="185"/>
      <c r="K46" s="186"/>
      <c r="L46" s="186"/>
      <c r="M46" s="186"/>
    </row>
    <row r="50" spans="2:13" x14ac:dyDescent="0.2">
      <c r="B50" s="748" t="s">
        <v>166</v>
      </c>
      <c r="C50" s="748"/>
      <c r="D50" s="748"/>
      <c r="E50" s="748"/>
      <c r="F50" s="748"/>
    </row>
    <row r="52" spans="2:13" x14ac:dyDescent="0.2">
      <c r="C52" s="180" t="s">
        <v>159</v>
      </c>
      <c r="D52" s="180"/>
      <c r="E52" s="180"/>
      <c r="F52" s="180"/>
      <c r="G52" s="179"/>
      <c r="H52" s="179"/>
      <c r="I52" s="179"/>
      <c r="J52" s="179"/>
      <c r="K52" s="179"/>
      <c r="L52" s="179"/>
      <c r="M52" s="179"/>
    </row>
    <row r="54" spans="2:13" x14ac:dyDescent="0.2">
      <c r="B54" s="179" t="s">
        <v>167</v>
      </c>
      <c r="C54" s="179"/>
    </row>
    <row r="56" spans="2:13" x14ac:dyDescent="0.2">
      <c r="B56" s="753" t="s">
        <v>247</v>
      </c>
      <c r="C56" s="753"/>
    </row>
  </sheetData>
  <sheetProtection algorithmName="SHA-512" hashValue="9qBMz5/sNAR4mb7VMyiIK4d/H6w91Fs4j2Dzwhf+C6r+ww9Jgy7zHNijQTZ5rrK4ldCD7KLYLT6vYlRpoMhzMQ==" saltValue="ZmH7mIXLZgo54tg/7RiYpQ==" spinCount="100000" sheet="1" objects="1" scenarios="1"/>
  <mergeCells count="13">
    <mergeCell ref="B56:C56"/>
    <mergeCell ref="B11:F11"/>
    <mergeCell ref="O40:S40"/>
    <mergeCell ref="B19:F19"/>
    <mergeCell ref="B24:F24"/>
    <mergeCell ref="B5:F5"/>
    <mergeCell ref="C22:K22"/>
    <mergeCell ref="B50:F50"/>
    <mergeCell ref="C42:J42"/>
    <mergeCell ref="B44:F44"/>
    <mergeCell ref="C27:M28"/>
    <mergeCell ref="C33:M33"/>
    <mergeCell ref="C41:F41"/>
  </mergeCells>
  <hyperlinks>
    <hyperlink ref="B5:F5" location="'A) Resumen Ingresos y Egresos'!Área_de_impresión" display="A) Resumen Ingresos y Egresos" xr:uid="{00000000-0004-0000-0100-000000000000}"/>
    <hyperlink ref="B11:F11" location="'B) Reajuste Tarifas y Ocupación'!A1" display="B) Reajuste Tarifas y Ocupación" xr:uid="{00000000-0004-0000-0100-000001000000}"/>
    <hyperlink ref="C7:F7" location="'A) Resumen Ingresos y Egresos'!A6" display="TABLA 1: RESUMEN DE INGRESOS Y EGRESOS DE CENTROS DE BENEFICIOS" xr:uid="{00000000-0004-0000-0100-000002000000}"/>
    <hyperlink ref="C9:F9" location="'A) Resumen Ingresos y Egresos'!A22" display="TABLA 2: DETALLE DE INGRESOS POR PRESTACIÓN Y SEGMENTO" xr:uid="{00000000-0004-0000-0100-000003000000}"/>
    <hyperlink ref="C13:F13" location="'B) Reajuste Tarifas y Ocupación'!A8" display="TABLA 3: REAJUSTE DE TARIFAS POR PRESTACIÓN Y SEGMENTO" xr:uid="{00000000-0004-0000-0100-000004000000}"/>
    <hyperlink ref="C15:H15" location="'B) Reajuste Tarifas y Ocupación'!A32" display="TABLA 4: METAS DE OCUPACIÓN POR PRESTACIÓN Y SEGMENTO" xr:uid="{00000000-0004-0000-0100-000005000000}"/>
    <hyperlink ref="B19:F19" location="'C) Costos Directos'!Área_de_impresión" display="C) Costos Directos" xr:uid="{00000000-0004-0000-0100-000006000000}"/>
    <hyperlink ref="C21:E21" location="'C) Costos Directos'!Área_de_impresión" display="TABLA 5: COSTOS DIRECTOS DE CENTROS DE BENEFICIOS" xr:uid="{00000000-0004-0000-0100-000007000000}"/>
    <hyperlink ref="C21:H21" location="'C) Costos Directos'!Área_de_impresión" display="TABLA 5: COSTOS DIRECTOS DE CENTROS DE BENEFICIOS" xr:uid="{00000000-0004-0000-0100-000008000000}"/>
    <hyperlink ref="C21" location="'C) Costos Directos'!A8" display="TABLA 5: COSTOS DIRECTOS DE CENTROS DE BENEFICIOS" xr:uid="{00000000-0004-0000-0100-000009000000}"/>
    <hyperlink ref="B24:F24" location="'D) Costos Indirectos'!A1" display="D) Costos Indirectos" xr:uid="{00000000-0004-0000-0100-00000A000000}"/>
    <hyperlink ref="C26:J26" location="'D) Costos Indirectos'!A9" display="TABLA 6: REMUNERACIONES DEL PERSONAL LEY 18.712 ADMINISTRACION CENTRAL Y APOYO ADMINISTRATIVO ASISTENCIA EDUCACIONAL" xr:uid="{00000000-0004-0000-0100-00000B000000}"/>
    <hyperlink ref="C27:M28" location="'D) Costos Indirectos'!M9" display="TABLA 7: DISTRIBUCION COSTOS REMUNERACIONES ADMINISTRACION CENTRAL Y APOYO ADMINISTRATIVO A. EDUCACIONAL" xr:uid="{00000000-0004-0000-0100-00000C000000}"/>
    <hyperlink ref="C29:N29" location="'D) Costos Indirectos'!U9" display="TABLA 8: COSTOS DE OPERACION ADMINISTRACIÓN CENTRAL Y  APOYO ADMINISTRATIVO ASISTENCIA EDUCACIONAL" xr:uid="{00000000-0004-0000-0100-00000D000000}"/>
    <hyperlink ref="C31:M31" location="'D) Costos Indirectos'!Z9" display="TABLA 9: RESUMEN DISTRIBUCION COSTOS REMUNERACIONES ADMINISTRACION CENTRAL Y APOYO ADMINISTRATIVO A. EDUCACIONAL" xr:uid="{00000000-0004-0000-0100-00000E000000}"/>
    <hyperlink ref="C33:M33" location="'D) Costos Indirectos'!AG9" display="TABLA 10: RESUMEN DISTRIBUCION COSTOS OPERACIÓN ADMINISTRACION CENTRAL  Y APOYO ADMINISTRATIVO A. EDUCACIONAL" xr:uid="{00000000-0004-0000-0100-00000F000000}"/>
    <hyperlink ref="C35:N35" location="'D) Costos Indirectos'!AN9" display="'D) Costos Indirectos'!AN9" xr:uid="{00000000-0004-0000-0100-000010000000}"/>
    <hyperlink ref="B39:C39" location="'E) Resumen Tarifado '!A1" display="E) Resumen Tarifado" xr:uid="{00000000-0004-0000-0100-000011000000}"/>
    <hyperlink ref="B44:F44" location="'F) Remuneraciones'!A1" display="F) Remuneraciones" xr:uid="{00000000-0004-0000-0100-000012000000}"/>
    <hyperlink ref="B50:F50" location="'G) Comparación Mercado'!A1" display="G) Comparación Mercado" xr:uid="{00000000-0004-0000-0100-000013000000}"/>
    <hyperlink ref="B54:C54" location="'H) Detalle Datos'!A1" display="H) Detalle Gastos" xr:uid="{00000000-0004-0000-0100-000014000000}"/>
    <hyperlink ref="C41:F41" location="'E) Resumen Tarifado '!A6" display="TABLA 12: RESUMEN DE TARIFADO" xr:uid="{00000000-0004-0000-0100-000015000000}"/>
    <hyperlink ref="C46:M46" location="'F) Remuneraciones'!B7" display="TABLA 13: REMUNERACIONES DEL PERSONAL LEY 18.712 DE CENTROS DE BENEFICIOS" xr:uid="{00000000-0004-0000-0100-000016000000}"/>
    <hyperlink ref="C52:M52" location="'G) Comparación Mercado'!A12" display="TABLA 14: COMPARACIÓN TARIFAS CON PRECIOS DE MERCADO" xr:uid="{00000000-0004-0000-0100-000017000000}"/>
    <hyperlink ref="B56" location="'I) Proyección mensual'!A1" display="i) Proyección Mensual" xr:uid="{00000000-0004-0000-0100-000018000000}"/>
    <hyperlink ref="B56:C56" location="'I) Proyección Mensual.'!A2" display="i) Proyección Mensual" xr:uid="{00000000-0004-0000-0100-000019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 tint="0.39997558519241921"/>
    <pageSetUpPr fitToPage="1"/>
  </sheetPr>
  <dimension ref="A1:IM41"/>
  <sheetViews>
    <sheetView showGridLines="0" tabSelected="1" zoomScale="80" zoomScaleNormal="80" workbookViewId="0">
      <selection activeCell="I15" sqref="I15"/>
    </sheetView>
  </sheetViews>
  <sheetFormatPr baseColWidth="10" defaultColWidth="11.42578125" defaultRowHeight="12.75" x14ac:dyDescent="0.2"/>
  <cols>
    <col min="1" max="1" width="38.85546875" style="2" bestFit="1" customWidth="1"/>
    <col min="2" max="2" width="21.42578125" style="2" customWidth="1"/>
    <col min="3" max="3" width="20.85546875" style="2" bestFit="1" customWidth="1"/>
    <col min="4" max="4" width="19.28515625" style="2" customWidth="1"/>
    <col min="5" max="6" width="18.85546875" style="2" customWidth="1"/>
    <col min="7" max="7" width="18" style="2" customWidth="1"/>
    <col min="8" max="8" width="18.28515625" style="2" customWidth="1"/>
    <col min="9" max="9" width="18.140625" style="2" bestFit="1" customWidth="1"/>
    <col min="10" max="10" width="18.7109375" style="2" bestFit="1" customWidth="1"/>
    <col min="11" max="11" width="18.7109375" style="2" customWidth="1"/>
    <col min="12" max="12" width="16.42578125" style="2" bestFit="1" customWidth="1"/>
    <col min="13" max="13" width="17.5703125" style="2" customWidth="1"/>
    <col min="14" max="14" width="17.28515625" style="2" customWidth="1"/>
    <col min="15" max="15" width="16.85546875" style="2" customWidth="1"/>
    <col min="16" max="16" width="14.85546875" style="2" customWidth="1"/>
    <col min="17" max="17" width="16.42578125" style="2" bestFit="1" customWidth="1"/>
    <col min="18" max="18" width="15.85546875" style="2" customWidth="1"/>
    <col min="19" max="16384" width="11.42578125" style="2"/>
  </cols>
  <sheetData>
    <row r="1" spans="1:247" s="4" customFormat="1" x14ac:dyDescent="0.2">
      <c r="A1" s="3"/>
      <c r="E1" s="30" t="s">
        <v>199</v>
      </c>
      <c r="F1" s="30"/>
      <c r="IL1" s="2"/>
      <c r="IM1" s="2"/>
    </row>
    <row r="2" spans="1:247" s="4" customFormat="1" x14ac:dyDescent="0.2">
      <c r="A2" s="5"/>
      <c r="E2" s="30" t="s">
        <v>192</v>
      </c>
      <c r="F2" s="30"/>
      <c r="IL2" s="2"/>
      <c r="IM2" s="2"/>
    </row>
    <row r="3" spans="1:247" s="4" customFormat="1" x14ac:dyDescent="0.2">
      <c r="A3" s="2"/>
      <c r="IL3" s="2"/>
      <c r="IM3" s="2"/>
    </row>
    <row r="4" spans="1:247" s="4" customFormat="1" ht="18.75" customHeight="1" x14ac:dyDescent="0.2">
      <c r="A4" s="2"/>
      <c r="B4" s="16"/>
      <c r="C4" s="773" t="s">
        <v>0</v>
      </c>
      <c r="D4" s="773"/>
      <c r="E4" s="774" t="s">
        <v>141</v>
      </c>
      <c r="F4" s="775"/>
      <c r="G4" s="776"/>
      <c r="L4" s="1"/>
      <c r="IC4" s="2"/>
      <c r="ID4" s="2"/>
      <c r="IE4" s="2"/>
      <c r="IF4" s="2"/>
      <c r="IG4" s="2"/>
      <c r="IH4" s="2"/>
    </row>
    <row r="5" spans="1:247" s="4" customFormat="1" x14ac:dyDescent="0.2">
      <c r="A5" s="2"/>
      <c r="B5" s="2"/>
      <c r="C5" s="2"/>
      <c r="D5" s="2"/>
      <c r="E5" s="2"/>
      <c r="F5" s="2"/>
      <c r="G5" s="6"/>
      <c r="H5" s="6"/>
      <c r="L5" s="1"/>
      <c r="IC5" s="2"/>
      <c r="ID5" s="2"/>
      <c r="IE5" s="2"/>
      <c r="IF5" s="2"/>
      <c r="IG5" s="2"/>
      <c r="IH5" s="2"/>
    </row>
    <row r="6" spans="1:247" s="4" customFormat="1" ht="15.75" x14ac:dyDescent="0.2">
      <c r="A6" s="793" t="s">
        <v>145</v>
      </c>
      <c r="B6" s="793"/>
      <c r="C6" s="793"/>
      <c r="D6" s="793"/>
      <c r="E6" s="2"/>
      <c r="F6" s="2"/>
      <c r="G6" s="6"/>
      <c r="H6" s="6"/>
      <c r="L6" s="1"/>
      <c r="IC6" s="2"/>
      <c r="ID6" s="2"/>
      <c r="IE6" s="2"/>
      <c r="IF6" s="2"/>
      <c r="IG6" s="2"/>
      <c r="IH6" s="2"/>
    </row>
    <row r="7" spans="1:247" ht="13.5" thickBot="1" x14ac:dyDescent="0.25">
      <c r="B7" s="4"/>
      <c r="C7" s="4"/>
      <c r="E7" s="4"/>
      <c r="F7" s="4"/>
      <c r="G7" s="4"/>
      <c r="H7" s="4"/>
      <c r="I7" s="4"/>
      <c r="M7" s="32"/>
    </row>
    <row r="8" spans="1:247" ht="39" customHeight="1" x14ac:dyDescent="0.2">
      <c r="A8" s="205" t="s">
        <v>112</v>
      </c>
      <c r="B8" s="206" t="str">
        <f>+N19</f>
        <v>Ingreso por Matrícula</v>
      </c>
      <c r="C8" s="207" t="str">
        <f>+O19</f>
        <v>Ingreso por Mensualidad</v>
      </c>
      <c r="D8" s="207" t="s">
        <v>124</v>
      </c>
      <c r="E8" s="208" t="s">
        <v>82</v>
      </c>
      <c r="F8" s="209" t="s">
        <v>79</v>
      </c>
      <c r="G8" s="210" t="s">
        <v>80</v>
      </c>
      <c r="H8" s="211" t="s">
        <v>106</v>
      </c>
      <c r="I8" s="212" t="s">
        <v>111</v>
      </c>
      <c r="L8" s="38" t="s">
        <v>110</v>
      </c>
      <c r="N8" s="62"/>
    </row>
    <row r="9" spans="1:247" x14ac:dyDescent="0.2">
      <c r="A9" s="213" t="str">
        <f>+'B) Reajuste Tarifas y Ocupación'!A12</f>
        <v>Jardín Infantil Pequeños Héroes</v>
      </c>
      <c r="B9" s="214">
        <f>+N30</f>
        <v>12474200</v>
      </c>
      <c r="C9" s="215">
        <f>+O30</f>
        <v>124742000</v>
      </c>
      <c r="D9" s="214">
        <f>+P30</f>
        <v>2718000</v>
      </c>
      <c r="E9" s="216">
        <f>+B9+D9+C9</f>
        <v>139934200</v>
      </c>
      <c r="F9" s="217">
        <f>+'C) Costos Directos'!H75</f>
        <v>83485969.930000007</v>
      </c>
      <c r="G9" s="218">
        <f>+IFERROR('D) Costos Indirectos'!$AP$15*(F9/$F$12),0)</f>
        <v>48781889.996927917</v>
      </c>
      <c r="H9" s="219">
        <f>+F9+G9</f>
        <v>132267859.92692792</v>
      </c>
      <c r="I9" s="220">
        <f>E9-H9</f>
        <v>7666340.0730720758</v>
      </c>
      <c r="L9" s="53">
        <f>+IFERROR(G9/$G$12,0)</f>
        <v>0.67173467202254622</v>
      </c>
      <c r="N9" s="63"/>
    </row>
    <row r="10" spans="1:247" x14ac:dyDescent="0.2">
      <c r="A10" s="299" t="s">
        <v>228</v>
      </c>
      <c r="B10" s="214">
        <f>+N33+'A) Resumen Ingresos y Egresos'!N39</f>
        <v>0</v>
      </c>
      <c r="C10" s="215">
        <f>O33+O39</f>
        <v>63014400</v>
      </c>
      <c r="D10" s="421"/>
      <c r="E10" s="216">
        <f>+B10+D10+C10</f>
        <v>63014400</v>
      </c>
      <c r="F10" s="217">
        <f>'C) Costos Directos'!H139</f>
        <v>40798175.890000001</v>
      </c>
      <c r="G10" s="218">
        <f>+IFERROR('D) Costos Indirectos'!$AP$15*(F10/$F$12),0)</f>
        <v>23838881.311554719</v>
      </c>
      <c r="H10" s="219">
        <f>+F10+G10</f>
        <v>64637057.201554716</v>
      </c>
      <c r="I10" s="220">
        <f t="shared" ref="I10" si="0">E10-H10</f>
        <v>-1622657.2015547156</v>
      </c>
      <c r="L10" s="53">
        <f>+IFERROR(G10/$G$12,0)</f>
        <v>0.32826532797745384</v>
      </c>
      <c r="N10" s="63"/>
    </row>
    <row r="11" spans="1:247" x14ac:dyDescent="0.2">
      <c r="A11" s="299" t="s">
        <v>229</v>
      </c>
      <c r="B11" s="457"/>
      <c r="C11" s="458"/>
      <c r="D11" s="421"/>
      <c r="E11" s="459"/>
      <c r="F11" s="460"/>
      <c r="G11" s="461"/>
      <c r="H11" s="462"/>
      <c r="I11" s="463"/>
      <c r="L11" s="53">
        <f>+IFERROR(G11/$G$12,0)</f>
        <v>0</v>
      </c>
      <c r="N11" s="63"/>
    </row>
    <row r="12" spans="1:247" s="4" customFormat="1" ht="15.75" thickBot="1" x14ac:dyDescent="0.25">
      <c r="A12" s="221" t="s">
        <v>1</v>
      </c>
      <c r="B12" s="222">
        <f>SUM(B9:B11)</f>
        <v>12474200</v>
      </c>
      <c r="C12" s="222">
        <f t="shared" ref="C12:G12" si="1">SUM(C9:C11)</f>
        <v>187756400</v>
      </c>
      <c r="D12" s="222">
        <f t="shared" si="1"/>
        <v>2718000</v>
      </c>
      <c r="E12" s="222">
        <f t="shared" si="1"/>
        <v>202948600</v>
      </c>
      <c r="F12" s="222">
        <f t="shared" si="1"/>
        <v>124284145.82000001</v>
      </c>
      <c r="G12" s="222">
        <f t="shared" si="1"/>
        <v>72620771.308482632</v>
      </c>
      <c r="H12" s="222">
        <f>SUM(H9:H11)</f>
        <v>196904917.12848264</v>
      </c>
      <c r="I12" s="222">
        <f>SUM(I9:I11)</f>
        <v>6043682.8715173602</v>
      </c>
      <c r="L12" s="54">
        <f>SUM(L9:L11)</f>
        <v>1</v>
      </c>
      <c r="N12" s="32"/>
      <c r="O12" s="197"/>
      <c r="IB12" s="2"/>
      <c r="IC12" s="2"/>
      <c r="ID12" s="2"/>
      <c r="IE12" s="2"/>
      <c r="IF12" s="2"/>
      <c r="IG12" s="2"/>
      <c r="IH12" s="2"/>
    </row>
    <row r="13" spans="1:247" s="4" customFormat="1" ht="15.75" customHeight="1" x14ac:dyDescent="0.2">
      <c r="A13" s="7"/>
      <c r="B13" s="7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IB13" s="2"/>
      <c r="IC13" s="2"/>
      <c r="ID13" s="2"/>
      <c r="IE13" s="2"/>
      <c r="IF13" s="2"/>
      <c r="IG13" s="2"/>
      <c r="IH13" s="2"/>
    </row>
    <row r="14" spans="1:247" s="4" customFormat="1" ht="15.75" customHeight="1" x14ac:dyDescent="0.2">
      <c r="A14" s="7"/>
      <c r="B14" s="7"/>
      <c r="C14" s="7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198"/>
      <c r="IB14" s="2"/>
      <c r="IC14" s="2"/>
      <c r="ID14" s="2"/>
      <c r="IE14" s="2"/>
      <c r="IF14" s="2"/>
      <c r="IG14" s="2"/>
      <c r="IH14" s="2"/>
    </row>
    <row r="15" spans="1:247" s="4" customFormat="1" ht="15.75" customHeight="1" x14ac:dyDescent="0.2">
      <c r="A15" s="7"/>
      <c r="B15" s="7"/>
      <c r="C15" s="7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IB15" s="2"/>
      <c r="IC15" s="2"/>
      <c r="ID15" s="2"/>
      <c r="IE15" s="2"/>
      <c r="IF15" s="2"/>
      <c r="IG15" s="2"/>
      <c r="IH15" s="2"/>
    </row>
    <row r="16" spans="1:247" s="4" customFormat="1" ht="15.75" customHeight="1" x14ac:dyDescent="0.2">
      <c r="A16" s="7"/>
      <c r="B16" s="7"/>
      <c r="C16" s="7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IB16" s="2"/>
      <c r="IC16" s="2"/>
      <c r="ID16" s="2"/>
      <c r="IE16" s="2"/>
      <c r="IF16" s="2"/>
      <c r="IG16" s="2"/>
      <c r="IH16" s="2"/>
    </row>
    <row r="17" spans="1:247" s="4" customFormat="1" ht="15.75" customHeight="1" x14ac:dyDescent="0.2">
      <c r="A17" s="793" t="s">
        <v>146</v>
      </c>
      <c r="B17" s="793"/>
      <c r="C17" s="793"/>
      <c r="D17" s="793"/>
      <c r="E17" s="8"/>
      <c r="F17" s="8"/>
      <c r="G17" s="8"/>
      <c r="H17" s="8"/>
      <c r="I17" s="8"/>
      <c r="J17" s="8"/>
      <c r="K17" s="8"/>
      <c r="L17" s="8"/>
      <c r="M17" s="8"/>
      <c r="N17" s="8"/>
      <c r="IB17" s="2"/>
      <c r="IC17" s="2"/>
      <c r="ID17" s="2"/>
      <c r="IE17" s="2"/>
      <c r="IF17" s="2"/>
      <c r="IG17" s="2"/>
      <c r="IH17" s="2"/>
    </row>
    <row r="18" spans="1:247" s="4" customFormat="1" ht="13.5" thickBot="1" x14ac:dyDescent="0.25">
      <c r="I18" s="9"/>
      <c r="J18" s="9"/>
      <c r="K18" s="9"/>
      <c r="L18" s="1"/>
      <c r="M18" s="1"/>
      <c r="O18" s="10"/>
      <c r="P18" s="10"/>
      <c r="IL18" s="2"/>
      <c r="IM18" s="2"/>
    </row>
    <row r="19" spans="1:247" s="11" customFormat="1" ht="15.75" customHeight="1" x14ac:dyDescent="0.2">
      <c r="A19" s="794" t="s">
        <v>112</v>
      </c>
      <c r="B19" s="796" t="s">
        <v>5</v>
      </c>
      <c r="C19" s="777" t="s">
        <v>2</v>
      </c>
      <c r="D19" s="779" t="s">
        <v>257</v>
      </c>
      <c r="E19" s="780"/>
      <c r="F19" s="780"/>
      <c r="G19" s="780"/>
      <c r="H19" s="781"/>
      <c r="I19" s="782" t="s">
        <v>258</v>
      </c>
      <c r="J19" s="783"/>
      <c r="K19" s="783"/>
      <c r="L19" s="783"/>
      <c r="M19" s="784"/>
      <c r="N19" s="787" t="s">
        <v>88</v>
      </c>
      <c r="O19" s="789" t="s">
        <v>89</v>
      </c>
      <c r="P19" s="785" t="s">
        <v>124</v>
      </c>
      <c r="Q19" s="791" t="s">
        <v>105</v>
      </c>
    </row>
    <row r="20" spans="1:247" s="11" customFormat="1" ht="39" thickBot="1" x14ac:dyDescent="0.25">
      <c r="A20" s="795"/>
      <c r="B20" s="797"/>
      <c r="C20" s="778"/>
      <c r="D20" s="358" t="s">
        <v>85</v>
      </c>
      <c r="E20" s="359" t="s">
        <v>135</v>
      </c>
      <c r="F20" s="359" t="s">
        <v>136</v>
      </c>
      <c r="G20" s="359" t="s">
        <v>86</v>
      </c>
      <c r="H20" s="360" t="s">
        <v>87</v>
      </c>
      <c r="I20" s="598" t="s">
        <v>85</v>
      </c>
      <c r="J20" s="359" t="s">
        <v>135</v>
      </c>
      <c r="K20" s="359" t="s">
        <v>136</v>
      </c>
      <c r="L20" s="359" t="s">
        <v>86</v>
      </c>
      <c r="M20" s="422" t="s">
        <v>87</v>
      </c>
      <c r="N20" s="788"/>
      <c r="O20" s="790"/>
      <c r="P20" s="786"/>
      <c r="Q20" s="792"/>
    </row>
    <row r="21" spans="1:247" ht="12.75" customHeight="1" x14ac:dyDescent="0.2">
      <c r="A21" s="764" t="str">
        <f>+'B) Reajuste Tarifas y Ocupación'!A12</f>
        <v>Jardín Infantil Pequeños Héroes</v>
      </c>
      <c r="B21" s="756" t="str">
        <f>+'B) Reajuste Tarifas y Ocupación'!B12</f>
        <v>Media jornada</v>
      </c>
      <c r="C21" s="441" t="s">
        <v>259</v>
      </c>
      <c r="D21" s="316">
        <f t="shared" ref="D21:F22" si="2">+I21</f>
        <v>113600</v>
      </c>
      <c r="E21" s="320">
        <f t="shared" si="2"/>
        <v>153400</v>
      </c>
      <c r="F21" s="320">
        <f t="shared" si="2"/>
        <v>159100</v>
      </c>
      <c r="G21" s="320">
        <f t="shared" ref="G21:H22" si="3">+L21</f>
        <v>194700</v>
      </c>
      <c r="H21" s="321">
        <f t="shared" si="3"/>
        <v>286100</v>
      </c>
      <c r="I21" s="599">
        <f>+'B) Reajuste Tarifas y Ocupación'!M12</f>
        <v>113600</v>
      </c>
      <c r="J21" s="320">
        <f>+'B) Reajuste Tarifas y Ocupación'!N12</f>
        <v>153400</v>
      </c>
      <c r="K21" s="320">
        <f>+'B) Reajuste Tarifas y Ocupación'!O12</f>
        <v>159100</v>
      </c>
      <c r="L21" s="320">
        <f>+'B) Reajuste Tarifas y Ocupación'!P12</f>
        <v>194700</v>
      </c>
      <c r="M21" s="595">
        <f>+'B) Reajuste Tarifas y Ocupación'!Q12</f>
        <v>286100</v>
      </c>
      <c r="N21" s="612"/>
      <c r="O21" s="622"/>
      <c r="P21" s="631">
        <f>+'B) Reajuste Tarifas y Ocupación'!C12</f>
        <v>108700</v>
      </c>
      <c r="Q21" s="759"/>
    </row>
    <row r="22" spans="1:247" x14ac:dyDescent="0.2">
      <c r="A22" s="765"/>
      <c r="B22" s="757"/>
      <c r="C22" s="201" t="s">
        <v>7</v>
      </c>
      <c r="D22" s="328">
        <f t="shared" si="2"/>
        <v>5</v>
      </c>
      <c r="E22" s="324">
        <f t="shared" si="2"/>
        <v>0</v>
      </c>
      <c r="F22" s="324">
        <f t="shared" si="2"/>
        <v>0</v>
      </c>
      <c r="G22" s="324">
        <f t="shared" si="3"/>
        <v>0</v>
      </c>
      <c r="H22" s="325">
        <f t="shared" si="3"/>
        <v>0</v>
      </c>
      <c r="I22" s="600">
        <f>+'B) Reajuste Tarifas y Ocupación'!C23</f>
        <v>5</v>
      </c>
      <c r="J22" s="324">
        <f>+'B) Reajuste Tarifas y Ocupación'!D23</f>
        <v>0</v>
      </c>
      <c r="K22" s="324">
        <f>+'B) Reajuste Tarifas y Ocupación'!E23</f>
        <v>0</v>
      </c>
      <c r="L22" s="324">
        <f>+'B) Reajuste Tarifas y Ocupación'!F23</f>
        <v>0</v>
      </c>
      <c r="M22" s="367">
        <f>+'B) Reajuste Tarifas y Ocupación'!G23</f>
        <v>0</v>
      </c>
      <c r="N22" s="613"/>
      <c r="O22" s="623"/>
      <c r="P22" s="632"/>
      <c r="Q22" s="755"/>
    </row>
    <row r="23" spans="1:247" ht="13.5" thickBot="1" x14ac:dyDescent="0.25">
      <c r="A23" s="765"/>
      <c r="B23" s="758"/>
      <c r="C23" s="202" t="s">
        <v>9</v>
      </c>
      <c r="D23" s="203">
        <f>D22*D21</f>
        <v>568000</v>
      </c>
      <c r="E23" s="327">
        <f>E22*E21</f>
        <v>0</v>
      </c>
      <c r="F23" s="327">
        <f t="shared" ref="F23" si="4">F22*F21</f>
        <v>0</v>
      </c>
      <c r="G23" s="327">
        <f t="shared" ref="G23:H23" si="5">G22*G21</f>
        <v>0</v>
      </c>
      <c r="H23" s="204">
        <f t="shared" si="5"/>
        <v>0</v>
      </c>
      <c r="I23" s="601">
        <f>I22*I21*10</f>
        <v>5680000</v>
      </c>
      <c r="J23" s="586">
        <f t="shared" ref="J23:M23" si="6">J22*J21*10</f>
        <v>0</v>
      </c>
      <c r="K23" s="586">
        <f t="shared" ref="K23" si="7">K22*K21*10</f>
        <v>0</v>
      </c>
      <c r="L23" s="586">
        <f t="shared" si="6"/>
        <v>0</v>
      </c>
      <c r="M23" s="587">
        <f t="shared" si="6"/>
        <v>0</v>
      </c>
      <c r="N23" s="614">
        <f>SUM(D23:H23)</f>
        <v>568000</v>
      </c>
      <c r="O23" s="624">
        <f>SUM(I23:M23)</f>
        <v>5680000</v>
      </c>
      <c r="P23" s="633">
        <f>P22*P21</f>
        <v>0</v>
      </c>
      <c r="Q23" s="627">
        <f>N23+O23+P23</f>
        <v>6248000</v>
      </c>
    </row>
    <row r="24" spans="1:247" x14ac:dyDescent="0.2">
      <c r="A24" s="765"/>
      <c r="B24" s="760" t="s">
        <v>206</v>
      </c>
      <c r="C24" s="441" t="s">
        <v>259</v>
      </c>
      <c r="D24" s="316">
        <f t="shared" ref="D24:D25" si="8">+I24</f>
        <v>162400</v>
      </c>
      <c r="E24" s="320">
        <f t="shared" ref="E24:E25" si="9">+J24</f>
        <v>219300</v>
      </c>
      <c r="F24" s="320">
        <f t="shared" ref="F24:F25" si="10">+K24</f>
        <v>227400</v>
      </c>
      <c r="G24" s="320">
        <f t="shared" ref="G24:G25" si="11">+L24</f>
        <v>264600</v>
      </c>
      <c r="H24" s="321">
        <f t="shared" ref="H24:H25" si="12">+M24</f>
        <v>412500</v>
      </c>
      <c r="I24" s="599">
        <f>+'B) Reajuste Tarifas y Ocupación'!M13</f>
        <v>162400</v>
      </c>
      <c r="J24" s="320">
        <f>+'B) Reajuste Tarifas y Ocupación'!N13</f>
        <v>219300</v>
      </c>
      <c r="K24" s="320">
        <f>+'B) Reajuste Tarifas y Ocupación'!O13</f>
        <v>227400</v>
      </c>
      <c r="L24" s="320">
        <f>+'B) Reajuste Tarifas y Ocupación'!P13</f>
        <v>264600</v>
      </c>
      <c r="M24" s="595">
        <f>+'B) Reajuste Tarifas y Ocupación'!Q13</f>
        <v>412500</v>
      </c>
      <c r="N24" s="612"/>
      <c r="O24" s="622"/>
      <c r="P24" s="631">
        <f>+'B) Reajuste Tarifas y Ocupación'!C13</f>
        <v>155400</v>
      </c>
      <c r="Q24" s="759"/>
    </row>
    <row r="25" spans="1:247" x14ac:dyDescent="0.2">
      <c r="A25" s="765"/>
      <c r="B25" s="761"/>
      <c r="C25" s="201" t="s">
        <v>7</v>
      </c>
      <c r="D25" s="328">
        <f t="shared" si="8"/>
        <v>2</v>
      </c>
      <c r="E25" s="324">
        <f t="shared" si="9"/>
        <v>0</v>
      </c>
      <c r="F25" s="324">
        <f t="shared" si="10"/>
        <v>0</v>
      </c>
      <c r="G25" s="324">
        <f t="shared" si="11"/>
        <v>0</v>
      </c>
      <c r="H25" s="325">
        <f t="shared" si="12"/>
        <v>0</v>
      </c>
      <c r="I25" s="600">
        <f>+'B) Reajuste Tarifas y Ocupación'!C24</f>
        <v>2</v>
      </c>
      <c r="J25" s="324">
        <f>+'B) Reajuste Tarifas y Ocupación'!D24</f>
        <v>0</v>
      </c>
      <c r="K25" s="324">
        <f>+'B) Reajuste Tarifas y Ocupación'!E24</f>
        <v>0</v>
      </c>
      <c r="L25" s="324">
        <f>+'B) Reajuste Tarifas y Ocupación'!F24</f>
        <v>0</v>
      </c>
      <c r="M25" s="367">
        <f>+'B) Reajuste Tarifas y Ocupación'!G24</f>
        <v>0</v>
      </c>
      <c r="N25" s="613"/>
      <c r="O25" s="623"/>
      <c r="P25" s="632">
        <v>0</v>
      </c>
      <c r="Q25" s="755"/>
    </row>
    <row r="26" spans="1:247" ht="13.5" thickBot="1" x14ac:dyDescent="0.25">
      <c r="A26" s="765"/>
      <c r="B26" s="762"/>
      <c r="C26" s="202" t="s">
        <v>9</v>
      </c>
      <c r="D26" s="203">
        <f>D25*D24</f>
        <v>324800</v>
      </c>
      <c r="E26" s="327">
        <f>E25*E24</f>
        <v>0</v>
      </c>
      <c r="F26" s="327">
        <f t="shared" ref="F26:H26" si="13">F25*F24</f>
        <v>0</v>
      </c>
      <c r="G26" s="327">
        <f t="shared" si="13"/>
        <v>0</v>
      </c>
      <c r="H26" s="204">
        <f t="shared" si="13"/>
        <v>0</v>
      </c>
      <c r="I26" s="602">
        <f>I25*I24*10</f>
        <v>3248000</v>
      </c>
      <c r="J26" s="327">
        <f t="shared" ref="J26:M26" si="14">J25*J24*10</f>
        <v>0</v>
      </c>
      <c r="K26" s="327">
        <f t="shared" si="14"/>
        <v>0</v>
      </c>
      <c r="L26" s="327">
        <f t="shared" si="14"/>
        <v>0</v>
      </c>
      <c r="M26" s="368">
        <f t="shared" si="14"/>
        <v>0</v>
      </c>
      <c r="N26" s="614">
        <f>SUM(D26:H26)</f>
        <v>324800</v>
      </c>
      <c r="O26" s="624">
        <f>SUM(I26:M26)</f>
        <v>3248000</v>
      </c>
      <c r="P26" s="633">
        <f>P25*P24</f>
        <v>0</v>
      </c>
      <c r="Q26" s="627">
        <f>N26+O26+P26</f>
        <v>3572800</v>
      </c>
    </row>
    <row r="27" spans="1:247" x14ac:dyDescent="0.2">
      <c r="A27" s="765"/>
      <c r="B27" s="756" t="str">
        <f>+'B) Reajuste Tarifas y Ocupación'!B14</f>
        <v>Jornada Completa</v>
      </c>
      <c r="C27" s="441" t="s">
        <v>259</v>
      </c>
      <c r="D27" s="316">
        <f t="shared" ref="D27:F28" si="15">+I27</f>
        <v>189400</v>
      </c>
      <c r="E27" s="320">
        <f t="shared" si="15"/>
        <v>255700</v>
      </c>
      <c r="F27" s="320">
        <f t="shared" si="15"/>
        <v>265100</v>
      </c>
      <c r="G27" s="320">
        <f t="shared" ref="G27:H28" si="16">+L27</f>
        <v>318400</v>
      </c>
      <c r="H27" s="321">
        <f t="shared" si="16"/>
        <v>505700</v>
      </c>
      <c r="I27" s="603">
        <f>+'B) Reajuste Tarifas y Ocupación'!M14</f>
        <v>189400</v>
      </c>
      <c r="J27" s="363">
        <f>+'B) Reajuste Tarifas y Ocupación'!N14</f>
        <v>255700</v>
      </c>
      <c r="K27" s="363">
        <f>+'B) Reajuste Tarifas y Ocupación'!O14</f>
        <v>265100</v>
      </c>
      <c r="L27" s="363">
        <f>+'B) Reajuste Tarifas y Ocupación'!P14</f>
        <v>318400</v>
      </c>
      <c r="M27" s="609">
        <f>+'B) Reajuste Tarifas y Ocupación'!Q14</f>
        <v>505700</v>
      </c>
      <c r="N27" s="612"/>
      <c r="O27" s="622"/>
      <c r="P27" s="631">
        <f>+'B) Reajuste Tarifas y Ocupación'!C14</f>
        <v>181200</v>
      </c>
      <c r="Q27" s="759"/>
    </row>
    <row r="28" spans="1:247" x14ac:dyDescent="0.2">
      <c r="A28" s="765"/>
      <c r="B28" s="757"/>
      <c r="C28" s="201" t="s">
        <v>7</v>
      </c>
      <c r="D28" s="328">
        <f t="shared" si="15"/>
        <v>50</v>
      </c>
      <c r="E28" s="324">
        <f t="shared" si="15"/>
        <v>1</v>
      </c>
      <c r="F28" s="324">
        <f t="shared" si="15"/>
        <v>7</v>
      </c>
      <c r="G28" s="324">
        <f t="shared" si="16"/>
        <v>0</v>
      </c>
      <c r="H28" s="325">
        <f t="shared" si="16"/>
        <v>0</v>
      </c>
      <c r="I28" s="600">
        <f>+'B) Reajuste Tarifas y Ocupación'!C25</f>
        <v>50</v>
      </c>
      <c r="J28" s="324">
        <f>+'B) Reajuste Tarifas y Ocupación'!D25</f>
        <v>1</v>
      </c>
      <c r="K28" s="324">
        <f>+'B) Reajuste Tarifas y Ocupación'!E25</f>
        <v>7</v>
      </c>
      <c r="L28" s="324">
        <f>+'B) Reajuste Tarifas y Ocupación'!F25</f>
        <v>0</v>
      </c>
      <c r="M28" s="367">
        <f>+'B) Reajuste Tarifas y Ocupación'!G25</f>
        <v>0</v>
      </c>
      <c r="N28" s="613"/>
      <c r="O28" s="623"/>
      <c r="P28" s="632">
        <v>15</v>
      </c>
      <c r="Q28" s="755"/>
    </row>
    <row r="29" spans="1:247" ht="13.5" thickBot="1" x14ac:dyDescent="0.25">
      <c r="A29" s="765"/>
      <c r="B29" s="758"/>
      <c r="C29" s="202" t="s">
        <v>9</v>
      </c>
      <c r="D29" s="361">
        <f t="shared" ref="D29:H29" si="17">D28*D27</f>
        <v>9470000</v>
      </c>
      <c r="E29" s="586">
        <f t="shared" si="17"/>
        <v>255700</v>
      </c>
      <c r="F29" s="586">
        <f t="shared" ref="F29" si="18">F28*F27</f>
        <v>1855700</v>
      </c>
      <c r="G29" s="586">
        <f t="shared" si="17"/>
        <v>0</v>
      </c>
      <c r="H29" s="362">
        <f t="shared" si="17"/>
        <v>0</v>
      </c>
      <c r="I29" s="601">
        <f t="shared" ref="I29:M29" si="19">I28*I27*10</f>
        <v>94700000</v>
      </c>
      <c r="J29" s="586">
        <f t="shared" si="19"/>
        <v>2557000</v>
      </c>
      <c r="K29" s="586">
        <f t="shared" ref="K29" si="20">K28*K27*10</f>
        <v>18557000</v>
      </c>
      <c r="L29" s="586">
        <f t="shared" si="19"/>
        <v>0</v>
      </c>
      <c r="M29" s="587">
        <f t="shared" si="19"/>
        <v>0</v>
      </c>
      <c r="N29" s="615">
        <f>SUM(D29:H29)</f>
        <v>11581400</v>
      </c>
      <c r="O29" s="625">
        <f>SUM(I29:M29)</f>
        <v>115814000</v>
      </c>
      <c r="P29" s="634">
        <f>P28*P27</f>
        <v>2718000</v>
      </c>
      <c r="Q29" s="628">
        <f>N29+O29+P29</f>
        <v>130113400</v>
      </c>
    </row>
    <row r="30" spans="1:247" ht="15.75" thickBot="1" x14ac:dyDescent="0.25">
      <c r="A30" s="766"/>
      <c r="B30" s="763" t="s">
        <v>10</v>
      </c>
      <c r="C30" s="763"/>
      <c r="D30" s="592">
        <f>+D23+D26+D29</f>
        <v>10362800</v>
      </c>
      <c r="E30" s="593">
        <f t="shared" ref="E30:Q30" si="21">+E23+E26+E29</f>
        <v>255700</v>
      </c>
      <c r="F30" s="593">
        <f t="shared" si="21"/>
        <v>1855700</v>
      </c>
      <c r="G30" s="593">
        <f t="shared" si="21"/>
        <v>0</v>
      </c>
      <c r="H30" s="594">
        <f t="shared" si="21"/>
        <v>0</v>
      </c>
      <c r="I30" s="597">
        <f t="shared" si="21"/>
        <v>103628000</v>
      </c>
      <c r="J30" s="593">
        <f t="shared" si="21"/>
        <v>2557000</v>
      </c>
      <c r="K30" s="593">
        <f t="shared" si="21"/>
        <v>18557000</v>
      </c>
      <c r="L30" s="593">
        <f t="shared" si="21"/>
        <v>0</v>
      </c>
      <c r="M30" s="596">
        <f t="shared" si="21"/>
        <v>0</v>
      </c>
      <c r="N30" s="592">
        <f t="shared" si="21"/>
        <v>12474200</v>
      </c>
      <c r="O30" s="596">
        <f t="shared" si="21"/>
        <v>124742000</v>
      </c>
      <c r="P30" s="365">
        <f t="shared" si="21"/>
        <v>2718000</v>
      </c>
      <c r="Q30" s="629">
        <f t="shared" si="21"/>
        <v>139934200</v>
      </c>
    </row>
    <row r="31" spans="1:247" ht="12.75" customHeight="1" x14ac:dyDescent="0.2">
      <c r="A31" s="769" t="str">
        <f>+'B) Reajuste Tarifas y Ocupación'!A15</f>
        <v>Sala Cuna Pequeños Héroes</v>
      </c>
      <c r="B31" s="760" t="str">
        <f>+'B) Reajuste Tarifas y Ocupación'!B15</f>
        <v>Diurna</v>
      </c>
      <c r="C31" s="441" t="s">
        <v>259</v>
      </c>
      <c r="D31" s="588"/>
      <c r="E31" s="589">
        <f t="shared" ref="E31:G32" si="22">+J31</f>
        <v>590800</v>
      </c>
      <c r="F31" s="589">
        <f t="shared" si="22"/>
        <v>612700</v>
      </c>
      <c r="G31" s="589">
        <f t="shared" si="22"/>
        <v>547000</v>
      </c>
      <c r="H31" s="591">
        <f>+M31</f>
        <v>656300</v>
      </c>
      <c r="I31" s="604">
        <f>+'B) Reajuste Tarifas y Ocupación'!M15</f>
        <v>437600</v>
      </c>
      <c r="J31" s="589">
        <f>+'B) Reajuste Tarifas y Ocupación'!N15</f>
        <v>590800</v>
      </c>
      <c r="K31" s="589">
        <f>+'B) Reajuste Tarifas y Ocupación'!O15</f>
        <v>612700</v>
      </c>
      <c r="L31" s="589">
        <f>+'B) Reajuste Tarifas y Ocupación'!P15</f>
        <v>547000</v>
      </c>
      <c r="M31" s="590">
        <f>+'B) Reajuste Tarifas y Ocupación'!Q15</f>
        <v>656300</v>
      </c>
      <c r="N31" s="616"/>
      <c r="O31" s="626"/>
      <c r="P31" s="635"/>
      <c r="Q31" s="754"/>
    </row>
    <row r="32" spans="1:247" ht="12.75" customHeight="1" x14ac:dyDescent="0.2">
      <c r="A32" s="770"/>
      <c r="B32" s="761"/>
      <c r="C32" s="322" t="s">
        <v>7</v>
      </c>
      <c r="D32" s="366"/>
      <c r="E32" s="324">
        <f t="shared" si="22"/>
        <v>0</v>
      </c>
      <c r="F32" s="324">
        <f t="shared" si="22"/>
        <v>0</v>
      </c>
      <c r="G32" s="324">
        <f t="shared" si="22"/>
        <v>0</v>
      </c>
      <c r="H32" s="325">
        <f t="shared" ref="H32" si="23">+M32</f>
        <v>0</v>
      </c>
      <c r="I32" s="600">
        <f>+'B) Reajuste Tarifas y Ocupación'!C26</f>
        <v>12</v>
      </c>
      <c r="J32" s="324">
        <f>+'B) Reajuste Tarifas y Ocupación'!D26</f>
        <v>0</v>
      </c>
      <c r="K32" s="324">
        <f>+'B) Reajuste Tarifas y Ocupación'!E26</f>
        <v>0</v>
      </c>
      <c r="L32" s="324">
        <f>+'B) Reajuste Tarifas y Ocupación'!F26</f>
        <v>0</v>
      </c>
      <c r="M32" s="367">
        <f>+'B) Reajuste Tarifas y Ocupación'!G26</f>
        <v>0</v>
      </c>
      <c r="N32" s="613"/>
      <c r="O32" s="623"/>
      <c r="P32" s="636"/>
      <c r="Q32" s="755"/>
    </row>
    <row r="33" spans="1:17" ht="13.5" customHeight="1" thickBot="1" x14ac:dyDescent="0.25">
      <c r="A33" s="770"/>
      <c r="B33" s="762"/>
      <c r="C33" s="326" t="s">
        <v>9</v>
      </c>
      <c r="D33" s="203">
        <f>D32*D31</f>
        <v>0</v>
      </c>
      <c r="E33" s="327">
        <f>E32*E31</f>
        <v>0</v>
      </c>
      <c r="F33" s="327">
        <f t="shared" ref="F33:H33" si="24">F32*F31</f>
        <v>0</v>
      </c>
      <c r="G33" s="327">
        <f t="shared" si="24"/>
        <v>0</v>
      </c>
      <c r="H33" s="204">
        <f t="shared" si="24"/>
        <v>0</v>
      </c>
      <c r="I33" s="601">
        <f>I32*I31*12</f>
        <v>63014400</v>
      </c>
      <c r="J33" s="586">
        <f t="shared" ref="J33:M33" si="25">J32*J31*12</f>
        <v>0</v>
      </c>
      <c r="K33" s="586">
        <f t="shared" si="25"/>
        <v>0</v>
      </c>
      <c r="L33" s="586">
        <f t="shared" si="25"/>
        <v>0</v>
      </c>
      <c r="M33" s="587">
        <f t="shared" si="25"/>
        <v>0</v>
      </c>
      <c r="N33" s="614">
        <f>SUM(D33:H33)</f>
        <v>0</v>
      </c>
      <c r="O33" s="624">
        <f>SUM(I33:M33)</f>
        <v>63014400</v>
      </c>
      <c r="P33" s="637"/>
      <c r="Q33" s="627">
        <f>N33+O33+P33</f>
        <v>63014400</v>
      </c>
    </row>
    <row r="34" spans="1:17" ht="12.75" customHeight="1" x14ac:dyDescent="0.2">
      <c r="A34" s="770"/>
      <c r="B34" s="756" t="str">
        <f>+'B) Reajuste Tarifas y Ocupación'!B16</f>
        <v>Nocturna</v>
      </c>
      <c r="C34" s="441" t="s">
        <v>259</v>
      </c>
      <c r="D34" s="366"/>
      <c r="E34" s="323"/>
      <c r="F34" s="323"/>
      <c r="G34" s="323"/>
      <c r="H34" s="608"/>
      <c r="I34" s="605"/>
      <c r="J34" s="319"/>
      <c r="K34" s="319"/>
      <c r="L34" s="319"/>
      <c r="M34" s="610"/>
      <c r="N34" s="612"/>
      <c r="O34" s="622"/>
      <c r="P34" s="638"/>
      <c r="Q34" s="759"/>
    </row>
    <row r="35" spans="1:17" ht="12.75" customHeight="1" x14ac:dyDescent="0.2">
      <c r="A35" s="770"/>
      <c r="B35" s="757"/>
      <c r="C35" s="201" t="s">
        <v>7</v>
      </c>
      <c r="D35" s="366"/>
      <c r="E35" s="438">
        <f t="shared" ref="E35" si="26">+J35</f>
        <v>0</v>
      </c>
      <c r="F35" s="438">
        <f t="shared" ref="F35" si="27">+K35</f>
        <v>0</v>
      </c>
      <c r="G35" s="438">
        <f t="shared" ref="G35" si="28">+L35</f>
        <v>0</v>
      </c>
      <c r="H35" s="440">
        <f t="shared" ref="H35" si="29">+M35</f>
        <v>0</v>
      </c>
      <c r="I35" s="606">
        <f>+'B) Reajuste Tarifas y Ocupación'!C27</f>
        <v>0</v>
      </c>
      <c r="J35" s="438">
        <f>+'B) Reajuste Tarifas y Ocupación'!D27</f>
        <v>0</v>
      </c>
      <c r="K35" s="438">
        <f>+'B) Reajuste Tarifas y Ocupación'!E27</f>
        <v>0</v>
      </c>
      <c r="L35" s="438">
        <f>+'B) Reajuste Tarifas y Ocupación'!F27</f>
        <v>0</v>
      </c>
      <c r="M35" s="439">
        <f>+'B) Reajuste Tarifas y Ocupación'!G27</f>
        <v>0</v>
      </c>
      <c r="N35" s="613"/>
      <c r="O35" s="623"/>
      <c r="P35" s="636"/>
      <c r="Q35" s="755"/>
    </row>
    <row r="36" spans="1:17" ht="13.5" customHeight="1" thickBot="1" x14ac:dyDescent="0.25">
      <c r="A36" s="770"/>
      <c r="B36" s="758"/>
      <c r="C36" s="202" t="s">
        <v>9</v>
      </c>
      <c r="D36" s="203">
        <f>D35*D34</f>
        <v>0</v>
      </c>
      <c r="E36" s="327">
        <f>E35*E34</f>
        <v>0</v>
      </c>
      <c r="F36" s="327">
        <f t="shared" ref="F36:G36" si="30">F35*F34</f>
        <v>0</v>
      </c>
      <c r="G36" s="327">
        <f t="shared" si="30"/>
        <v>0</v>
      </c>
      <c r="H36" s="204">
        <f>H35*H34</f>
        <v>0</v>
      </c>
      <c r="I36" s="601">
        <f>I35*I34*12</f>
        <v>0</v>
      </c>
      <c r="J36" s="586">
        <f t="shared" ref="J36" si="31">J35*J34*12</f>
        <v>0</v>
      </c>
      <c r="K36" s="586">
        <f t="shared" ref="K36" si="32">K35*K34*12</f>
        <v>0</v>
      </c>
      <c r="L36" s="586">
        <f t="shared" ref="L36" si="33">L35*L34*12</f>
        <v>0</v>
      </c>
      <c r="M36" s="587">
        <f t="shared" ref="M36" si="34">M35*M34*12</f>
        <v>0</v>
      </c>
      <c r="N36" s="614">
        <f>SUM(D36:H36)</f>
        <v>0</v>
      </c>
      <c r="O36" s="624">
        <f>SUM(I36:M36)</f>
        <v>0</v>
      </c>
      <c r="P36" s="637"/>
      <c r="Q36" s="627">
        <f>N36+O36+P36</f>
        <v>0</v>
      </c>
    </row>
    <row r="37" spans="1:17" ht="12.75" customHeight="1" x14ac:dyDescent="0.2">
      <c r="A37" s="770"/>
      <c r="B37" s="756" t="str">
        <f>+'B) Reajuste Tarifas y Ocupación'!B17</f>
        <v>Media Jornada</v>
      </c>
      <c r="C37" s="441" t="s">
        <v>259</v>
      </c>
      <c r="D37" s="366"/>
      <c r="E37" s="320">
        <f t="shared" ref="E37:E38" si="35">+J37</f>
        <v>354800</v>
      </c>
      <c r="F37" s="320">
        <f t="shared" ref="F37:F38" si="36">+K37</f>
        <v>368000</v>
      </c>
      <c r="G37" s="320">
        <f t="shared" ref="G37:G38" si="37">+L37</f>
        <v>394000</v>
      </c>
      <c r="H37" s="321">
        <f>+M37</f>
        <v>525200</v>
      </c>
      <c r="I37" s="607">
        <f>+'B) Reajuste Tarifas y Ocupación'!M17</f>
        <v>262800</v>
      </c>
      <c r="J37" s="369">
        <f>+'B) Reajuste Tarifas y Ocupación'!N17</f>
        <v>354800</v>
      </c>
      <c r="K37" s="369">
        <f>+'B) Reajuste Tarifas y Ocupación'!O17</f>
        <v>368000</v>
      </c>
      <c r="L37" s="369">
        <f>+'B) Reajuste Tarifas y Ocupación'!P17</f>
        <v>394000</v>
      </c>
      <c r="M37" s="611">
        <f>+'B) Reajuste Tarifas y Ocupación'!Q17</f>
        <v>525200</v>
      </c>
      <c r="N37" s="612"/>
      <c r="O37" s="622"/>
      <c r="P37" s="638"/>
      <c r="Q37" s="759"/>
    </row>
    <row r="38" spans="1:17" ht="12.75" customHeight="1" x14ac:dyDescent="0.2">
      <c r="A38" s="770"/>
      <c r="B38" s="757"/>
      <c r="C38" s="201" t="s">
        <v>7</v>
      </c>
      <c r="D38" s="366"/>
      <c r="E38" s="324">
        <f t="shared" si="35"/>
        <v>0</v>
      </c>
      <c r="F38" s="324">
        <f t="shared" si="36"/>
        <v>0</v>
      </c>
      <c r="G38" s="324">
        <f t="shared" si="37"/>
        <v>0</v>
      </c>
      <c r="H38" s="325">
        <f t="shared" ref="H38" si="38">+M38</f>
        <v>0</v>
      </c>
      <c r="I38" s="600">
        <f>+'B) Reajuste Tarifas y Ocupación'!C28</f>
        <v>0</v>
      </c>
      <c r="J38" s="324">
        <f>+'B) Reajuste Tarifas y Ocupación'!D28</f>
        <v>0</v>
      </c>
      <c r="K38" s="324">
        <f>+'B) Reajuste Tarifas y Ocupación'!E28</f>
        <v>0</v>
      </c>
      <c r="L38" s="324">
        <f>+'B) Reajuste Tarifas y Ocupación'!F28</f>
        <v>0</v>
      </c>
      <c r="M38" s="367">
        <f>+'B) Reajuste Tarifas y Ocupación'!G28</f>
        <v>0</v>
      </c>
      <c r="N38" s="613"/>
      <c r="O38" s="623"/>
      <c r="P38" s="636"/>
      <c r="Q38" s="755"/>
    </row>
    <row r="39" spans="1:17" ht="13.5" customHeight="1" thickBot="1" x14ac:dyDescent="0.25">
      <c r="A39" s="770"/>
      <c r="B39" s="758"/>
      <c r="C39" s="202" t="s">
        <v>9</v>
      </c>
      <c r="D39" s="361">
        <f>D38*D37</f>
        <v>0</v>
      </c>
      <c r="E39" s="586">
        <f>E38*E37</f>
        <v>0</v>
      </c>
      <c r="F39" s="586">
        <f t="shared" ref="F39:H39" si="39">F38*F37</f>
        <v>0</v>
      </c>
      <c r="G39" s="586">
        <f t="shared" si="39"/>
        <v>0</v>
      </c>
      <c r="H39" s="362">
        <f t="shared" si="39"/>
        <v>0</v>
      </c>
      <c r="I39" s="601">
        <f>I38*I37*12</f>
        <v>0</v>
      </c>
      <c r="J39" s="586">
        <f t="shared" ref="J39" si="40">J38*J37*12</f>
        <v>0</v>
      </c>
      <c r="K39" s="586">
        <f t="shared" ref="K39" si="41">K38*K37*12</f>
        <v>0</v>
      </c>
      <c r="L39" s="586">
        <f t="shared" ref="L39" si="42">L38*L37*12</f>
        <v>0</v>
      </c>
      <c r="M39" s="587">
        <f t="shared" ref="M39" si="43">M38*M37*12</f>
        <v>0</v>
      </c>
      <c r="N39" s="615">
        <f>SUM(D39:H39)</f>
        <v>0</v>
      </c>
      <c r="O39" s="625">
        <f>SUM(I39:M39)</f>
        <v>0</v>
      </c>
      <c r="P39" s="639"/>
      <c r="Q39" s="628">
        <f>N39+O39+P39</f>
        <v>0</v>
      </c>
    </row>
    <row r="40" spans="1:17" ht="15.75" customHeight="1" thickBot="1" x14ac:dyDescent="0.25">
      <c r="A40" s="771"/>
      <c r="B40" s="772" t="s">
        <v>10</v>
      </c>
      <c r="C40" s="772"/>
      <c r="D40" s="592">
        <f>+D33+D39+D36</f>
        <v>0</v>
      </c>
      <c r="E40" s="593">
        <f t="shared" ref="E40:P40" si="44">+E33+E39+E36</f>
        <v>0</v>
      </c>
      <c r="F40" s="593">
        <f>+F33+F39+F36</f>
        <v>0</v>
      </c>
      <c r="G40" s="593">
        <f t="shared" si="44"/>
        <v>0</v>
      </c>
      <c r="H40" s="594">
        <f t="shared" si="44"/>
        <v>0</v>
      </c>
      <c r="I40" s="597">
        <f>+I33+I39+I36</f>
        <v>63014400</v>
      </c>
      <c r="J40" s="593">
        <f>+J33+J39+J36</f>
        <v>0</v>
      </c>
      <c r="K40" s="593">
        <f t="shared" si="44"/>
        <v>0</v>
      </c>
      <c r="L40" s="593">
        <f t="shared" si="44"/>
        <v>0</v>
      </c>
      <c r="M40" s="596">
        <f>+M33+M39+M36</f>
        <v>0</v>
      </c>
      <c r="N40" s="592">
        <f t="shared" si="44"/>
        <v>0</v>
      </c>
      <c r="O40" s="596">
        <f t="shared" si="44"/>
        <v>63014400</v>
      </c>
      <c r="P40" s="365">
        <f t="shared" si="44"/>
        <v>0</v>
      </c>
      <c r="Q40" s="629">
        <f>+Q33+Q39+Q36</f>
        <v>63014400</v>
      </c>
    </row>
    <row r="41" spans="1:17" ht="15" customHeight="1" thickBot="1" x14ac:dyDescent="0.25">
      <c r="A41" s="767" t="s">
        <v>8</v>
      </c>
      <c r="B41" s="768"/>
      <c r="C41" s="768"/>
      <c r="D41" s="617">
        <f>+D30+D40</f>
        <v>10362800</v>
      </c>
      <c r="E41" s="618">
        <f t="shared" ref="E41:P41" si="45">+E30+E40</f>
        <v>255700</v>
      </c>
      <c r="F41" s="618">
        <f t="shared" si="45"/>
        <v>1855700</v>
      </c>
      <c r="G41" s="618">
        <f t="shared" si="45"/>
        <v>0</v>
      </c>
      <c r="H41" s="619">
        <f t="shared" si="45"/>
        <v>0</v>
      </c>
      <c r="I41" s="620">
        <f t="shared" si="45"/>
        <v>166642400</v>
      </c>
      <c r="J41" s="618">
        <f t="shared" si="45"/>
        <v>2557000</v>
      </c>
      <c r="K41" s="618">
        <f t="shared" si="45"/>
        <v>18557000</v>
      </c>
      <c r="L41" s="618">
        <f t="shared" si="45"/>
        <v>0</v>
      </c>
      <c r="M41" s="621">
        <f t="shared" si="45"/>
        <v>0</v>
      </c>
      <c r="N41" s="617">
        <f t="shared" si="45"/>
        <v>12474200</v>
      </c>
      <c r="O41" s="621">
        <f>+O30+O40</f>
        <v>187756400</v>
      </c>
      <c r="P41" s="640">
        <f t="shared" si="45"/>
        <v>2718000</v>
      </c>
      <c r="Q41" s="630">
        <f>+Q30+Q40</f>
        <v>202948600</v>
      </c>
    </row>
  </sheetData>
  <sheetProtection algorithmName="SHA-512" hashValue="WDlG5ZvEc0QG8oc3HCQg0U9M5IWier7SqWjqiiG01CgdUkH8eiN5ZRLPXdJjF+gbTYnuKpWwpDKOmAZcYxpMAQ==" saltValue="zi7nF2iiEFl0GTUtrAQkiQ==" spinCount="100000" sheet="1" objects="1" scenarios="1"/>
  <mergeCells count="30">
    <mergeCell ref="Q27:Q28"/>
    <mergeCell ref="C4:D4"/>
    <mergeCell ref="E4:G4"/>
    <mergeCell ref="C19:C20"/>
    <mergeCell ref="D19:H19"/>
    <mergeCell ref="I19:M19"/>
    <mergeCell ref="Q24:Q25"/>
    <mergeCell ref="P19:P20"/>
    <mergeCell ref="N19:N20"/>
    <mergeCell ref="O19:O20"/>
    <mergeCell ref="Q19:Q20"/>
    <mergeCell ref="Q21:Q22"/>
    <mergeCell ref="A6:D6"/>
    <mergeCell ref="A17:D17"/>
    <mergeCell ref="A19:A20"/>
    <mergeCell ref="B19:B20"/>
    <mergeCell ref="B24:B26"/>
    <mergeCell ref="B30:C30"/>
    <mergeCell ref="A21:A30"/>
    <mergeCell ref="B21:B23"/>
    <mergeCell ref="A41:C41"/>
    <mergeCell ref="B27:B29"/>
    <mergeCell ref="A31:A40"/>
    <mergeCell ref="B31:B33"/>
    <mergeCell ref="B40:C40"/>
    <mergeCell ref="Q31:Q32"/>
    <mergeCell ref="B34:B36"/>
    <mergeCell ref="Q34:Q35"/>
    <mergeCell ref="B37:B39"/>
    <mergeCell ref="Q37:Q38"/>
  </mergeCells>
  <phoneticPr fontId="33" type="noConversion"/>
  <conditionalFormatting sqref="B9:I9 B10:C11 E10:I11 B12:I12 C13:N13 D14:N16 E17:N17">
    <cfRule type="cellIs" dxfId="4" priority="7" stopIfTrue="1" operator="lessThan">
      <formula>0</formula>
    </cfRule>
  </conditionalFormatting>
  <pageMargins left="0.19652777777777777" right="0.19652777777777777" top="0.27500000000000002" bottom="0.19652777777777777" header="0.19652777777777777" footer="0.51180555555555551"/>
  <pageSetup firstPageNumber="0" fitToHeight="14" orientation="landscape" horizontalDpi="300" verticalDpi="300" r:id="rId1"/>
  <headerFooter alignWithMargins="0">
    <oddHeader>&amp;LSEPT - 2004&amp;CDIRECTIVA D.B.S.A.ORDINARIA&amp;R02-BS/0307/02Pag &amp;P de &amp;N</oddHeader>
  </headerFooter>
  <ignoredErrors>
    <ignoredError sqref="D22:H22 D21:H21 J21 D27:Q27 I23:Q23 J22:O22 L21:Q21 Q22 D29:Q29 D28:O28 Q28" unlockedFormula="1"/>
    <ignoredError sqref="F23:H23" formula="1" unlockedFormula="1"/>
    <ignoredError sqref="D23:E23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00B050"/>
    <pageSetUpPr autoPageBreaks="0"/>
  </sheetPr>
  <dimension ref="A1:IV28"/>
  <sheetViews>
    <sheetView showGridLines="0" topLeftCell="A4" zoomScale="80" zoomScaleNormal="80" workbookViewId="0">
      <selection activeCell="H13" sqref="H13"/>
    </sheetView>
  </sheetViews>
  <sheetFormatPr baseColWidth="10" defaultColWidth="11.42578125" defaultRowHeight="12.75" x14ac:dyDescent="0.2"/>
  <cols>
    <col min="1" max="1" width="56.5703125" customWidth="1"/>
    <col min="2" max="2" width="33.85546875" customWidth="1"/>
    <col min="3" max="3" width="12.28515625" customWidth="1"/>
    <col min="4" max="4" width="13.7109375" bestFit="1" customWidth="1"/>
    <col min="5" max="5" width="15.5703125" bestFit="1" customWidth="1"/>
    <col min="6" max="6" width="14.5703125" customWidth="1"/>
    <col min="7" max="7" width="14.85546875" customWidth="1"/>
    <col min="8" max="8" width="11.85546875" bestFit="1" customWidth="1"/>
    <col min="9" max="9" width="14.5703125" bestFit="1" customWidth="1"/>
    <col min="10" max="10" width="14.5703125" customWidth="1"/>
    <col min="11" max="12" width="11.85546875" customWidth="1"/>
    <col min="13" max="13" width="14" customWidth="1"/>
    <col min="14" max="15" width="14.5703125" customWidth="1"/>
    <col min="16" max="18" width="11.85546875" customWidth="1"/>
    <col min="19" max="19" width="32.7109375" customWidth="1"/>
    <col min="20" max="20" width="33" bestFit="1" customWidth="1"/>
    <col min="21" max="21" width="13.85546875" customWidth="1"/>
    <col min="22" max="22" width="14.5703125" bestFit="1" customWidth="1"/>
    <col min="23" max="23" width="14.5703125" customWidth="1"/>
    <col min="24" max="24" width="12.85546875" bestFit="1" customWidth="1"/>
  </cols>
  <sheetData>
    <row r="1" spans="1:256" s="4" customFormat="1" x14ac:dyDescent="0.2">
      <c r="A1" s="3"/>
      <c r="F1" s="30" t="s">
        <v>200</v>
      </c>
      <c r="S1" s="3"/>
      <c r="IU1" s="2"/>
      <c r="IV1" s="2"/>
    </row>
    <row r="2" spans="1:256" s="4" customFormat="1" x14ac:dyDescent="0.2">
      <c r="A2" s="5"/>
      <c r="F2" s="30" t="s">
        <v>193</v>
      </c>
      <c r="S2" s="5"/>
      <c r="IU2" s="2"/>
      <c r="IV2" s="2"/>
    </row>
    <row r="3" spans="1:256" s="4" customFormat="1" x14ac:dyDescent="0.2">
      <c r="A3" s="2"/>
      <c r="S3" s="2"/>
      <c r="IU3" s="2"/>
      <c r="IV3" s="2"/>
    </row>
    <row r="4" spans="1:256" s="4" customFormat="1" ht="13.5" thickBot="1" x14ac:dyDescent="0.25">
      <c r="A4" s="2"/>
      <c r="B4" s="16"/>
      <c r="S4" s="2"/>
      <c r="T4" s="16"/>
      <c r="IL4" s="2"/>
      <c r="IM4" s="2"/>
      <c r="IN4" s="2"/>
      <c r="IO4" s="2"/>
      <c r="IP4" s="2"/>
      <c r="IQ4" s="2"/>
    </row>
    <row r="5" spans="1:256" s="4" customFormat="1" ht="18" customHeight="1" thickBot="1" x14ac:dyDescent="0.25">
      <c r="A5" s="2"/>
      <c r="B5" s="16"/>
      <c r="C5" s="773" t="s">
        <v>0</v>
      </c>
      <c r="D5" s="830"/>
      <c r="E5" s="6"/>
      <c r="F5" s="804" t="s">
        <v>121</v>
      </c>
      <c r="G5" s="805"/>
      <c r="S5" s="2"/>
      <c r="T5" s="16"/>
      <c r="V5" s="1"/>
      <c r="W5" s="1"/>
      <c r="IL5" s="2"/>
      <c r="IM5" s="2"/>
      <c r="IN5" s="2"/>
      <c r="IO5" s="2"/>
      <c r="IP5" s="2"/>
      <c r="IQ5" s="2"/>
    </row>
    <row r="6" spans="1:256" s="4" customFormat="1" ht="18" customHeight="1" x14ac:dyDescent="0.2">
      <c r="A6" s="2"/>
      <c r="B6" s="16"/>
      <c r="C6" s="6"/>
      <c r="D6" s="6"/>
      <c r="E6" s="6"/>
      <c r="F6" s="30"/>
      <c r="G6" s="30"/>
      <c r="S6" s="2"/>
      <c r="T6" s="16"/>
      <c r="V6" s="1"/>
      <c r="W6" s="1"/>
      <c r="IL6" s="2"/>
      <c r="IM6" s="2"/>
      <c r="IN6" s="2"/>
      <c r="IO6" s="2"/>
      <c r="IP6" s="2"/>
      <c r="IQ6" s="2"/>
    </row>
    <row r="7" spans="1:256" s="4" customFormat="1" ht="18" customHeight="1" x14ac:dyDescent="0.2">
      <c r="A7" s="2"/>
      <c r="B7" s="16"/>
      <c r="C7" s="6"/>
      <c r="D7" s="6"/>
      <c r="E7" s="6"/>
      <c r="F7" s="30"/>
      <c r="G7" s="30"/>
      <c r="S7" s="2"/>
      <c r="T7" s="16"/>
      <c r="V7" s="35"/>
      <c r="W7" s="35"/>
      <c r="IL7" s="2"/>
      <c r="IM7" s="2"/>
      <c r="IN7" s="2"/>
      <c r="IO7" s="2"/>
      <c r="IP7" s="2"/>
      <c r="IQ7" s="2"/>
    </row>
    <row r="8" spans="1:256" s="4" customFormat="1" ht="15.75" x14ac:dyDescent="0.2">
      <c r="A8" s="814" t="s">
        <v>147</v>
      </c>
      <c r="B8" s="814"/>
      <c r="C8" s="814"/>
      <c r="D8" s="814"/>
      <c r="E8" s="65"/>
      <c r="F8" s="30"/>
      <c r="G8" s="30"/>
      <c r="IL8" s="2"/>
      <c r="IM8" s="2"/>
      <c r="IN8" s="2"/>
      <c r="IO8" s="2"/>
      <c r="IP8" s="2"/>
      <c r="IQ8" s="2"/>
    </row>
    <row r="9" spans="1:256" ht="13.5" customHeight="1" thickBot="1" x14ac:dyDescent="0.25"/>
    <row r="10" spans="1:256" ht="15.75" customHeight="1" x14ac:dyDescent="0.2">
      <c r="A10" s="815" t="s">
        <v>132</v>
      </c>
      <c r="B10" s="809" t="s">
        <v>5</v>
      </c>
      <c r="C10" s="811" t="s">
        <v>256</v>
      </c>
      <c r="D10" s="812"/>
      <c r="E10" s="812"/>
      <c r="F10" s="812"/>
      <c r="G10" s="813"/>
      <c r="H10" s="827" t="s">
        <v>107</v>
      </c>
      <c r="I10" s="828"/>
      <c r="J10" s="828"/>
      <c r="K10" s="828"/>
      <c r="L10" s="827"/>
      <c r="M10" s="811" t="s">
        <v>260</v>
      </c>
      <c r="N10" s="812"/>
      <c r="O10" s="812"/>
      <c r="P10" s="812"/>
      <c r="Q10" s="813"/>
      <c r="R10" s="12"/>
    </row>
    <row r="11" spans="1:256" ht="64.5" thickBot="1" x14ac:dyDescent="0.25">
      <c r="A11" s="816"/>
      <c r="B11" s="810"/>
      <c r="C11" s="358" t="s">
        <v>85</v>
      </c>
      <c r="D11" s="359" t="s">
        <v>135</v>
      </c>
      <c r="E11" s="359" t="s">
        <v>136</v>
      </c>
      <c r="F11" s="359" t="s">
        <v>86</v>
      </c>
      <c r="G11" s="360" t="s">
        <v>87</v>
      </c>
      <c r="H11" s="495" t="s">
        <v>85</v>
      </c>
      <c r="I11" s="423" t="s">
        <v>135</v>
      </c>
      <c r="J11" s="423" t="s">
        <v>136</v>
      </c>
      <c r="K11" s="424" t="s">
        <v>86</v>
      </c>
      <c r="L11" s="505" t="s">
        <v>87</v>
      </c>
      <c r="M11" s="358" t="s">
        <v>85</v>
      </c>
      <c r="N11" s="359" t="s">
        <v>135</v>
      </c>
      <c r="O11" s="359" t="s">
        <v>136</v>
      </c>
      <c r="P11" s="359" t="s">
        <v>86</v>
      </c>
      <c r="Q11" s="360" t="s">
        <v>87</v>
      </c>
      <c r="R11" s="12"/>
    </row>
    <row r="12" spans="1:256" ht="13.5" customHeight="1" x14ac:dyDescent="0.2">
      <c r="A12" s="821" t="s">
        <v>223</v>
      </c>
      <c r="B12" s="491" t="s">
        <v>125</v>
      </c>
      <c r="C12" s="499">
        <v>108700</v>
      </c>
      <c r="D12" s="317">
        <v>146700</v>
      </c>
      <c r="E12" s="317">
        <v>152100</v>
      </c>
      <c r="F12" s="317">
        <v>186300</v>
      </c>
      <c r="G12" s="500">
        <v>273700</v>
      </c>
      <c r="H12" s="496">
        <v>4.4999999999999998E-2</v>
      </c>
      <c r="I12" s="426">
        <f>+H12</f>
        <v>4.4999999999999998E-2</v>
      </c>
      <c r="J12" s="426">
        <f>+H12</f>
        <v>4.4999999999999998E-2</v>
      </c>
      <c r="K12" s="426">
        <f>+H12</f>
        <v>4.4999999999999998E-2</v>
      </c>
      <c r="L12" s="506">
        <f>+H12</f>
        <v>4.4999999999999998E-2</v>
      </c>
      <c r="M12" s="464">
        <f>CEILING(C12*(1+H12),100)</f>
        <v>113600</v>
      </c>
      <c r="N12" s="465">
        <f>+CEILING(C12*(1.35)*(1+I12),100)</f>
        <v>153400</v>
      </c>
      <c r="O12" s="465">
        <f>+CEILING(C12*(1.4)*(1+J12),100)</f>
        <v>159100</v>
      </c>
      <c r="P12" s="465">
        <f>+CEILING(F12*(1+K12),100)</f>
        <v>194700</v>
      </c>
      <c r="Q12" s="466">
        <f>+CEILING(G12*(1+L12),100)</f>
        <v>286100</v>
      </c>
      <c r="R12" s="46"/>
    </row>
    <row r="13" spans="1:256" ht="13.5" customHeight="1" x14ac:dyDescent="0.2">
      <c r="A13" s="829"/>
      <c r="B13" s="492" t="s">
        <v>206</v>
      </c>
      <c r="C13" s="501">
        <v>155400</v>
      </c>
      <c r="D13" s="318">
        <v>209800</v>
      </c>
      <c r="E13" s="318">
        <v>217500</v>
      </c>
      <c r="F13" s="318">
        <v>253200</v>
      </c>
      <c r="G13" s="502">
        <v>394700</v>
      </c>
      <c r="H13" s="497">
        <v>4.4999999999999998E-2</v>
      </c>
      <c r="I13" s="427">
        <f>+H13</f>
        <v>4.4999999999999998E-2</v>
      </c>
      <c r="J13" s="427">
        <f>+H13</f>
        <v>4.4999999999999998E-2</v>
      </c>
      <c r="K13" s="427">
        <f>+H13</f>
        <v>4.4999999999999998E-2</v>
      </c>
      <c r="L13" s="507">
        <f>+H13</f>
        <v>4.4999999999999998E-2</v>
      </c>
      <c r="M13" s="467">
        <f>CEILING(C13*(1+H13),100)</f>
        <v>162400</v>
      </c>
      <c r="N13" s="468">
        <f t="shared" ref="N13:N15" si="0">+CEILING(C13*(1.35)*(1+I13),100)</f>
        <v>219300</v>
      </c>
      <c r="O13" s="468">
        <f t="shared" ref="O13:O15" si="1">+CEILING(C13*(1.4)*(1+J13),100)</f>
        <v>227400</v>
      </c>
      <c r="P13" s="468">
        <f>+CEILING(F13*(1+K13),100)</f>
        <v>264600</v>
      </c>
      <c r="Q13" s="469">
        <f>+CEILING(G13*(1+L13),100)</f>
        <v>412500</v>
      </c>
      <c r="R13" s="46"/>
    </row>
    <row r="14" spans="1:256" ht="13.5" customHeight="1" thickBot="1" x14ac:dyDescent="0.25">
      <c r="A14" s="823"/>
      <c r="B14" s="493" t="s">
        <v>207</v>
      </c>
      <c r="C14" s="503">
        <v>181200</v>
      </c>
      <c r="D14" s="490">
        <v>244500</v>
      </c>
      <c r="E14" s="490">
        <v>253600</v>
      </c>
      <c r="F14" s="490">
        <v>304600</v>
      </c>
      <c r="G14" s="504">
        <v>483900</v>
      </c>
      <c r="H14" s="498">
        <v>4.4999999999999998E-2</v>
      </c>
      <c r="I14" s="428">
        <f t="shared" ref="I14" si="2">+H14</f>
        <v>4.4999999999999998E-2</v>
      </c>
      <c r="J14" s="428">
        <f t="shared" ref="J14" si="3">+H14</f>
        <v>4.4999999999999998E-2</v>
      </c>
      <c r="K14" s="428">
        <f t="shared" ref="K14" si="4">+H14</f>
        <v>4.4999999999999998E-2</v>
      </c>
      <c r="L14" s="508">
        <f t="shared" ref="L14" si="5">+H14</f>
        <v>4.4999999999999998E-2</v>
      </c>
      <c r="M14" s="470">
        <f t="shared" ref="M14:M15" si="6">CEILING(C14*(1+H14),100)</f>
        <v>189400</v>
      </c>
      <c r="N14" s="471">
        <f t="shared" si="0"/>
        <v>255700</v>
      </c>
      <c r="O14" s="471">
        <f t="shared" si="1"/>
        <v>265100</v>
      </c>
      <c r="P14" s="471">
        <f t="shared" ref="P14:Q15" si="7">+CEILING(F14*(1+K14),100)</f>
        <v>318400</v>
      </c>
      <c r="Q14" s="472">
        <f t="shared" si="7"/>
        <v>505700</v>
      </c>
    </row>
    <row r="15" spans="1:256" ht="12.75" customHeight="1" x14ac:dyDescent="0.2">
      <c r="A15" s="821" t="s">
        <v>224</v>
      </c>
      <c r="B15" s="491" t="s">
        <v>221</v>
      </c>
      <c r="C15" s="499">
        <v>397800</v>
      </c>
      <c r="D15" s="317">
        <v>537000</v>
      </c>
      <c r="E15" s="317">
        <v>556900</v>
      </c>
      <c r="F15" s="317">
        <v>497200</v>
      </c>
      <c r="G15" s="500">
        <v>596600</v>
      </c>
      <c r="H15" s="496">
        <v>0.1</v>
      </c>
      <c r="I15" s="426">
        <f t="shared" ref="I15" si="8">+H15</f>
        <v>0.1</v>
      </c>
      <c r="J15" s="426">
        <f t="shared" ref="J15" si="9">+H15</f>
        <v>0.1</v>
      </c>
      <c r="K15" s="426">
        <f t="shared" ref="K15" si="10">+H15</f>
        <v>0.1</v>
      </c>
      <c r="L15" s="506">
        <f t="shared" ref="L15" si="11">+H15</f>
        <v>0.1</v>
      </c>
      <c r="M15" s="464">
        <f t="shared" si="6"/>
        <v>437600</v>
      </c>
      <c r="N15" s="465">
        <f t="shared" si="0"/>
        <v>590800</v>
      </c>
      <c r="O15" s="465">
        <f t="shared" si="1"/>
        <v>612700</v>
      </c>
      <c r="P15" s="465">
        <f t="shared" si="7"/>
        <v>547000</v>
      </c>
      <c r="Q15" s="466">
        <f t="shared" si="7"/>
        <v>656300</v>
      </c>
    </row>
    <row r="16" spans="1:256" x14ac:dyDescent="0.2">
      <c r="A16" s="822"/>
      <c r="B16" s="494" t="s">
        <v>220</v>
      </c>
      <c r="C16" s="656"/>
      <c r="D16" s="657"/>
      <c r="E16" s="657"/>
      <c r="F16" s="657"/>
      <c r="G16" s="658"/>
      <c r="H16" s="824"/>
      <c r="I16" s="825"/>
      <c r="J16" s="825"/>
      <c r="K16" s="825"/>
      <c r="L16" s="826"/>
      <c r="M16" s="831"/>
      <c r="N16" s="832"/>
      <c r="O16" s="832"/>
      <c r="P16" s="832"/>
      <c r="Q16" s="833"/>
    </row>
    <row r="17" spans="1:17" ht="13.5" thickBot="1" x14ac:dyDescent="0.25">
      <c r="A17" s="823"/>
      <c r="B17" s="493" t="s">
        <v>219</v>
      </c>
      <c r="C17" s="641">
        <v>238900</v>
      </c>
      <c r="D17" s="642">
        <v>322600</v>
      </c>
      <c r="E17" s="642">
        <v>334500</v>
      </c>
      <c r="F17" s="642">
        <v>358100</v>
      </c>
      <c r="G17" s="643">
        <v>477400</v>
      </c>
      <c r="H17" s="498">
        <v>0.1</v>
      </c>
      <c r="I17" s="428">
        <f t="shared" ref="I17" si="12">+H17</f>
        <v>0.1</v>
      </c>
      <c r="J17" s="428">
        <f t="shared" ref="J17" si="13">+H17</f>
        <v>0.1</v>
      </c>
      <c r="K17" s="428">
        <f t="shared" ref="K17" si="14">+H17</f>
        <v>0.1</v>
      </c>
      <c r="L17" s="508">
        <f t="shared" ref="L17" si="15">+H17</f>
        <v>0.1</v>
      </c>
      <c r="M17" s="470">
        <f t="shared" ref="M17" si="16">CEILING(C17*(1+H17),100)</f>
        <v>262800</v>
      </c>
      <c r="N17" s="471">
        <f>+CEILING(C17*(1.35)*(1+I17),100)</f>
        <v>354800</v>
      </c>
      <c r="O17" s="471">
        <f>+CEILING(C17*(1.4)*(1+J17),100)</f>
        <v>368000</v>
      </c>
      <c r="P17" s="471">
        <f t="shared" ref="P17" si="17">+CEILING(F17*(1+K17),100)</f>
        <v>394000</v>
      </c>
      <c r="Q17" s="472">
        <f>+CEILING(G17*(1+L17),100)</f>
        <v>525200</v>
      </c>
    </row>
    <row r="18" spans="1:17" x14ac:dyDescent="0.2">
      <c r="D18" s="122"/>
      <c r="G18" s="473"/>
    </row>
    <row r="19" spans="1:17" ht="15.75" x14ac:dyDescent="0.2">
      <c r="A19" s="814" t="s">
        <v>148</v>
      </c>
      <c r="B19" s="814"/>
      <c r="C19" s="814"/>
      <c r="D19" s="814"/>
      <c r="E19" s="814"/>
      <c r="F19" s="814"/>
      <c r="G19" s="4"/>
      <c r="H19" s="4"/>
    </row>
    <row r="20" spans="1:17" ht="13.5" thickBot="1" x14ac:dyDescent="0.25"/>
    <row r="21" spans="1:17" ht="16.5" thickBot="1" x14ac:dyDescent="0.25">
      <c r="A21" s="819" t="s">
        <v>132</v>
      </c>
      <c r="B21" s="817" t="s">
        <v>5</v>
      </c>
      <c r="C21" s="806" t="s">
        <v>265</v>
      </c>
      <c r="D21" s="807"/>
      <c r="E21" s="807"/>
      <c r="F21" s="807"/>
      <c r="G21" s="807"/>
      <c r="H21" s="808"/>
    </row>
    <row r="22" spans="1:17" ht="79.5" customHeight="1" thickBot="1" x14ac:dyDescent="0.25">
      <c r="A22" s="820"/>
      <c r="B22" s="818"/>
      <c r="C22" s="60" t="s">
        <v>85</v>
      </c>
      <c r="D22" s="61" t="s">
        <v>135</v>
      </c>
      <c r="E22" s="61" t="s">
        <v>136</v>
      </c>
      <c r="F22" s="61" t="s">
        <v>86</v>
      </c>
      <c r="G22" s="511" t="s">
        <v>87</v>
      </c>
      <c r="H22" s="517" t="s">
        <v>131</v>
      </c>
    </row>
    <row r="23" spans="1:17" ht="20.100000000000001" customHeight="1" x14ac:dyDescent="0.2">
      <c r="A23" s="801" t="str">
        <f>+A12</f>
        <v>Jardín Infantil Pequeños Héroes</v>
      </c>
      <c r="B23" s="226" t="str">
        <f>+B12</f>
        <v>Media jornada</v>
      </c>
      <c r="C23" s="223">
        <v>5</v>
      </c>
      <c r="D23" s="120"/>
      <c r="E23" s="120"/>
      <c r="F23" s="120"/>
      <c r="G23" s="512"/>
      <c r="H23" s="518">
        <f t="shared" ref="H23:H28" si="18">SUM(C23:G23)</f>
        <v>5</v>
      </c>
    </row>
    <row r="24" spans="1:17" ht="20.100000000000001" customHeight="1" thickBot="1" x14ac:dyDescent="0.25">
      <c r="A24" s="802"/>
      <c r="B24" s="227" t="str">
        <f t="shared" ref="B24:B28" si="19">+B13</f>
        <v>Media jornada Extendida</v>
      </c>
      <c r="C24" s="224">
        <v>2</v>
      </c>
      <c r="D24" s="200"/>
      <c r="E24" s="200"/>
      <c r="F24" s="200"/>
      <c r="G24" s="513"/>
      <c r="H24" s="519">
        <f t="shared" si="18"/>
        <v>2</v>
      </c>
    </row>
    <row r="25" spans="1:17" ht="20.100000000000001" customHeight="1" thickBot="1" x14ac:dyDescent="0.25">
      <c r="A25" s="803"/>
      <c r="B25" s="298" t="str">
        <f t="shared" si="19"/>
        <v>Jornada Completa</v>
      </c>
      <c r="C25" s="225">
        <v>50</v>
      </c>
      <c r="D25" s="121">
        <v>1</v>
      </c>
      <c r="E25" s="121">
        <v>7</v>
      </c>
      <c r="F25" s="121"/>
      <c r="G25" s="514"/>
      <c r="H25" s="520">
        <f t="shared" si="18"/>
        <v>58</v>
      </c>
      <c r="I25" s="516">
        <f>SUM(H23:H25)</f>
        <v>65</v>
      </c>
    </row>
    <row r="26" spans="1:17" ht="19.5" customHeight="1" x14ac:dyDescent="0.2">
      <c r="A26" s="798" t="str">
        <f>+A15</f>
        <v>Sala Cuna Pequeños Héroes</v>
      </c>
      <c r="B26" s="226" t="str">
        <f t="shared" si="19"/>
        <v>Diurna</v>
      </c>
      <c r="C26" s="223">
        <v>12</v>
      </c>
      <c r="D26" s="120"/>
      <c r="E26" s="120"/>
      <c r="F26" s="120"/>
      <c r="G26" s="512"/>
      <c r="H26" s="518">
        <f t="shared" si="18"/>
        <v>12</v>
      </c>
    </row>
    <row r="27" spans="1:17" ht="19.5" customHeight="1" thickBot="1" x14ac:dyDescent="0.25">
      <c r="A27" s="799"/>
      <c r="B27" s="227" t="str">
        <f t="shared" si="19"/>
        <v>Nocturna</v>
      </c>
      <c r="C27" s="509"/>
      <c r="D27" s="510"/>
      <c r="E27" s="510"/>
      <c r="F27" s="510"/>
      <c r="G27" s="515"/>
      <c r="H27" s="521">
        <f t="shared" si="18"/>
        <v>0</v>
      </c>
    </row>
    <row r="28" spans="1:17" ht="19.5" customHeight="1" thickBot="1" x14ac:dyDescent="0.25">
      <c r="A28" s="800"/>
      <c r="B28" s="228" t="str">
        <f t="shared" si="19"/>
        <v>Media Jornada</v>
      </c>
      <c r="C28" s="225">
        <v>0</v>
      </c>
      <c r="D28" s="121"/>
      <c r="E28" s="121"/>
      <c r="F28" s="121"/>
      <c r="G28" s="514"/>
      <c r="H28" s="520">
        <f t="shared" si="18"/>
        <v>0</v>
      </c>
      <c r="I28" s="516">
        <f>SUM(H26:H28)</f>
        <v>12</v>
      </c>
    </row>
  </sheetData>
  <sheetProtection algorithmName="SHA-512" hashValue="S4LBAtU0vOoTeBeErscHcykgz2NSe++pggLrdDyXcL42tr75Oqy2QvO/hP5N3mqbW+R3Fgcq8ngZxlE/F8etpQ==" saltValue="aTZSbU6Pljt0sh1htk6TOg==" spinCount="100000" sheet="1" objects="1" scenarios="1"/>
  <mergeCells count="18">
    <mergeCell ref="M10:Q10"/>
    <mergeCell ref="A19:F19"/>
    <mergeCell ref="H10:L10"/>
    <mergeCell ref="A12:A14"/>
    <mergeCell ref="C5:D5"/>
    <mergeCell ref="M16:Q16"/>
    <mergeCell ref="A26:A28"/>
    <mergeCell ref="A23:A25"/>
    <mergeCell ref="F5:G5"/>
    <mergeCell ref="C21:H21"/>
    <mergeCell ref="B10:B11"/>
    <mergeCell ref="C10:G10"/>
    <mergeCell ref="A8:D8"/>
    <mergeCell ref="A10:A11"/>
    <mergeCell ref="B21:B22"/>
    <mergeCell ref="A21:A22"/>
    <mergeCell ref="A15:A17"/>
    <mergeCell ref="H16:L16"/>
  </mergeCells>
  <pageMargins left="0.7" right="0.7" top="0.75" bottom="0.75" header="0.3" footer="0.3"/>
  <pageSetup paperSize="9" orientation="portrait" r:id="rId1"/>
  <ignoredErrors>
    <ignoredError sqref="K14:L14 K12:L12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C00000"/>
    <pageSetUpPr fitToPage="1"/>
  </sheetPr>
  <dimension ref="A1:O207"/>
  <sheetViews>
    <sheetView showGridLines="0" zoomScale="80" zoomScaleNormal="80" workbookViewId="0">
      <selection activeCell="M59" sqref="M59"/>
    </sheetView>
  </sheetViews>
  <sheetFormatPr baseColWidth="10" defaultColWidth="11.42578125" defaultRowHeight="12.75" x14ac:dyDescent="0.2"/>
  <cols>
    <col min="1" max="1" width="30.28515625" style="2" customWidth="1"/>
    <col min="2" max="2" width="21.140625" style="2" customWidth="1"/>
    <col min="3" max="3" width="57.42578125" style="2" bestFit="1" customWidth="1"/>
    <col min="4" max="4" width="17" style="2" customWidth="1"/>
    <col min="5" max="5" width="14.28515625" style="2" customWidth="1"/>
    <col min="6" max="6" width="14.42578125" style="17" customWidth="1"/>
    <col min="7" max="7" width="14.28515625" style="4" customWidth="1"/>
    <col min="8" max="8" width="23" style="4" customWidth="1"/>
    <col min="9" max="9" width="15.7109375" style="2" bestFit="1" customWidth="1"/>
    <col min="10" max="10" width="14.85546875" style="2" customWidth="1"/>
    <col min="11" max="11" width="1.85546875" style="2" customWidth="1"/>
    <col min="12" max="12" width="92.85546875" style="2" bestFit="1" customWidth="1"/>
    <col min="13" max="13" width="15.5703125" style="11" customWidth="1"/>
    <col min="14" max="14" width="15.42578125" style="11" customWidth="1"/>
    <col min="15" max="15" width="15.28515625" style="11" customWidth="1"/>
    <col min="16" max="16384" width="11.42578125" style="2"/>
  </cols>
  <sheetData>
    <row r="1" spans="1:15" x14ac:dyDescent="0.2">
      <c r="C1" s="30"/>
      <c r="D1" s="30" t="s">
        <v>201</v>
      </c>
      <c r="E1" s="30"/>
      <c r="F1" s="30"/>
      <c r="G1" s="30"/>
      <c r="H1" s="30"/>
    </row>
    <row r="2" spans="1:15" x14ac:dyDescent="0.2">
      <c r="C2" s="30"/>
      <c r="D2" s="30" t="s">
        <v>209</v>
      </c>
      <c r="E2" s="30"/>
      <c r="F2" s="30"/>
      <c r="G2" s="30"/>
      <c r="H2" s="30"/>
    </row>
    <row r="3" spans="1:15" x14ac:dyDescent="0.2">
      <c r="C3" s="30"/>
      <c r="E3" s="30"/>
      <c r="F3" s="30"/>
      <c r="G3" s="30"/>
      <c r="H3" s="30"/>
    </row>
    <row r="4" spans="1:15" ht="19.5" customHeight="1" x14ac:dyDescent="0.2">
      <c r="C4" s="6" t="s">
        <v>0</v>
      </c>
      <c r="D4" s="845" t="s">
        <v>149</v>
      </c>
      <c r="E4" s="846"/>
      <c r="F4" s="30"/>
      <c r="G4" s="30"/>
      <c r="H4" s="30"/>
    </row>
    <row r="5" spans="1:15" x14ac:dyDescent="0.2">
      <c r="B5" s="30"/>
      <c r="C5" s="30"/>
      <c r="D5" s="30"/>
      <c r="E5" s="30"/>
      <c r="F5" s="30"/>
      <c r="G5" s="30"/>
      <c r="H5" s="30"/>
    </row>
    <row r="6" spans="1:15" x14ac:dyDescent="0.2">
      <c r="B6" s="30"/>
      <c r="C6" s="30"/>
      <c r="D6" s="30"/>
      <c r="E6" s="30"/>
      <c r="F6" s="30"/>
      <c r="G6" s="30"/>
      <c r="H6" s="30"/>
    </row>
    <row r="7" spans="1:15" x14ac:dyDescent="0.2">
      <c r="C7" s="4"/>
    </row>
    <row r="8" spans="1:15" ht="15.75" x14ac:dyDescent="0.2">
      <c r="A8" s="814" t="s">
        <v>150</v>
      </c>
      <c r="B8" s="814"/>
      <c r="C8" s="814"/>
      <c r="D8" s="30"/>
      <c r="G8" s="2"/>
    </row>
    <row r="10" spans="1:15" ht="12.75" customHeight="1" x14ac:dyDescent="0.2">
      <c r="A10" s="834" t="s">
        <v>112</v>
      </c>
      <c r="B10" s="838" t="s">
        <v>75</v>
      </c>
      <c r="C10" s="836" t="s">
        <v>76</v>
      </c>
      <c r="D10" s="848" t="s">
        <v>77</v>
      </c>
      <c r="E10" s="847" t="s">
        <v>78</v>
      </c>
      <c r="F10" s="847"/>
      <c r="G10" s="847"/>
      <c r="H10" s="849" t="s">
        <v>261</v>
      </c>
      <c r="L10" s="843" t="s">
        <v>227</v>
      </c>
      <c r="M10" s="842" t="s">
        <v>222</v>
      </c>
      <c r="N10" s="842" t="s">
        <v>225</v>
      </c>
      <c r="O10" s="842" t="s">
        <v>226</v>
      </c>
    </row>
    <row r="11" spans="1:15" ht="39" customHeight="1" x14ac:dyDescent="0.2">
      <c r="A11" s="835"/>
      <c r="B11" s="839"/>
      <c r="C11" s="837"/>
      <c r="D11" s="848"/>
      <c r="E11" s="190" t="s">
        <v>67</v>
      </c>
      <c r="F11" s="191" t="s">
        <v>68</v>
      </c>
      <c r="G11" s="192" t="s">
        <v>6</v>
      </c>
      <c r="H11" s="850"/>
      <c r="L11" s="844"/>
      <c r="M11" s="842"/>
      <c r="N11" s="842"/>
      <c r="O11" s="842"/>
    </row>
    <row r="12" spans="1:15" ht="15.75" customHeight="1" x14ac:dyDescent="0.2">
      <c r="A12" s="841" t="str">
        <f>+'B) Reajuste Tarifas y Ocupación'!A12</f>
        <v>Jardín Infantil Pequeños Héroes</v>
      </c>
      <c r="B12" s="300"/>
      <c r="C12" s="268" t="s">
        <v>11</v>
      </c>
      <c r="D12" s="269">
        <f>SUM(D13+D18)</f>
        <v>43786936.530000001</v>
      </c>
      <c r="E12" s="329"/>
      <c r="F12" s="329"/>
      <c r="G12" s="270">
        <f>SUM(G13,G18)</f>
        <v>19857260</v>
      </c>
      <c r="H12" s="271">
        <f>SUM(H13,H18)</f>
        <v>63644196.530000001</v>
      </c>
      <c r="L12" s="436" t="s">
        <v>11</v>
      </c>
      <c r="M12" s="437"/>
      <c r="N12" s="437"/>
      <c r="O12" s="437"/>
    </row>
    <row r="13" spans="1:15" ht="12.75" customHeight="1" x14ac:dyDescent="0.2">
      <c r="A13" s="841"/>
      <c r="B13" s="272"/>
      <c r="C13" s="273" t="s">
        <v>12</v>
      </c>
      <c r="D13" s="274">
        <f>SUM(D14:D17)</f>
        <v>35193336.530000001</v>
      </c>
      <c r="E13" s="347"/>
      <c r="F13" s="347"/>
      <c r="G13" s="275">
        <f>SUM(G14:G17)</f>
        <v>0</v>
      </c>
      <c r="H13" s="276">
        <f>SUM(H14:H17)</f>
        <v>35193336.530000001</v>
      </c>
      <c r="L13" s="433" t="s">
        <v>16</v>
      </c>
      <c r="M13" s="434"/>
      <c r="N13" s="435"/>
      <c r="O13" s="435"/>
    </row>
    <row r="14" spans="1:15" ht="12.75" customHeight="1" x14ac:dyDescent="0.2">
      <c r="A14" s="841"/>
      <c r="B14" s="277">
        <v>53103040100000</v>
      </c>
      <c r="C14" s="278" t="s">
        <v>94</v>
      </c>
      <c r="D14" s="279">
        <f>+'F) Remuneraciones'!L11</f>
        <v>35193336.530000001</v>
      </c>
      <c r="E14" s="280">
        <v>0</v>
      </c>
      <c r="F14" s="333">
        <v>0</v>
      </c>
      <c r="G14" s="280">
        <f>E14*F14</f>
        <v>0</v>
      </c>
      <c r="H14" s="281">
        <f>D14+G14</f>
        <v>35193336.530000001</v>
      </c>
      <c r="L14" s="305" t="s">
        <v>175</v>
      </c>
      <c r="M14" s="341">
        <v>600000</v>
      </c>
      <c r="N14" s="304">
        <f t="shared" ref="N14:N61" si="0">M14*0.7</f>
        <v>420000</v>
      </c>
      <c r="O14" s="304">
        <f t="shared" ref="O14:O61" si="1">M14*0.3</f>
        <v>180000</v>
      </c>
    </row>
    <row r="15" spans="1:15" ht="12.75" customHeight="1" x14ac:dyDescent="0.2">
      <c r="A15" s="841"/>
      <c r="B15" s="277">
        <v>53103050000000</v>
      </c>
      <c r="C15" s="278" t="s">
        <v>169</v>
      </c>
      <c r="D15" s="187">
        <v>0</v>
      </c>
      <c r="E15" s="189">
        <v>0</v>
      </c>
      <c r="F15" s="188">
        <v>0</v>
      </c>
      <c r="G15" s="280">
        <f>E15*F15</f>
        <v>0</v>
      </c>
      <c r="H15" s="281">
        <f>D15+G15</f>
        <v>0</v>
      </c>
      <c r="L15" s="278" t="s">
        <v>19</v>
      </c>
      <c r="M15" s="342">
        <v>0</v>
      </c>
      <c r="N15" s="304">
        <f t="shared" si="0"/>
        <v>0</v>
      </c>
      <c r="O15" s="304">
        <f t="shared" si="1"/>
        <v>0</v>
      </c>
    </row>
    <row r="16" spans="1:15" ht="12.75" customHeight="1" x14ac:dyDescent="0.2">
      <c r="A16" s="841"/>
      <c r="B16" s="301">
        <v>53103040400000</v>
      </c>
      <c r="C16" s="282" t="s">
        <v>170</v>
      </c>
      <c r="D16" s="187">
        <v>0</v>
      </c>
      <c r="E16" s="189">
        <v>0</v>
      </c>
      <c r="F16" s="188">
        <v>0</v>
      </c>
      <c r="G16" s="280">
        <f>E16*F16</f>
        <v>0</v>
      </c>
      <c r="H16" s="281">
        <f>D16+G16</f>
        <v>0</v>
      </c>
      <c r="L16" s="278" t="s">
        <v>176</v>
      </c>
      <c r="M16" s="342">
        <v>0</v>
      </c>
      <c r="N16" s="304">
        <f t="shared" si="0"/>
        <v>0</v>
      </c>
      <c r="O16" s="304">
        <f t="shared" si="1"/>
        <v>0</v>
      </c>
    </row>
    <row r="17" spans="1:15" ht="12.75" customHeight="1" x14ac:dyDescent="0.2">
      <c r="A17" s="841"/>
      <c r="B17" s="277">
        <v>53103080010000</v>
      </c>
      <c r="C17" s="278" t="s">
        <v>171</v>
      </c>
      <c r="D17" s="187">
        <v>0</v>
      </c>
      <c r="E17" s="189">
        <v>0</v>
      </c>
      <c r="F17" s="188">
        <v>0</v>
      </c>
      <c r="G17" s="280">
        <f>E17*F17</f>
        <v>0</v>
      </c>
      <c r="H17" s="281">
        <f>D17+G17</f>
        <v>0</v>
      </c>
      <c r="L17" s="278" t="s">
        <v>210</v>
      </c>
      <c r="M17" s="342">
        <v>120000</v>
      </c>
      <c r="N17" s="304">
        <f t="shared" si="0"/>
        <v>84000</v>
      </c>
      <c r="O17" s="304">
        <f t="shared" si="1"/>
        <v>36000</v>
      </c>
    </row>
    <row r="18" spans="1:15" ht="12.75" customHeight="1" x14ac:dyDescent="0.2">
      <c r="A18" s="841"/>
      <c r="B18" s="272"/>
      <c r="C18" s="273" t="s">
        <v>16</v>
      </c>
      <c r="D18" s="274">
        <f>SUM(D19:D38)</f>
        <v>8593600</v>
      </c>
      <c r="E18" s="347"/>
      <c r="F18" s="347"/>
      <c r="G18" s="274">
        <f>SUM(G19:G38)</f>
        <v>19857260</v>
      </c>
      <c r="H18" s="276">
        <f>SUM(H19:H38)</f>
        <v>28450860</v>
      </c>
      <c r="L18" s="278" t="s">
        <v>22</v>
      </c>
      <c r="M18" s="342">
        <v>0</v>
      </c>
      <c r="N18" s="304">
        <f t="shared" si="0"/>
        <v>0</v>
      </c>
      <c r="O18" s="304">
        <f t="shared" si="1"/>
        <v>0</v>
      </c>
    </row>
    <row r="19" spans="1:15" ht="12.75" customHeight="1" x14ac:dyDescent="0.2">
      <c r="A19" s="841"/>
      <c r="B19" s="277">
        <v>53201010100000</v>
      </c>
      <c r="C19" s="283" t="s">
        <v>172</v>
      </c>
      <c r="D19" s="187">
        <v>0</v>
      </c>
      <c r="E19" s="189">
        <v>2360</v>
      </c>
      <c r="F19" s="188">
        <f>(3*11*21)+(1*10)</f>
        <v>703</v>
      </c>
      <c r="G19" s="280">
        <f t="shared" ref="G19:G38" si="2">E19*F19</f>
        <v>1659080</v>
      </c>
      <c r="H19" s="281">
        <f t="shared" ref="H19:H38" si="3">D19+G19</f>
        <v>1659080</v>
      </c>
      <c r="L19" s="278" t="s">
        <v>178</v>
      </c>
      <c r="M19" s="342"/>
      <c r="N19" s="304">
        <f t="shared" si="0"/>
        <v>0</v>
      </c>
      <c r="O19" s="304">
        <f t="shared" si="1"/>
        <v>0</v>
      </c>
    </row>
    <row r="20" spans="1:15" ht="12.75" customHeight="1" x14ac:dyDescent="0.2">
      <c r="A20" s="841"/>
      <c r="B20" s="277">
        <v>53201010100000</v>
      </c>
      <c r="C20" s="283" t="s">
        <v>173</v>
      </c>
      <c r="D20" s="187">
        <v>370000</v>
      </c>
      <c r="E20" s="189">
        <f>+(21*10*70)+(21*1*15)</f>
        <v>15015</v>
      </c>
      <c r="F20" s="188">
        <v>1212</v>
      </c>
      <c r="G20" s="280">
        <f t="shared" si="2"/>
        <v>18198180</v>
      </c>
      <c r="H20" s="281">
        <f t="shared" si="3"/>
        <v>18568180</v>
      </c>
      <c r="L20" s="278" t="s">
        <v>24</v>
      </c>
      <c r="M20" s="342">
        <v>2160000</v>
      </c>
      <c r="N20" s="304">
        <f t="shared" si="0"/>
        <v>1512000</v>
      </c>
      <c r="O20" s="304">
        <f t="shared" si="1"/>
        <v>648000</v>
      </c>
    </row>
    <row r="21" spans="1:15" ht="12.75" customHeight="1" x14ac:dyDescent="0.2">
      <c r="A21" s="841"/>
      <c r="B21" s="277">
        <v>53201010100000</v>
      </c>
      <c r="C21" s="283" t="s">
        <v>174</v>
      </c>
      <c r="D21" s="187">
        <v>0</v>
      </c>
      <c r="E21" s="189">
        <v>0</v>
      </c>
      <c r="F21" s="188">
        <v>0</v>
      </c>
      <c r="G21" s="280">
        <f t="shared" si="2"/>
        <v>0</v>
      </c>
      <c r="H21" s="281">
        <f t="shared" si="3"/>
        <v>0</v>
      </c>
      <c r="L21" s="278" t="s">
        <v>25</v>
      </c>
      <c r="M21" s="342">
        <f>178000*6+300000*6</f>
        <v>2868000</v>
      </c>
      <c r="N21" s="304">
        <f t="shared" si="0"/>
        <v>2007599.9999999998</v>
      </c>
      <c r="O21" s="304">
        <f t="shared" si="1"/>
        <v>860400</v>
      </c>
    </row>
    <row r="22" spans="1:15" ht="12.75" customHeight="1" x14ac:dyDescent="0.2">
      <c r="A22" s="841"/>
      <c r="B22" s="277">
        <v>53202010100000</v>
      </c>
      <c r="C22" s="278" t="s">
        <v>175</v>
      </c>
      <c r="D22" s="331">
        <f>N14</f>
        <v>420000</v>
      </c>
      <c r="E22" s="331">
        <v>0</v>
      </c>
      <c r="F22" s="332">
        <v>0</v>
      </c>
      <c r="G22" s="280">
        <f t="shared" si="2"/>
        <v>0</v>
      </c>
      <c r="H22" s="281">
        <f t="shared" si="3"/>
        <v>420000</v>
      </c>
      <c r="L22" s="278" t="s">
        <v>26</v>
      </c>
      <c r="M22" s="342">
        <f>60000*8</f>
        <v>480000</v>
      </c>
      <c r="N22" s="304">
        <f t="shared" si="0"/>
        <v>336000</v>
      </c>
      <c r="O22" s="304">
        <f t="shared" si="1"/>
        <v>144000</v>
      </c>
    </row>
    <row r="23" spans="1:15" ht="12.75" customHeight="1" x14ac:dyDescent="0.2">
      <c r="A23" s="841"/>
      <c r="B23" s="277">
        <v>53203010100000</v>
      </c>
      <c r="C23" s="278" t="s">
        <v>19</v>
      </c>
      <c r="D23" s="280">
        <f>N15</f>
        <v>0</v>
      </c>
      <c r="E23" s="280">
        <v>0</v>
      </c>
      <c r="F23" s="332">
        <v>0</v>
      </c>
      <c r="G23" s="280">
        <f t="shared" si="2"/>
        <v>0</v>
      </c>
      <c r="H23" s="281">
        <f>D23+G23</f>
        <v>0</v>
      </c>
      <c r="L23" s="278" t="s">
        <v>27</v>
      </c>
      <c r="M23" s="342"/>
      <c r="N23" s="304">
        <f t="shared" si="0"/>
        <v>0</v>
      </c>
      <c r="O23" s="304">
        <f t="shared" si="1"/>
        <v>0</v>
      </c>
    </row>
    <row r="24" spans="1:15" ht="12.75" customHeight="1" x14ac:dyDescent="0.2">
      <c r="A24" s="841"/>
      <c r="B24" s="277">
        <v>53203030000000</v>
      </c>
      <c r="C24" s="278" t="s">
        <v>176</v>
      </c>
      <c r="D24" s="280">
        <f>N16</f>
        <v>0</v>
      </c>
      <c r="E24" s="280">
        <v>0</v>
      </c>
      <c r="F24" s="332">
        <v>0</v>
      </c>
      <c r="G24" s="280">
        <f t="shared" si="2"/>
        <v>0</v>
      </c>
      <c r="H24" s="281">
        <f t="shared" si="3"/>
        <v>0</v>
      </c>
      <c r="L24" s="278" t="s">
        <v>29</v>
      </c>
      <c r="M24" s="342">
        <f>60000*12</f>
        <v>720000</v>
      </c>
      <c r="N24" s="304">
        <f t="shared" si="0"/>
        <v>503999.99999999994</v>
      </c>
      <c r="O24" s="304">
        <f t="shared" si="1"/>
        <v>216000</v>
      </c>
    </row>
    <row r="25" spans="1:15" ht="12.75" customHeight="1" x14ac:dyDescent="0.2">
      <c r="A25" s="841"/>
      <c r="B25" s="277">
        <v>53204030000000</v>
      </c>
      <c r="C25" s="278" t="s">
        <v>210</v>
      </c>
      <c r="D25" s="280">
        <f>N17</f>
        <v>84000</v>
      </c>
      <c r="E25" s="280">
        <v>0</v>
      </c>
      <c r="F25" s="332">
        <v>0</v>
      </c>
      <c r="G25" s="280">
        <f t="shared" si="2"/>
        <v>0</v>
      </c>
      <c r="H25" s="281">
        <f>D25+G25</f>
        <v>84000</v>
      </c>
      <c r="L25" s="278" t="s">
        <v>30</v>
      </c>
      <c r="M25" s="342">
        <v>0</v>
      </c>
      <c r="N25" s="304">
        <f t="shared" si="0"/>
        <v>0</v>
      </c>
      <c r="O25" s="304">
        <f t="shared" si="1"/>
        <v>0</v>
      </c>
    </row>
    <row r="26" spans="1:15" ht="12.75" customHeight="1" x14ac:dyDescent="0.2">
      <c r="A26" s="841"/>
      <c r="B26" s="277">
        <v>53204100100001</v>
      </c>
      <c r="C26" s="278" t="s">
        <v>22</v>
      </c>
      <c r="D26" s="280">
        <f>+N18</f>
        <v>0</v>
      </c>
      <c r="E26" s="280">
        <v>0</v>
      </c>
      <c r="F26" s="332">
        <v>0</v>
      </c>
      <c r="G26" s="280">
        <f>E26*F26</f>
        <v>0</v>
      </c>
      <c r="H26" s="281">
        <f>D26+G26</f>
        <v>0</v>
      </c>
      <c r="L26" s="278" t="s">
        <v>31</v>
      </c>
      <c r="M26" s="343">
        <v>400000</v>
      </c>
      <c r="N26" s="304">
        <f t="shared" si="0"/>
        <v>280000</v>
      </c>
      <c r="O26" s="304">
        <f t="shared" si="1"/>
        <v>120000</v>
      </c>
    </row>
    <row r="27" spans="1:15" ht="12.75" customHeight="1" x14ac:dyDescent="0.2">
      <c r="A27" s="841"/>
      <c r="B27" s="277">
        <v>53204130100000</v>
      </c>
      <c r="C27" s="278" t="s">
        <v>178</v>
      </c>
      <c r="D27" s="280">
        <f t="shared" ref="D27:D33" si="4">N19</f>
        <v>0</v>
      </c>
      <c r="E27" s="280">
        <v>0</v>
      </c>
      <c r="F27" s="332">
        <v>0</v>
      </c>
      <c r="G27" s="280">
        <f t="shared" si="2"/>
        <v>0</v>
      </c>
      <c r="H27" s="281">
        <f t="shared" si="3"/>
        <v>0</v>
      </c>
      <c r="L27" s="278" t="s">
        <v>179</v>
      </c>
      <c r="M27" s="342">
        <v>0</v>
      </c>
      <c r="N27" s="304">
        <f t="shared" si="0"/>
        <v>0</v>
      </c>
      <c r="O27" s="304">
        <f t="shared" si="1"/>
        <v>0</v>
      </c>
    </row>
    <row r="28" spans="1:15" ht="12.75" customHeight="1" x14ac:dyDescent="0.2">
      <c r="A28" s="841"/>
      <c r="B28" s="277">
        <v>53205010100000</v>
      </c>
      <c r="C28" s="278" t="s">
        <v>24</v>
      </c>
      <c r="D28" s="280">
        <f t="shared" si="4"/>
        <v>1512000</v>
      </c>
      <c r="E28" s="280">
        <v>0</v>
      </c>
      <c r="F28" s="332">
        <v>0</v>
      </c>
      <c r="G28" s="280">
        <f t="shared" si="2"/>
        <v>0</v>
      </c>
      <c r="H28" s="281">
        <f t="shared" si="3"/>
        <v>1512000</v>
      </c>
      <c r="L28" s="278" t="s">
        <v>32</v>
      </c>
      <c r="M28" s="342">
        <v>0</v>
      </c>
      <c r="N28" s="304">
        <f t="shared" si="0"/>
        <v>0</v>
      </c>
      <c r="O28" s="304">
        <f t="shared" si="1"/>
        <v>0</v>
      </c>
    </row>
    <row r="29" spans="1:15" ht="12.75" customHeight="1" x14ac:dyDescent="0.2">
      <c r="A29" s="841"/>
      <c r="B29" s="277">
        <v>53205020100000</v>
      </c>
      <c r="C29" s="278" t="s">
        <v>25</v>
      </c>
      <c r="D29" s="280">
        <f t="shared" si="4"/>
        <v>2007599.9999999998</v>
      </c>
      <c r="E29" s="280">
        <v>0</v>
      </c>
      <c r="F29" s="332">
        <v>0</v>
      </c>
      <c r="G29" s="280">
        <f t="shared" si="2"/>
        <v>0</v>
      </c>
      <c r="H29" s="281">
        <f t="shared" si="3"/>
        <v>2007599.9999999998</v>
      </c>
      <c r="L29" s="305" t="s">
        <v>180</v>
      </c>
      <c r="M29" s="342">
        <v>4400000</v>
      </c>
      <c r="N29" s="304">
        <f t="shared" si="0"/>
        <v>3080000</v>
      </c>
      <c r="O29" s="304">
        <f t="shared" si="1"/>
        <v>1320000</v>
      </c>
    </row>
    <row r="30" spans="1:15" ht="12.75" customHeight="1" x14ac:dyDescent="0.2">
      <c r="A30" s="841"/>
      <c r="B30" s="277">
        <v>53205030100000</v>
      </c>
      <c r="C30" s="278" t="s">
        <v>26</v>
      </c>
      <c r="D30" s="280">
        <f t="shared" si="4"/>
        <v>336000</v>
      </c>
      <c r="E30" s="280">
        <v>0</v>
      </c>
      <c r="F30" s="332">
        <v>0</v>
      </c>
      <c r="G30" s="280">
        <f t="shared" si="2"/>
        <v>0</v>
      </c>
      <c r="H30" s="281">
        <f t="shared" si="3"/>
        <v>336000</v>
      </c>
      <c r="L30" s="278" t="s">
        <v>181</v>
      </c>
      <c r="M30" s="344">
        <v>0</v>
      </c>
      <c r="N30" s="304">
        <f t="shared" si="0"/>
        <v>0</v>
      </c>
      <c r="O30" s="304">
        <f t="shared" si="1"/>
        <v>0</v>
      </c>
    </row>
    <row r="31" spans="1:15" ht="12.75" customHeight="1" x14ac:dyDescent="0.2">
      <c r="A31" s="841"/>
      <c r="B31" s="277">
        <v>53205050100000</v>
      </c>
      <c r="C31" s="278" t="s">
        <v>27</v>
      </c>
      <c r="D31" s="280">
        <f t="shared" si="4"/>
        <v>0</v>
      </c>
      <c r="E31" s="280">
        <v>0</v>
      </c>
      <c r="F31" s="332">
        <v>0</v>
      </c>
      <c r="G31" s="280">
        <f t="shared" si="2"/>
        <v>0</v>
      </c>
      <c r="H31" s="281">
        <f t="shared" si="3"/>
        <v>0</v>
      </c>
      <c r="L31" s="268" t="s">
        <v>34</v>
      </c>
      <c r="M31" s="345"/>
      <c r="N31" s="338"/>
      <c r="O31" s="338"/>
    </row>
    <row r="32" spans="1:15" ht="12.75" customHeight="1" x14ac:dyDescent="0.2">
      <c r="A32" s="841"/>
      <c r="B32" s="277">
        <v>53205070100000</v>
      </c>
      <c r="C32" s="278" t="s">
        <v>29</v>
      </c>
      <c r="D32" s="280">
        <f t="shared" si="4"/>
        <v>503999.99999999994</v>
      </c>
      <c r="E32" s="280">
        <v>0</v>
      </c>
      <c r="F32" s="332">
        <v>0</v>
      </c>
      <c r="G32" s="280">
        <f t="shared" si="2"/>
        <v>0</v>
      </c>
      <c r="H32" s="281">
        <f t="shared" si="3"/>
        <v>503999.99999999994</v>
      </c>
      <c r="L32" s="273" t="s">
        <v>35</v>
      </c>
      <c r="M32" s="340"/>
      <c r="N32" s="337"/>
      <c r="O32" s="337"/>
    </row>
    <row r="33" spans="1:15" ht="12.75" customHeight="1" x14ac:dyDescent="0.2">
      <c r="A33" s="841"/>
      <c r="B33" s="277">
        <v>53208010100000</v>
      </c>
      <c r="C33" s="278" t="s">
        <v>30</v>
      </c>
      <c r="D33" s="280">
        <f t="shared" si="4"/>
        <v>0</v>
      </c>
      <c r="E33" s="280">
        <v>0</v>
      </c>
      <c r="F33" s="332">
        <v>0</v>
      </c>
      <c r="G33" s="280">
        <f t="shared" si="2"/>
        <v>0</v>
      </c>
      <c r="H33" s="281">
        <f t="shared" si="3"/>
        <v>0</v>
      </c>
      <c r="L33" s="278" t="s">
        <v>41</v>
      </c>
      <c r="M33" s="342">
        <v>0</v>
      </c>
      <c r="N33" s="304">
        <f t="shared" si="0"/>
        <v>0</v>
      </c>
      <c r="O33" s="304">
        <f t="shared" si="1"/>
        <v>0</v>
      </c>
    </row>
    <row r="34" spans="1:15" ht="12.75" customHeight="1" x14ac:dyDescent="0.2">
      <c r="A34" s="841"/>
      <c r="B34" s="277">
        <v>53208070100001</v>
      </c>
      <c r="C34" s="278" t="s">
        <v>31</v>
      </c>
      <c r="D34" s="280">
        <f>N26</f>
        <v>280000</v>
      </c>
      <c r="E34" s="280">
        <v>0</v>
      </c>
      <c r="F34" s="332">
        <v>0</v>
      </c>
      <c r="G34" s="280">
        <f t="shared" si="2"/>
        <v>0</v>
      </c>
      <c r="H34" s="281">
        <f t="shared" si="3"/>
        <v>280000</v>
      </c>
      <c r="L34" s="305" t="s">
        <v>184</v>
      </c>
      <c r="M34" s="342">
        <v>388962</v>
      </c>
      <c r="N34" s="304">
        <f t="shared" si="0"/>
        <v>272273.39999999997</v>
      </c>
      <c r="O34" s="304">
        <f t="shared" si="1"/>
        <v>116688.59999999999</v>
      </c>
    </row>
    <row r="35" spans="1:15" ht="12.75" customHeight="1" x14ac:dyDescent="0.2">
      <c r="A35" s="841"/>
      <c r="B35" s="277">
        <v>53208100100001</v>
      </c>
      <c r="C35" s="278" t="s">
        <v>179</v>
      </c>
      <c r="D35" s="280">
        <f>N27</f>
        <v>0</v>
      </c>
      <c r="E35" s="280">
        <v>0</v>
      </c>
      <c r="F35" s="332">
        <v>0</v>
      </c>
      <c r="G35" s="280">
        <f t="shared" si="2"/>
        <v>0</v>
      </c>
      <c r="H35" s="281">
        <f t="shared" si="3"/>
        <v>0</v>
      </c>
      <c r="L35" s="273" t="s">
        <v>42</v>
      </c>
      <c r="M35" s="340"/>
      <c r="N35" s="337"/>
      <c r="O35" s="337"/>
    </row>
    <row r="36" spans="1:15" ht="12.75" customHeight="1" x14ac:dyDescent="0.2">
      <c r="A36" s="841"/>
      <c r="B36" s="277">
        <v>53211030000000</v>
      </c>
      <c r="C36" s="278" t="s">
        <v>32</v>
      </c>
      <c r="D36" s="280">
        <f t="shared" ref="D36:D37" si="5">N28</f>
        <v>0</v>
      </c>
      <c r="E36" s="280">
        <v>0</v>
      </c>
      <c r="F36" s="332">
        <v>0</v>
      </c>
      <c r="G36" s="280">
        <f t="shared" si="2"/>
        <v>0</v>
      </c>
      <c r="H36" s="281">
        <f t="shared" si="3"/>
        <v>0</v>
      </c>
      <c r="L36" s="278" t="s">
        <v>44</v>
      </c>
      <c r="M36" s="342">
        <v>0</v>
      </c>
      <c r="N36" s="304">
        <f t="shared" si="0"/>
        <v>0</v>
      </c>
      <c r="O36" s="304">
        <f t="shared" si="1"/>
        <v>0</v>
      </c>
    </row>
    <row r="37" spans="1:15" ht="12.75" customHeight="1" x14ac:dyDescent="0.2">
      <c r="A37" s="841"/>
      <c r="B37" s="277">
        <v>53212020100000</v>
      </c>
      <c r="C37" s="278" t="s">
        <v>180</v>
      </c>
      <c r="D37" s="280">
        <f t="shared" si="5"/>
        <v>3080000</v>
      </c>
      <c r="E37" s="280">
        <v>0</v>
      </c>
      <c r="F37" s="332">
        <v>0</v>
      </c>
      <c r="G37" s="280">
        <f t="shared" si="2"/>
        <v>0</v>
      </c>
      <c r="H37" s="281">
        <f t="shared" si="3"/>
        <v>3080000</v>
      </c>
      <c r="L37" s="273" t="s">
        <v>45</v>
      </c>
      <c r="M37" s="346"/>
      <c r="N37" s="431"/>
      <c r="O37" s="431"/>
    </row>
    <row r="38" spans="1:15" ht="12.75" customHeight="1" x14ac:dyDescent="0.2">
      <c r="A38" s="841"/>
      <c r="B38" s="277">
        <v>53214020000000</v>
      </c>
      <c r="C38" s="278" t="s">
        <v>181</v>
      </c>
      <c r="D38" s="280">
        <f>N30</f>
        <v>0</v>
      </c>
      <c r="E38" s="280">
        <v>0</v>
      </c>
      <c r="F38" s="332">
        <v>0</v>
      </c>
      <c r="G38" s="280">
        <f t="shared" si="2"/>
        <v>0</v>
      </c>
      <c r="H38" s="281">
        <f t="shared" si="3"/>
        <v>0</v>
      </c>
      <c r="L38" s="278" t="s">
        <v>47</v>
      </c>
      <c r="M38" s="342">
        <v>300000</v>
      </c>
      <c r="N38" s="304">
        <f t="shared" si="0"/>
        <v>210000</v>
      </c>
      <c r="O38" s="304">
        <f t="shared" si="1"/>
        <v>90000</v>
      </c>
    </row>
    <row r="39" spans="1:15" ht="15.75" customHeight="1" x14ac:dyDescent="0.2">
      <c r="A39" s="841"/>
      <c r="B39" s="300"/>
      <c r="C39" s="268" t="s">
        <v>34</v>
      </c>
      <c r="D39" s="284">
        <f>SUM(D40,D45,D47,D56,D65,D73)</f>
        <v>18503773.399999999</v>
      </c>
      <c r="E39" s="348"/>
      <c r="F39" s="348"/>
      <c r="G39" s="269"/>
      <c r="H39" s="284">
        <f>SUM(H40,H45,H47,H56,H65,H73)</f>
        <v>19841773.399999999</v>
      </c>
      <c r="L39" s="278" t="s">
        <v>211</v>
      </c>
      <c r="M39" s="342">
        <v>0</v>
      </c>
      <c r="N39" s="304">
        <f t="shared" si="0"/>
        <v>0</v>
      </c>
      <c r="O39" s="304">
        <f t="shared" si="1"/>
        <v>0</v>
      </c>
    </row>
    <row r="40" spans="1:15" ht="12.75" customHeight="1" x14ac:dyDescent="0.2">
      <c r="A40" s="841"/>
      <c r="B40" s="272"/>
      <c r="C40" s="273" t="s">
        <v>35</v>
      </c>
      <c r="D40" s="274">
        <f>SUM(D41:D44)</f>
        <v>272273.39999999997</v>
      </c>
      <c r="E40" s="347"/>
      <c r="F40" s="347"/>
      <c r="G40" s="274">
        <f>SUM(G41:G44)</f>
        <v>571000</v>
      </c>
      <c r="H40" s="274">
        <f>SUM(H41:H44)</f>
        <v>843273.39999999991</v>
      </c>
      <c r="L40" s="278" t="s">
        <v>49</v>
      </c>
      <c r="M40" s="342">
        <v>0</v>
      </c>
      <c r="N40" s="304">
        <f t="shared" si="0"/>
        <v>0</v>
      </c>
      <c r="O40" s="304">
        <f t="shared" si="1"/>
        <v>0</v>
      </c>
    </row>
    <row r="41" spans="1:15" ht="12.75" customHeight="1" x14ac:dyDescent="0.2">
      <c r="A41" s="841"/>
      <c r="B41" s="277">
        <v>53202020100000</v>
      </c>
      <c r="C41" s="278" t="s">
        <v>182</v>
      </c>
      <c r="D41" s="187">
        <v>0</v>
      </c>
      <c r="E41" s="189">
        <v>36500</v>
      </c>
      <c r="F41" s="674">
        <v>14</v>
      </c>
      <c r="G41" s="280">
        <f>E41*F41</f>
        <v>511000</v>
      </c>
      <c r="H41" s="281">
        <f t="shared" ref="H41:H74" si="6">D41+G41</f>
        <v>511000</v>
      </c>
      <c r="L41" s="278" t="s">
        <v>50</v>
      </c>
      <c r="M41" s="342">
        <v>4925000</v>
      </c>
      <c r="N41" s="304">
        <f t="shared" si="0"/>
        <v>3447500</v>
      </c>
      <c r="O41" s="304">
        <f t="shared" si="1"/>
        <v>1477500</v>
      </c>
    </row>
    <row r="42" spans="1:15" ht="12.75" customHeight="1" x14ac:dyDescent="0.2">
      <c r="A42" s="841"/>
      <c r="B42" s="277">
        <v>53202030000000</v>
      </c>
      <c r="C42" s="278" t="s">
        <v>231</v>
      </c>
      <c r="D42" s="187">
        <v>0</v>
      </c>
      <c r="E42" s="189">
        <v>60000</v>
      </c>
      <c r="F42" s="674">
        <v>1</v>
      </c>
      <c r="G42" s="280">
        <f t="shared" ref="G42:G74" si="7">E42*F42</f>
        <v>60000</v>
      </c>
      <c r="H42" s="281">
        <f t="shared" si="6"/>
        <v>60000</v>
      </c>
      <c r="L42" s="278" t="s">
        <v>51</v>
      </c>
      <c r="M42" s="342">
        <v>500000</v>
      </c>
      <c r="N42" s="304">
        <f t="shared" si="0"/>
        <v>350000</v>
      </c>
      <c r="O42" s="304">
        <f t="shared" si="1"/>
        <v>150000</v>
      </c>
    </row>
    <row r="43" spans="1:15" ht="12.75" customHeight="1" x14ac:dyDescent="0.2">
      <c r="A43" s="841"/>
      <c r="B43" s="277">
        <v>53211020000000</v>
      </c>
      <c r="C43" s="278" t="s">
        <v>41</v>
      </c>
      <c r="D43" s="334">
        <f>N33</f>
        <v>0</v>
      </c>
      <c r="E43" s="334">
        <v>0</v>
      </c>
      <c r="F43" s="335">
        <v>0</v>
      </c>
      <c r="G43" s="280">
        <f t="shared" si="7"/>
        <v>0</v>
      </c>
      <c r="H43" s="281">
        <f t="shared" si="6"/>
        <v>0</v>
      </c>
      <c r="L43" s="278" t="s">
        <v>52</v>
      </c>
      <c r="M43" s="344">
        <v>3320000</v>
      </c>
      <c r="N43" s="304">
        <f t="shared" si="0"/>
        <v>2324000</v>
      </c>
      <c r="O43" s="304">
        <f t="shared" si="1"/>
        <v>996000</v>
      </c>
    </row>
    <row r="44" spans="1:15" ht="12.75" customHeight="1" x14ac:dyDescent="0.2">
      <c r="A44" s="841"/>
      <c r="B44" s="277">
        <v>53101040600000</v>
      </c>
      <c r="C44" s="278" t="s">
        <v>184</v>
      </c>
      <c r="D44" s="334">
        <f>N34</f>
        <v>272273.39999999997</v>
      </c>
      <c r="E44" s="334">
        <v>0</v>
      </c>
      <c r="F44" s="335">
        <v>0</v>
      </c>
      <c r="G44" s="280">
        <f t="shared" si="7"/>
        <v>0</v>
      </c>
      <c r="H44" s="281">
        <f t="shared" si="6"/>
        <v>272273.39999999997</v>
      </c>
      <c r="L44" s="305" t="s">
        <v>185</v>
      </c>
      <c r="M44" s="344">
        <v>1000000</v>
      </c>
      <c r="N44" s="304">
        <f t="shared" si="0"/>
        <v>700000</v>
      </c>
      <c r="O44" s="304">
        <f t="shared" si="1"/>
        <v>300000</v>
      </c>
    </row>
    <row r="45" spans="1:15" ht="12.75" customHeight="1" x14ac:dyDescent="0.2">
      <c r="A45" s="841"/>
      <c r="B45" s="272"/>
      <c r="C45" s="273" t="s">
        <v>42</v>
      </c>
      <c r="D45" s="274">
        <f>SUM(D46:D46)</f>
        <v>0</v>
      </c>
      <c r="E45" s="347"/>
      <c r="F45" s="347"/>
      <c r="G45" s="285">
        <f>SUM(G46:G46)</f>
        <v>0</v>
      </c>
      <c r="H45" s="286">
        <f>SUM(H46:H46)</f>
        <v>0</v>
      </c>
      <c r="L45" s="278" t="s">
        <v>177</v>
      </c>
      <c r="M45" s="342">
        <v>0</v>
      </c>
      <c r="N45" s="304">
        <f t="shared" si="0"/>
        <v>0</v>
      </c>
      <c r="O45" s="304">
        <f t="shared" si="1"/>
        <v>0</v>
      </c>
    </row>
    <row r="46" spans="1:15" ht="12.75" customHeight="1" x14ac:dyDescent="0.2">
      <c r="A46" s="841"/>
      <c r="B46" s="287">
        <v>53205990000000</v>
      </c>
      <c r="C46" s="278" t="s">
        <v>44</v>
      </c>
      <c r="D46" s="334">
        <f>N36</f>
        <v>0</v>
      </c>
      <c r="E46" s="334">
        <v>0</v>
      </c>
      <c r="F46" s="335">
        <v>0</v>
      </c>
      <c r="G46" s="280">
        <f t="shared" si="7"/>
        <v>0</v>
      </c>
      <c r="H46" s="281">
        <f t="shared" si="6"/>
        <v>0</v>
      </c>
      <c r="L46" s="273" t="s">
        <v>55</v>
      </c>
      <c r="M46" s="346"/>
      <c r="N46" s="339"/>
      <c r="O46" s="339"/>
    </row>
    <row r="47" spans="1:15" ht="12.75" customHeight="1" x14ac:dyDescent="0.2">
      <c r="A47" s="841"/>
      <c r="B47" s="272"/>
      <c r="C47" s="273" t="s">
        <v>45</v>
      </c>
      <c r="D47" s="274">
        <f>SUM(D48:D55)</f>
        <v>7031500</v>
      </c>
      <c r="E47" s="347"/>
      <c r="F47" s="347"/>
      <c r="G47" s="274">
        <f>SUM(G48:G55)</f>
        <v>0</v>
      </c>
      <c r="H47" s="276">
        <f>SUM(H48:H55)</f>
        <v>7031500</v>
      </c>
      <c r="L47" s="278" t="s">
        <v>56</v>
      </c>
      <c r="M47" s="342">
        <v>0</v>
      </c>
      <c r="N47" s="304">
        <f t="shared" si="0"/>
        <v>0</v>
      </c>
      <c r="O47" s="304">
        <f t="shared" si="1"/>
        <v>0</v>
      </c>
    </row>
    <row r="48" spans="1:15" ht="12.75" customHeight="1" x14ac:dyDescent="0.2">
      <c r="A48" s="841"/>
      <c r="B48" s="277">
        <v>53204010000000</v>
      </c>
      <c r="C48" s="278" t="s">
        <v>47</v>
      </c>
      <c r="D48" s="334">
        <f t="shared" ref="D48:D52" si="8">N38</f>
        <v>210000</v>
      </c>
      <c r="E48" s="334">
        <v>0</v>
      </c>
      <c r="F48" s="335">
        <v>0</v>
      </c>
      <c r="G48" s="334">
        <f t="shared" si="7"/>
        <v>0</v>
      </c>
      <c r="H48" s="281">
        <f t="shared" si="6"/>
        <v>210000</v>
      </c>
      <c r="L48" s="278" t="s">
        <v>57</v>
      </c>
      <c r="M48" s="342">
        <v>480000</v>
      </c>
      <c r="N48" s="304">
        <f t="shared" si="0"/>
        <v>336000</v>
      </c>
      <c r="O48" s="304">
        <f t="shared" si="1"/>
        <v>144000</v>
      </c>
    </row>
    <row r="49" spans="1:15" ht="12.75" customHeight="1" x14ac:dyDescent="0.2">
      <c r="A49" s="841"/>
      <c r="B49" s="287">
        <v>53204040200000</v>
      </c>
      <c r="C49" s="278" t="s">
        <v>211</v>
      </c>
      <c r="D49" s="334">
        <f t="shared" si="8"/>
        <v>0</v>
      </c>
      <c r="E49" s="334">
        <v>0</v>
      </c>
      <c r="F49" s="335">
        <v>0</v>
      </c>
      <c r="G49" s="334">
        <f t="shared" si="7"/>
        <v>0</v>
      </c>
      <c r="H49" s="281">
        <f t="shared" si="6"/>
        <v>0</v>
      </c>
      <c r="L49" s="278" t="s">
        <v>168</v>
      </c>
      <c r="M49" s="342">
        <v>0</v>
      </c>
      <c r="N49" s="304">
        <f t="shared" si="0"/>
        <v>0</v>
      </c>
      <c r="O49" s="304">
        <f t="shared" si="1"/>
        <v>0</v>
      </c>
    </row>
    <row r="50" spans="1:15" ht="12.75" customHeight="1" x14ac:dyDescent="0.2">
      <c r="A50" s="841"/>
      <c r="B50" s="277">
        <v>53204060000000</v>
      </c>
      <c r="C50" s="278" t="s">
        <v>49</v>
      </c>
      <c r="D50" s="334">
        <f t="shared" si="8"/>
        <v>0</v>
      </c>
      <c r="E50" s="334">
        <v>0</v>
      </c>
      <c r="F50" s="335">
        <v>0</v>
      </c>
      <c r="G50" s="334">
        <f t="shared" si="7"/>
        <v>0</v>
      </c>
      <c r="H50" s="281">
        <f t="shared" si="6"/>
        <v>0</v>
      </c>
      <c r="L50" s="278" t="s">
        <v>186</v>
      </c>
      <c r="M50" s="342">
        <f>130000*4</f>
        <v>520000</v>
      </c>
      <c r="N50" s="304">
        <f t="shared" si="0"/>
        <v>364000</v>
      </c>
      <c r="O50" s="304">
        <f t="shared" si="1"/>
        <v>156000</v>
      </c>
    </row>
    <row r="51" spans="1:15" ht="12.75" customHeight="1" x14ac:dyDescent="0.2">
      <c r="A51" s="841"/>
      <c r="B51" s="277">
        <v>53204070000000</v>
      </c>
      <c r="C51" s="278" t="s">
        <v>50</v>
      </c>
      <c r="D51" s="334">
        <f t="shared" si="8"/>
        <v>3447500</v>
      </c>
      <c r="E51" s="334">
        <v>0</v>
      </c>
      <c r="F51" s="335">
        <v>0</v>
      </c>
      <c r="G51" s="334">
        <f t="shared" si="7"/>
        <v>0</v>
      </c>
      <c r="H51" s="281">
        <f t="shared" si="6"/>
        <v>3447500</v>
      </c>
      <c r="L51" s="278" t="s">
        <v>189</v>
      </c>
      <c r="M51" s="342">
        <v>0</v>
      </c>
      <c r="N51" s="304">
        <f t="shared" si="0"/>
        <v>0</v>
      </c>
      <c r="O51" s="304">
        <f t="shared" si="1"/>
        <v>0</v>
      </c>
    </row>
    <row r="52" spans="1:15" ht="12.75" customHeight="1" x14ac:dyDescent="0.2">
      <c r="A52" s="841"/>
      <c r="B52" s="277">
        <v>53204080000000</v>
      </c>
      <c r="C52" s="278" t="s">
        <v>51</v>
      </c>
      <c r="D52" s="334">
        <f t="shared" si="8"/>
        <v>350000</v>
      </c>
      <c r="E52" s="334">
        <v>0</v>
      </c>
      <c r="F52" s="335">
        <v>0</v>
      </c>
      <c r="G52" s="334">
        <f t="shared" si="7"/>
        <v>0</v>
      </c>
      <c r="H52" s="281">
        <f t="shared" si="6"/>
        <v>350000</v>
      </c>
      <c r="L52" s="278" t="s">
        <v>187</v>
      </c>
      <c r="M52" s="342">
        <v>0</v>
      </c>
      <c r="N52" s="304">
        <f t="shared" si="0"/>
        <v>0</v>
      </c>
      <c r="O52" s="304">
        <f t="shared" si="1"/>
        <v>0</v>
      </c>
    </row>
    <row r="53" spans="1:15" ht="12.75" customHeight="1" x14ac:dyDescent="0.2">
      <c r="A53" s="841"/>
      <c r="B53" s="277">
        <v>53214010000000</v>
      </c>
      <c r="C53" s="278" t="s">
        <v>52</v>
      </c>
      <c r="D53" s="336">
        <f>N43</f>
        <v>2324000</v>
      </c>
      <c r="E53" s="336">
        <v>0</v>
      </c>
      <c r="F53" s="335">
        <v>0</v>
      </c>
      <c r="G53" s="334">
        <f t="shared" si="7"/>
        <v>0</v>
      </c>
      <c r="H53" s="281">
        <f t="shared" si="6"/>
        <v>2324000</v>
      </c>
      <c r="L53" s="278" t="s">
        <v>64</v>
      </c>
      <c r="M53" s="342">
        <v>0</v>
      </c>
      <c r="N53" s="304">
        <f t="shared" si="0"/>
        <v>0</v>
      </c>
      <c r="O53" s="304">
        <f t="shared" si="1"/>
        <v>0</v>
      </c>
    </row>
    <row r="54" spans="1:15" ht="12.75" customHeight="1" x14ac:dyDescent="0.2">
      <c r="A54" s="841"/>
      <c r="B54" s="277">
        <v>53214040000000</v>
      </c>
      <c r="C54" s="278" t="s">
        <v>185</v>
      </c>
      <c r="D54" s="336">
        <f>N44</f>
        <v>700000</v>
      </c>
      <c r="E54" s="336">
        <v>0</v>
      </c>
      <c r="F54" s="335">
        <v>0</v>
      </c>
      <c r="G54" s="334">
        <f t="shared" si="7"/>
        <v>0</v>
      </c>
      <c r="H54" s="281">
        <f t="shared" si="6"/>
        <v>700000</v>
      </c>
      <c r="L54" s="273" t="s">
        <v>65</v>
      </c>
      <c r="M54" s="432"/>
      <c r="N54" s="431"/>
      <c r="O54" s="431"/>
    </row>
    <row r="55" spans="1:15" ht="12.75" customHeight="1" x14ac:dyDescent="0.2">
      <c r="A55" s="841"/>
      <c r="B55" s="301">
        <v>53204020100000</v>
      </c>
      <c r="C55" s="278" t="s">
        <v>177</v>
      </c>
      <c r="D55" s="334">
        <f>N45</f>
        <v>0</v>
      </c>
      <c r="E55" s="334">
        <v>0</v>
      </c>
      <c r="F55" s="335">
        <v>0</v>
      </c>
      <c r="G55" s="334">
        <f t="shared" si="7"/>
        <v>0</v>
      </c>
      <c r="H55" s="281">
        <f t="shared" si="6"/>
        <v>0</v>
      </c>
      <c r="L55" s="278" t="s">
        <v>98</v>
      </c>
      <c r="M55" s="342">
        <v>0</v>
      </c>
      <c r="N55" s="304">
        <f t="shared" si="0"/>
        <v>0</v>
      </c>
      <c r="O55" s="304">
        <f t="shared" si="1"/>
        <v>0</v>
      </c>
    </row>
    <row r="56" spans="1:15" ht="12.75" customHeight="1" x14ac:dyDescent="0.2">
      <c r="A56" s="841"/>
      <c r="B56" s="272"/>
      <c r="C56" s="273" t="s">
        <v>55</v>
      </c>
      <c r="D56" s="274">
        <f>SUM(D57:D64)</f>
        <v>700000</v>
      </c>
      <c r="E56" s="347"/>
      <c r="F56" s="347"/>
      <c r="G56" s="274">
        <f>SUM(G57:G64)</f>
        <v>539500</v>
      </c>
      <c r="H56" s="276">
        <f>SUM(H57:H64)</f>
        <v>1239500</v>
      </c>
      <c r="L56" s="278" t="s">
        <v>99</v>
      </c>
      <c r="M56" s="342">
        <v>0</v>
      </c>
      <c r="N56" s="304">
        <f t="shared" si="0"/>
        <v>0</v>
      </c>
      <c r="O56" s="304">
        <f t="shared" si="1"/>
        <v>0</v>
      </c>
    </row>
    <row r="57" spans="1:15" ht="12.75" customHeight="1" x14ac:dyDescent="0.2">
      <c r="A57" s="841"/>
      <c r="B57" s="277">
        <v>53207010000000</v>
      </c>
      <c r="C57" s="278" t="s">
        <v>56</v>
      </c>
      <c r="D57" s="334">
        <f>N47</f>
        <v>0</v>
      </c>
      <c r="E57" s="334">
        <v>0</v>
      </c>
      <c r="F57" s="335">
        <v>0</v>
      </c>
      <c r="G57" s="334">
        <f t="shared" si="7"/>
        <v>0</v>
      </c>
      <c r="H57" s="281">
        <f t="shared" si="6"/>
        <v>0</v>
      </c>
      <c r="L57" s="278" t="s">
        <v>190</v>
      </c>
      <c r="M57" s="342">
        <v>0</v>
      </c>
      <c r="N57" s="304">
        <f t="shared" si="0"/>
        <v>0</v>
      </c>
      <c r="O57" s="304">
        <f t="shared" si="1"/>
        <v>0</v>
      </c>
    </row>
    <row r="58" spans="1:15" ht="12.75" customHeight="1" x14ac:dyDescent="0.2">
      <c r="A58" s="841"/>
      <c r="B58" s="277">
        <v>53207020000000</v>
      </c>
      <c r="C58" s="278" t="s">
        <v>57</v>
      </c>
      <c r="D58" s="334">
        <f t="shared" ref="D58:D60" si="9">N48</f>
        <v>336000</v>
      </c>
      <c r="E58" s="334">
        <v>0</v>
      </c>
      <c r="F58" s="335">
        <v>0</v>
      </c>
      <c r="G58" s="334">
        <f t="shared" si="7"/>
        <v>0</v>
      </c>
      <c r="H58" s="281">
        <f t="shared" si="6"/>
        <v>336000</v>
      </c>
      <c r="L58" s="278" t="s">
        <v>101</v>
      </c>
      <c r="M58" s="342">
        <v>0</v>
      </c>
      <c r="N58" s="304">
        <f t="shared" si="0"/>
        <v>0</v>
      </c>
      <c r="O58" s="304">
        <f t="shared" si="1"/>
        <v>0</v>
      </c>
    </row>
    <row r="59" spans="1:15" ht="12.75" customHeight="1" x14ac:dyDescent="0.2">
      <c r="A59" s="841"/>
      <c r="B59" s="277">
        <v>53208020000000</v>
      </c>
      <c r="C59" s="278" t="s">
        <v>168</v>
      </c>
      <c r="D59" s="334">
        <f t="shared" si="9"/>
        <v>0</v>
      </c>
      <c r="E59" s="334">
        <v>0</v>
      </c>
      <c r="F59" s="335">
        <v>0</v>
      </c>
      <c r="G59" s="334">
        <f t="shared" si="7"/>
        <v>0</v>
      </c>
      <c r="H59" s="281">
        <f t="shared" si="6"/>
        <v>0</v>
      </c>
      <c r="L59" s="305" t="s">
        <v>191</v>
      </c>
      <c r="M59" s="342">
        <v>15000000</v>
      </c>
      <c r="N59" s="304">
        <f t="shared" si="0"/>
        <v>10500000</v>
      </c>
      <c r="O59" s="304">
        <f t="shared" si="1"/>
        <v>4500000</v>
      </c>
    </row>
    <row r="60" spans="1:15" ht="12.75" customHeight="1" x14ac:dyDescent="0.2">
      <c r="A60" s="841"/>
      <c r="B60" s="277">
        <v>53208990000000</v>
      </c>
      <c r="C60" s="278" t="s">
        <v>186</v>
      </c>
      <c r="D60" s="334">
        <f t="shared" si="9"/>
        <v>364000</v>
      </c>
      <c r="E60" s="334">
        <v>0</v>
      </c>
      <c r="F60" s="335">
        <v>0</v>
      </c>
      <c r="G60" s="334">
        <f t="shared" si="7"/>
        <v>0</v>
      </c>
      <c r="H60" s="281">
        <f t="shared" si="6"/>
        <v>364000</v>
      </c>
      <c r="L60" s="278" t="s">
        <v>103</v>
      </c>
      <c r="M60" s="342">
        <v>0</v>
      </c>
      <c r="N60" s="304">
        <f t="shared" si="0"/>
        <v>0</v>
      </c>
      <c r="O60" s="304">
        <f t="shared" si="1"/>
        <v>0</v>
      </c>
    </row>
    <row r="61" spans="1:15" ht="12.75" customHeight="1" x14ac:dyDescent="0.2">
      <c r="A61" s="841"/>
      <c r="B61" s="301">
        <v>53210020300000</v>
      </c>
      <c r="C61" s="278" t="s">
        <v>188</v>
      </c>
      <c r="D61" s="232">
        <v>0</v>
      </c>
      <c r="E61" s="652">
        <v>8300</v>
      </c>
      <c r="F61" s="651">
        <f>+'B) Reajuste Tarifas y Ocupación'!I25</f>
        <v>65</v>
      </c>
      <c r="G61" s="280">
        <f t="shared" si="7"/>
        <v>539500</v>
      </c>
      <c r="H61" s="281">
        <f t="shared" si="6"/>
        <v>539500</v>
      </c>
      <c r="L61" s="278" t="s">
        <v>212</v>
      </c>
      <c r="M61" s="342">
        <v>0</v>
      </c>
      <c r="N61" s="304">
        <f t="shared" si="0"/>
        <v>0</v>
      </c>
      <c r="O61" s="304">
        <f t="shared" si="1"/>
        <v>0</v>
      </c>
    </row>
    <row r="62" spans="1:15" ht="12.75" customHeight="1" x14ac:dyDescent="0.2">
      <c r="A62" s="841"/>
      <c r="B62" s="277">
        <v>53208990000000</v>
      </c>
      <c r="C62" s="278" t="s">
        <v>189</v>
      </c>
      <c r="D62" s="280">
        <f>N51</f>
        <v>0</v>
      </c>
      <c r="E62" s="280">
        <v>0</v>
      </c>
      <c r="F62" s="332">
        <v>0</v>
      </c>
      <c r="G62" s="280">
        <f t="shared" si="7"/>
        <v>0</v>
      </c>
      <c r="H62" s="281">
        <f t="shared" si="6"/>
        <v>0</v>
      </c>
    </row>
    <row r="63" spans="1:15" ht="12.75" customHeight="1" x14ac:dyDescent="0.2">
      <c r="A63" s="841"/>
      <c r="B63" s="277">
        <v>53209990000000</v>
      </c>
      <c r="C63" s="278" t="s">
        <v>187</v>
      </c>
      <c r="D63" s="280">
        <f t="shared" ref="D63" si="10">N52</f>
        <v>0</v>
      </c>
      <c r="E63" s="280">
        <v>0</v>
      </c>
      <c r="F63" s="332">
        <v>0</v>
      </c>
      <c r="G63" s="280">
        <f t="shared" si="7"/>
        <v>0</v>
      </c>
      <c r="H63" s="281">
        <f t="shared" si="6"/>
        <v>0</v>
      </c>
    </row>
    <row r="64" spans="1:15" ht="12.75" customHeight="1" x14ac:dyDescent="0.2">
      <c r="A64" s="841"/>
      <c r="B64" s="277">
        <v>53210020100000</v>
      </c>
      <c r="C64" s="278" t="s">
        <v>64</v>
      </c>
      <c r="D64" s="280">
        <v>0</v>
      </c>
      <c r="E64" s="280">
        <v>0</v>
      </c>
      <c r="F64" s="332">
        <v>0</v>
      </c>
      <c r="G64" s="280">
        <f t="shared" si="7"/>
        <v>0</v>
      </c>
      <c r="H64" s="281">
        <f t="shared" si="6"/>
        <v>0</v>
      </c>
    </row>
    <row r="65" spans="1:10" ht="12.75" customHeight="1" x14ac:dyDescent="0.2">
      <c r="A65" s="841"/>
      <c r="B65" s="272"/>
      <c r="C65" s="273" t="s">
        <v>65</v>
      </c>
      <c r="D65" s="274">
        <f>SUM(D66:D72)</f>
        <v>10500000</v>
      </c>
      <c r="E65" s="347"/>
      <c r="F65" s="347"/>
      <c r="G65" s="274">
        <f>SUM(G66:G72)</f>
        <v>0</v>
      </c>
      <c r="H65" s="276">
        <f>SUM(H66:H72)</f>
        <v>10500000</v>
      </c>
    </row>
    <row r="66" spans="1:10" ht="12.75" customHeight="1" x14ac:dyDescent="0.2">
      <c r="A66" s="841"/>
      <c r="B66" s="277">
        <v>53206030000000</v>
      </c>
      <c r="C66" s="278" t="s">
        <v>98</v>
      </c>
      <c r="D66" s="334">
        <f>N55</f>
        <v>0</v>
      </c>
      <c r="E66" s="334">
        <v>0</v>
      </c>
      <c r="F66" s="335">
        <v>0</v>
      </c>
      <c r="G66" s="280">
        <f t="shared" si="7"/>
        <v>0</v>
      </c>
      <c r="H66" s="281">
        <f t="shared" si="6"/>
        <v>0</v>
      </c>
    </row>
    <row r="67" spans="1:10" ht="12.75" customHeight="1" x14ac:dyDescent="0.2">
      <c r="A67" s="841"/>
      <c r="B67" s="277">
        <v>53206040000000</v>
      </c>
      <c r="C67" s="278" t="s">
        <v>99</v>
      </c>
      <c r="D67" s="334">
        <f t="shared" ref="D67:D72" si="11">N56</f>
        <v>0</v>
      </c>
      <c r="E67" s="334">
        <v>0</v>
      </c>
      <c r="F67" s="335">
        <v>0</v>
      </c>
      <c r="G67" s="280">
        <f t="shared" si="7"/>
        <v>0</v>
      </c>
      <c r="H67" s="281">
        <f t="shared" si="6"/>
        <v>0</v>
      </c>
    </row>
    <row r="68" spans="1:10" ht="12.75" customHeight="1" x14ac:dyDescent="0.2">
      <c r="A68" s="841"/>
      <c r="B68" s="277">
        <v>53206060000000</v>
      </c>
      <c r="C68" s="278" t="s">
        <v>190</v>
      </c>
      <c r="D68" s="334">
        <f t="shared" si="11"/>
        <v>0</v>
      </c>
      <c r="E68" s="334">
        <v>0</v>
      </c>
      <c r="F68" s="335">
        <v>0</v>
      </c>
      <c r="G68" s="280">
        <f t="shared" si="7"/>
        <v>0</v>
      </c>
      <c r="H68" s="281">
        <f t="shared" si="6"/>
        <v>0</v>
      </c>
    </row>
    <row r="69" spans="1:10" ht="12.75" customHeight="1" x14ac:dyDescent="0.2">
      <c r="A69" s="841"/>
      <c r="B69" s="277">
        <v>53206070000000</v>
      </c>
      <c r="C69" s="278" t="s">
        <v>101</v>
      </c>
      <c r="D69" s="334">
        <f t="shared" si="11"/>
        <v>0</v>
      </c>
      <c r="E69" s="334">
        <v>0</v>
      </c>
      <c r="F69" s="335">
        <v>0</v>
      </c>
      <c r="G69" s="280">
        <f t="shared" si="7"/>
        <v>0</v>
      </c>
      <c r="H69" s="281">
        <f t="shared" si="6"/>
        <v>0</v>
      </c>
    </row>
    <row r="70" spans="1:10" ht="12.75" customHeight="1" x14ac:dyDescent="0.2">
      <c r="A70" s="841"/>
      <c r="B70" s="277">
        <v>53206990000000</v>
      </c>
      <c r="C70" s="278" t="s">
        <v>191</v>
      </c>
      <c r="D70" s="334">
        <f t="shared" si="11"/>
        <v>10500000</v>
      </c>
      <c r="E70" s="334">
        <v>0</v>
      </c>
      <c r="F70" s="335">
        <v>0</v>
      </c>
      <c r="G70" s="280">
        <f t="shared" si="7"/>
        <v>0</v>
      </c>
      <c r="H70" s="281">
        <f t="shared" si="6"/>
        <v>10500000</v>
      </c>
    </row>
    <row r="71" spans="1:10" ht="12.75" customHeight="1" x14ac:dyDescent="0.2">
      <c r="A71" s="841"/>
      <c r="B71" s="277">
        <v>53208030000000</v>
      </c>
      <c r="C71" s="278" t="s">
        <v>103</v>
      </c>
      <c r="D71" s="334">
        <f t="shared" si="11"/>
        <v>0</v>
      </c>
      <c r="E71" s="334">
        <v>0</v>
      </c>
      <c r="F71" s="335">
        <v>0</v>
      </c>
      <c r="G71" s="280">
        <f t="shared" si="7"/>
        <v>0</v>
      </c>
      <c r="H71" s="281">
        <f t="shared" si="6"/>
        <v>0</v>
      </c>
      <c r="I71" s="675"/>
      <c r="J71" s="675"/>
    </row>
    <row r="72" spans="1:10" ht="12.75" customHeight="1" x14ac:dyDescent="0.2">
      <c r="A72" s="841"/>
      <c r="B72" s="277">
        <v>53206990000000</v>
      </c>
      <c r="C72" s="278" t="s">
        <v>212</v>
      </c>
      <c r="D72" s="334">
        <f t="shared" si="11"/>
        <v>0</v>
      </c>
      <c r="E72" s="334">
        <v>0</v>
      </c>
      <c r="F72" s="335">
        <v>0</v>
      </c>
      <c r="G72" s="280">
        <f t="shared" si="7"/>
        <v>0</v>
      </c>
      <c r="H72" s="281">
        <f>D72+G72</f>
        <v>0</v>
      </c>
    </row>
    <row r="73" spans="1:10" ht="12.75" customHeight="1" x14ac:dyDescent="0.2">
      <c r="A73" s="841"/>
      <c r="B73" s="272"/>
      <c r="C73" s="273" t="s">
        <v>66</v>
      </c>
      <c r="D73" s="274">
        <f>SUM(D74:D74)</f>
        <v>0</v>
      </c>
      <c r="E73" s="347"/>
      <c r="F73" s="347"/>
      <c r="G73" s="274">
        <f>SUM(G74:G74)</f>
        <v>227500</v>
      </c>
      <c r="H73" s="276">
        <f>SUM(H74:H74)</f>
        <v>227500</v>
      </c>
    </row>
    <row r="74" spans="1:10" ht="12.75" customHeight="1" x14ac:dyDescent="0.2">
      <c r="A74" s="841"/>
      <c r="B74" s="302"/>
      <c r="C74" s="290" t="s">
        <v>213</v>
      </c>
      <c r="D74" s="187"/>
      <c r="E74" s="187">
        <v>3500</v>
      </c>
      <c r="F74" s="330">
        <f>+'B) Reajuste Tarifas y Ocupación'!I25</f>
        <v>65</v>
      </c>
      <c r="G74" s="280">
        <f t="shared" si="7"/>
        <v>227500</v>
      </c>
      <c r="H74" s="291">
        <f t="shared" si="6"/>
        <v>227500</v>
      </c>
      <c r="I74" s="476" t="s">
        <v>214</v>
      </c>
      <c r="J74" s="288">
        <f>+H72+H71+H70+H69+H68+H67+H66+H64+H63+H62+H61+H60+H59+H58+H57+H55+H52+H51+H50+H49+H48+H46+H44+H43+H37+H36+H35+H33+H32+H31+H30+H29+H28+H27+H26+H25+H24+H23</f>
        <v>23542873.399999999</v>
      </c>
    </row>
    <row r="75" spans="1:10" collapsed="1" x14ac:dyDescent="0.2">
      <c r="A75" s="841"/>
      <c r="B75" s="303"/>
      <c r="C75" s="292" t="s">
        <v>104</v>
      </c>
      <c r="D75" s="293">
        <f>SUM(D12,D39)</f>
        <v>62290709.93</v>
      </c>
      <c r="E75" s="294"/>
      <c r="F75" s="294"/>
      <c r="G75" s="293">
        <f>SUM(G12,G39)</f>
        <v>19857260</v>
      </c>
      <c r="H75" s="289">
        <f>SUM(H12,H39)</f>
        <v>83485969.930000007</v>
      </c>
      <c r="I75" s="475" t="s">
        <v>215</v>
      </c>
      <c r="J75" s="295">
        <f>+H75-J74</f>
        <v>59943096.530000009</v>
      </c>
    </row>
    <row r="76" spans="1:10" ht="15.75" customHeight="1" x14ac:dyDescent="0.2">
      <c r="A76" s="841" t="s">
        <v>228</v>
      </c>
      <c r="B76" s="300"/>
      <c r="C76" s="268" t="s">
        <v>11</v>
      </c>
      <c r="D76" s="269">
        <f>SUM(D77+D82)</f>
        <v>27608475.289999999</v>
      </c>
      <c r="E76" s="329"/>
      <c r="F76" s="329"/>
      <c r="G76" s="270">
        <f>SUM(G77,G82)</f>
        <v>4948412</v>
      </c>
      <c r="H76" s="271">
        <f>SUM(H77,H82)</f>
        <v>32556887.289999999</v>
      </c>
    </row>
    <row r="77" spans="1:10" ht="12.75" customHeight="1" x14ac:dyDescent="0.2">
      <c r="A77" s="841"/>
      <c r="B77" s="272"/>
      <c r="C77" s="273" t="s">
        <v>12</v>
      </c>
      <c r="D77" s="274">
        <f>SUM(D78:D81)</f>
        <v>24084075.289999999</v>
      </c>
      <c r="E77" s="347"/>
      <c r="F77" s="347"/>
      <c r="G77" s="275">
        <f>SUM(G78:G81)</f>
        <v>0</v>
      </c>
      <c r="H77" s="276">
        <f>SUM(H78:H81)</f>
        <v>24084075.289999999</v>
      </c>
    </row>
    <row r="78" spans="1:10" ht="12.75" customHeight="1" x14ac:dyDescent="0.2">
      <c r="A78" s="841"/>
      <c r="B78" s="277">
        <v>53103040100000</v>
      </c>
      <c r="C78" s="278" t="s">
        <v>94</v>
      </c>
      <c r="D78" s="279">
        <f>+'F) Remuneraciones'!L23</f>
        <v>24084075.289999999</v>
      </c>
      <c r="E78" s="280">
        <v>0</v>
      </c>
      <c r="F78" s="333">
        <v>0</v>
      </c>
      <c r="G78" s="280">
        <f>E78*F78</f>
        <v>0</v>
      </c>
      <c r="H78" s="281">
        <f>D78+G78</f>
        <v>24084075.289999999</v>
      </c>
    </row>
    <row r="79" spans="1:10" ht="12.75" customHeight="1" x14ac:dyDescent="0.2">
      <c r="A79" s="841"/>
      <c r="B79" s="277">
        <v>53103050000000</v>
      </c>
      <c r="C79" s="278" t="s">
        <v>169</v>
      </c>
      <c r="D79" s="187">
        <v>0</v>
      </c>
      <c r="E79" s="189">
        <v>0</v>
      </c>
      <c r="F79" s="188">
        <v>0</v>
      </c>
      <c r="G79" s="280">
        <f>E79*F79</f>
        <v>0</v>
      </c>
      <c r="H79" s="281">
        <f>D79+G79</f>
        <v>0</v>
      </c>
    </row>
    <row r="80" spans="1:10" ht="12.75" customHeight="1" x14ac:dyDescent="0.2">
      <c r="A80" s="841"/>
      <c r="B80" s="301">
        <v>53103040400000</v>
      </c>
      <c r="C80" s="282" t="s">
        <v>170</v>
      </c>
      <c r="D80" s="187">
        <v>0</v>
      </c>
      <c r="E80" s="189">
        <v>0</v>
      </c>
      <c r="F80" s="188">
        <v>0</v>
      </c>
      <c r="G80" s="280">
        <f>E80*F80</f>
        <v>0</v>
      </c>
      <c r="H80" s="281">
        <f>D80+G80</f>
        <v>0</v>
      </c>
    </row>
    <row r="81" spans="1:8" ht="12.75" customHeight="1" x14ac:dyDescent="0.2">
      <c r="A81" s="841"/>
      <c r="B81" s="277">
        <v>53103080010000</v>
      </c>
      <c r="C81" s="278" t="s">
        <v>171</v>
      </c>
      <c r="D81" s="187">
        <v>0</v>
      </c>
      <c r="E81" s="189">
        <v>0</v>
      </c>
      <c r="F81" s="188">
        <v>0</v>
      </c>
      <c r="G81" s="280">
        <f>E81*F81</f>
        <v>0</v>
      </c>
      <c r="H81" s="281">
        <f>D81+G81</f>
        <v>0</v>
      </c>
    </row>
    <row r="82" spans="1:8" ht="12.75" customHeight="1" x14ac:dyDescent="0.2">
      <c r="A82" s="841"/>
      <c r="B82" s="272"/>
      <c r="C82" s="273" t="s">
        <v>16</v>
      </c>
      <c r="D82" s="274">
        <f>SUM(D83:D102)</f>
        <v>3524400</v>
      </c>
      <c r="E82" s="347"/>
      <c r="F82" s="347"/>
      <c r="G82" s="274">
        <f>SUM(G83:G102)</f>
        <v>4948412</v>
      </c>
      <c r="H82" s="276">
        <f>SUM(H83:H102)</f>
        <v>8472812</v>
      </c>
    </row>
    <row r="83" spans="1:8" ht="12.75" customHeight="1" x14ac:dyDescent="0.2">
      <c r="A83" s="841"/>
      <c r="B83" s="277">
        <v>53201010100000</v>
      </c>
      <c r="C83" s="283" t="s">
        <v>172</v>
      </c>
      <c r="D83" s="187">
        <v>0</v>
      </c>
      <c r="E83" s="189">
        <v>2360</v>
      </c>
      <c r="F83" s="188">
        <f>(1*11*21)+(1*10)</f>
        <v>241</v>
      </c>
      <c r="G83" s="280">
        <f t="shared" ref="G83:G102" si="12">E83*F83</f>
        <v>568760</v>
      </c>
      <c r="H83" s="281">
        <f t="shared" ref="H83:H86" si="13">D83+G83</f>
        <v>568760</v>
      </c>
    </row>
    <row r="84" spans="1:8" ht="12.75" customHeight="1" x14ac:dyDescent="0.2">
      <c r="A84" s="841"/>
      <c r="B84" s="277">
        <v>53201010100000</v>
      </c>
      <c r="C84" s="283" t="s">
        <v>173</v>
      </c>
      <c r="D84" s="187">
        <v>0</v>
      </c>
      <c r="E84" s="189">
        <v>2166</v>
      </c>
      <c r="F84" s="188">
        <f>(9*10*22)+(2*21)</f>
        <v>2022</v>
      </c>
      <c r="G84" s="280">
        <f t="shared" si="12"/>
        <v>4379652</v>
      </c>
      <c r="H84" s="281">
        <f t="shared" si="13"/>
        <v>4379652</v>
      </c>
    </row>
    <row r="85" spans="1:8" ht="12.75" customHeight="1" x14ac:dyDescent="0.2">
      <c r="A85" s="841"/>
      <c r="B85" s="277">
        <v>53201010100000</v>
      </c>
      <c r="C85" s="283" t="s">
        <v>174</v>
      </c>
      <c r="D85" s="187">
        <v>0</v>
      </c>
      <c r="E85" s="189">
        <v>0</v>
      </c>
      <c r="F85" s="188">
        <v>0</v>
      </c>
      <c r="G85" s="280">
        <f t="shared" si="12"/>
        <v>0</v>
      </c>
      <c r="H85" s="281">
        <f t="shared" si="13"/>
        <v>0</v>
      </c>
    </row>
    <row r="86" spans="1:8" ht="12.75" customHeight="1" x14ac:dyDescent="0.2">
      <c r="A86" s="841"/>
      <c r="B86" s="277">
        <v>53202010100000</v>
      </c>
      <c r="C86" s="278" t="s">
        <v>175</v>
      </c>
      <c r="D86" s="280">
        <f>+O14</f>
        <v>180000</v>
      </c>
      <c r="E86" s="280">
        <v>0</v>
      </c>
      <c r="F86" s="332">
        <v>0</v>
      </c>
      <c r="G86" s="280">
        <f t="shared" si="12"/>
        <v>0</v>
      </c>
      <c r="H86" s="281">
        <f t="shared" si="13"/>
        <v>180000</v>
      </c>
    </row>
    <row r="87" spans="1:8" ht="12.75" customHeight="1" x14ac:dyDescent="0.2">
      <c r="A87" s="841"/>
      <c r="B87" s="277">
        <v>53203010100000</v>
      </c>
      <c r="C87" s="278" t="s">
        <v>19</v>
      </c>
      <c r="D87" s="280">
        <f t="shared" ref="D87:D102" si="14">+O15</f>
        <v>0</v>
      </c>
      <c r="E87" s="280">
        <v>0</v>
      </c>
      <c r="F87" s="332">
        <v>0</v>
      </c>
      <c r="G87" s="280">
        <f t="shared" si="12"/>
        <v>0</v>
      </c>
      <c r="H87" s="281">
        <f>D87+G87</f>
        <v>0</v>
      </c>
    </row>
    <row r="88" spans="1:8" ht="12.75" customHeight="1" x14ac:dyDescent="0.2">
      <c r="A88" s="841"/>
      <c r="B88" s="277">
        <v>53203030000000</v>
      </c>
      <c r="C88" s="278" t="s">
        <v>176</v>
      </c>
      <c r="D88" s="280">
        <f t="shared" si="14"/>
        <v>0</v>
      </c>
      <c r="E88" s="280">
        <v>0</v>
      </c>
      <c r="F88" s="332">
        <v>0</v>
      </c>
      <c r="G88" s="280">
        <f t="shared" si="12"/>
        <v>0</v>
      </c>
      <c r="H88" s="281">
        <f t="shared" ref="H88" si="15">D88+G88</f>
        <v>0</v>
      </c>
    </row>
    <row r="89" spans="1:8" ht="12.75" customHeight="1" x14ac:dyDescent="0.2">
      <c r="A89" s="841"/>
      <c r="B89" s="277">
        <v>53204030000000</v>
      </c>
      <c r="C89" s="278" t="s">
        <v>210</v>
      </c>
      <c r="D89" s="280">
        <f t="shared" si="14"/>
        <v>36000</v>
      </c>
      <c r="E89" s="280">
        <v>0</v>
      </c>
      <c r="F89" s="332">
        <v>0</v>
      </c>
      <c r="G89" s="280">
        <f t="shared" si="12"/>
        <v>0</v>
      </c>
      <c r="H89" s="281">
        <f>D89+G89</f>
        <v>36000</v>
      </c>
    </row>
    <row r="90" spans="1:8" ht="12.75" customHeight="1" x14ac:dyDescent="0.2">
      <c r="A90" s="841"/>
      <c r="B90" s="277">
        <v>53204100100001</v>
      </c>
      <c r="C90" s="278" t="s">
        <v>22</v>
      </c>
      <c r="D90" s="280">
        <f>+O18</f>
        <v>0</v>
      </c>
      <c r="E90" s="280">
        <v>0</v>
      </c>
      <c r="F90" s="332">
        <v>0</v>
      </c>
      <c r="G90" s="280">
        <f t="shared" si="12"/>
        <v>0</v>
      </c>
      <c r="H90" s="281">
        <f t="shared" ref="H90:H102" si="16">D90+G90</f>
        <v>0</v>
      </c>
    </row>
    <row r="91" spans="1:8" ht="12.75" customHeight="1" x14ac:dyDescent="0.2">
      <c r="A91" s="841"/>
      <c r="B91" s="277">
        <v>53204130100000</v>
      </c>
      <c r="C91" s="278" t="s">
        <v>178</v>
      </c>
      <c r="D91" s="280">
        <f t="shared" si="14"/>
        <v>0</v>
      </c>
      <c r="E91" s="280">
        <v>0</v>
      </c>
      <c r="F91" s="332">
        <v>0</v>
      </c>
      <c r="G91" s="280">
        <f t="shared" si="12"/>
        <v>0</v>
      </c>
      <c r="H91" s="281">
        <f t="shared" si="16"/>
        <v>0</v>
      </c>
    </row>
    <row r="92" spans="1:8" ht="12.75" customHeight="1" x14ac:dyDescent="0.2">
      <c r="A92" s="841"/>
      <c r="B92" s="277">
        <v>53205010100000</v>
      </c>
      <c r="C92" s="278" t="s">
        <v>24</v>
      </c>
      <c r="D92" s="280">
        <f t="shared" si="14"/>
        <v>648000</v>
      </c>
      <c r="E92" s="280">
        <v>0</v>
      </c>
      <c r="F92" s="332">
        <v>0</v>
      </c>
      <c r="G92" s="280">
        <f t="shared" si="12"/>
        <v>0</v>
      </c>
      <c r="H92" s="281">
        <f t="shared" si="16"/>
        <v>648000</v>
      </c>
    </row>
    <row r="93" spans="1:8" ht="12.75" customHeight="1" x14ac:dyDescent="0.2">
      <c r="A93" s="841"/>
      <c r="B93" s="277">
        <v>53205020100000</v>
      </c>
      <c r="C93" s="278" t="s">
        <v>25</v>
      </c>
      <c r="D93" s="280">
        <f t="shared" si="14"/>
        <v>860400</v>
      </c>
      <c r="E93" s="280">
        <v>0</v>
      </c>
      <c r="F93" s="332">
        <v>0</v>
      </c>
      <c r="G93" s="280">
        <f t="shared" si="12"/>
        <v>0</v>
      </c>
      <c r="H93" s="281">
        <f t="shared" si="16"/>
        <v>860400</v>
      </c>
    </row>
    <row r="94" spans="1:8" ht="12.75" customHeight="1" x14ac:dyDescent="0.2">
      <c r="A94" s="841"/>
      <c r="B94" s="277">
        <v>53205030100000</v>
      </c>
      <c r="C94" s="278" t="s">
        <v>26</v>
      </c>
      <c r="D94" s="280">
        <f t="shared" si="14"/>
        <v>144000</v>
      </c>
      <c r="E94" s="280">
        <v>0</v>
      </c>
      <c r="F94" s="332">
        <v>0</v>
      </c>
      <c r="G94" s="280">
        <f t="shared" si="12"/>
        <v>0</v>
      </c>
      <c r="H94" s="281">
        <f t="shared" si="16"/>
        <v>144000</v>
      </c>
    </row>
    <row r="95" spans="1:8" ht="12.75" customHeight="1" x14ac:dyDescent="0.2">
      <c r="A95" s="841"/>
      <c r="B95" s="277">
        <v>53205050100000</v>
      </c>
      <c r="C95" s="278" t="s">
        <v>27</v>
      </c>
      <c r="D95" s="280">
        <f t="shared" si="14"/>
        <v>0</v>
      </c>
      <c r="E95" s="280">
        <v>0</v>
      </c>
      <c r="F95" s="332">
        <v>0</v>
      </c>
      <c r="G95" s="280">
        <f t="shared" si="12"/>
        <v>0</v>
      </c>
      <c r="H95" s="281">
        <f t="shared" si="16"/>
        <v>0</v>
      </c>
    </row>
    <row r="96" spans="1:8" ht="12.75" customHeight="1" x14ac:dyDescent="0.2">
      <c r="A96" s="841"/>
      <c r="B96" s="277">
        <v>53205070100000</v>
      </c>
      <c r="C96" s="278" t="s">
        <v>29</v>
      </c>
      <c r="D96" s="280">
        <f t="shared" si="14"/>
        <v>216000</v>
      </c>
      <c r="E96" s="280">
        <v>0</v>
      </c>
      <c r="F96" s="332">
        <v>0</v>
      </c>
      <c r="G96" s="280">
        <f t="shared" si="12"/>
        <v>0</v>
      </c>
      <c r="H96" s="281">
        <f t="shared" si="16"/>
        <v>216000</v>
      </c>
    </row>
    <row r="97" spans="1:8" ht="12.75" customHeight="1" x14ac:dyDescent="0.2">
      <c r="A97" s="841"/>
      <c r="B97" s="277">
        <v>53208010100000</v>
      </c>
      <c r="C97" s="278" t="s">
        <v>30</v>
      </c>
      <c r="D97" s="280">
        <f t="shared" si="14"/>
        <v>0</v>
      </c>
      <c r="E97" s="280">
        <v>0</v>
      </c>
      <c r="F97" s="332">
        <v>0</v>
      </c>
      <c r="G97" s="280">
        <f t="shared" si="12"/>
        <v>0</v>
      </c>
      <c r="H97" s="281">
        <f t="shared" si="16"/>
        <v>0</v>
      </c>
    </row>
    <row r="98" spans="1:8" ht="12.75" customHeight="1" x14ac:dyDescent="0.2">
      <c r="A98" s="841"/>
      <c r="B98" s="277">
        <v>53208070100001</v>
      </c>
      <c r="C98" s="278" t="s">
        <v>31</v>
      </c>
      <c r="D98" s="280">
        <f t="shared" si="14"/>
        <v>120000</v>
      </c>
      <c r="E98" s="280">
        <v>0</v>
      </c>
      <c r="F98" s="332">
        <v>0</v>
      </c>
      <c r="G98" s="280">
        <f t="shared" si="12"/>
        <v>0</v>
      </c>
      <c r="H98" s="281">
        <f t="shared" si="16"/>
        <v>120000</v>
      </c>
    </row>
    <row r="99" spans="1:8" ht="12.75" customHeight="1" x14ac:dyDescent="0.2">
      <c r="A99" s="841"/>
      <c r="B99" s="277">
        <v>53208100100001</v>
      </c>
      <c r="C99" s="278" t="s">
        <v>179</v>
      </c>
      <c r="D99" s="280">
        <f t="shared" si="14"/>
        <v>0</v>
      </c>
      <c r="E99" s="280">
        <v>0</v>
      </c>
      <c r="F99" s="332">
        <v>0</v>
      </c>
      <c r="G99" s="280">
        <f t="shared" si="12"/>
        <v>0</v>
      </c>
      <c r="H99" s="281">
        <f t="shared" si="16"/>
        <v>0</v>
      </c>
    </row>
    <row r="100" spans="1:8" ht="12.75" customHeight="1" x14ac:dyDescent="0.2">
      <c r="A100" s="841"/>
      <c r="B100" s="277">
        <v>53211030000000</v>
      </c>
      <c r="C100" s="278" t="s">
        <v>32</v>
      </c>
      <c r="D100" s="280">
        <f t="shared" si="14"/>
        <v>0</v>
      </c>
      <c r="E100" s="280">
        <v>0</v>
      </c>
      <c r="F100" s="332">
        <v>0</v>
      </c>
      <c r="G100" s="280">
        <f t="shared" si="12"/>
        <v>0</v>
      </c>
      <c r="H100" s="281">
        <f t="shared" si="16"/>
        <v>0</v>
      </c>
    </row>
    <row r="101" spans="1:8" ht="12.75" customHeight="1" x14ac:dyDescent="0.2">
      <c r="A101" s="841"/>
      <c r="B101" s="277">
        <v>53212020100000</v>
      </c>
      <c r="C101" s="278" t="s">
        <v>180</v>
      </c>
      <c r="D101" s="280">
        <f t="shared" si="14"/>
        <v>1320000</v>
      </c>
      <c r="E101" s="280">
        <v>0</v>
      </c>
      <c r="F101" s="332">
        <v>0</v>
      </c>
      <c r="G101" s="280">
        <f t="shared" si="12"/>
        <v>0</v>
      </c>
      <c r="H101" s="281">
        <f t="shared" si="16"/>
        <v>1320000</v>
      </c>
    </row>
    <row r="102" spans="1:8" ht="12.75" customHeight="1" x14ac:dyDescent="0.2">
      <c r="A102" s="841"/>
      <c r="B102" s="277">
        <v>53214020000000</v>
      </c>
      <c r="C102" s="278" t="s">
        <v>181</v>
      </c>
      <c r="D102" s="280">
        <f t="shared" si="14"/>
        <v>0</v>
      </c>
      <c r="E102" s="280">
        <v>0</v>
      </c>
      <c r="F102" s="332">
        <v>0</v>
      </c>
      <c r="G102" s="280">
        <f t="shared" si="12"/>
        <v>0</v>
      </c>
      <c r="H102" s="281">
        <f t="shared" si="16"/>
        <v>0</v>
      </c>
    </row>
    <row r="103" spans="1:8" ht="15.75" customHeight="1" x14ac:dyDescent="0.2">
      <c r="A103" s="841"/>
      <c r="B103" s="300"/>
      <c r="C103" s="268" t="s">
        <v>34</v>
      </c>
      <c r="D103" s="284">
        <f>SUM(D104,D109,D111,D120,D129,D137)</f>
        <v>7930188.5999999996</v>
      </c>
      <c r="E103" s="348"/>
      <c r="F103" s="348"/>
      <c r="G103" s="269"/>
      <c r="H103" s="284">
        <f>SUM(H104,H109,H111,H120,H129,H137)</f>
        <v>8241288.5999999996</v>
      </c>
    </row>
    <row r="104" spans="1:8" ht="12.75" customHeight="1" x14ac:dyDescent="0.2">
      <c r="A104" s="841"/>
      <c r="B104" s="272"/>
      <c r="C104" s="273" t="s">
        <v>35</v>
      </c>
      <c r="D104" s="274">
        <f>SUM(D105:D108)</f>
        <v>116688.59999999999</v>
      </c>
      <c r="E104" s="347"/>
      <c r="F104" s="347"/>
      <c r="G104" s="274">
        <f>SUM(G105:G108)</f>
        <v>169500</v>
      </c>
      <c r="H104" s="274">
        <f>SUM(H105:H108)</f>
        <v>286188.59999999998</v>
      </c>
    </row>
    <row r="105" spans="1:8" ht="12.75" customHeight="1" x14ac:dyDescent="0.2">
      <c r="A105" s="841"/>
      <c r="B105" s="277">
        <v>53202020100000</v>
      </c>
      <c r="C105" s="278" t="s">
        <v>182</v>
      </c>
      <c r="D105" s="187">
        <v>0</v>
      </c>
      <c r="E105" s="189">
        <v>36500</v>
      </c>
      <c r="F105" s="674">
        <v>3</v>
      </c>
      <c r="G105" s="280">
        <f>E105*F105</f>
        <v>109500</v>
      </c>
      <c r="H105" s="281">
        <f t="shared" ref="H105:H108" si="17">D105+G105</f>
        <v>109500</v>
      </c>
    </row>
    <row r="106" spans="1:8" ht="12.75" customHeight="1" x14ac:dyDescent="0.2">
      <c r="A106" s="841"/>
      <c r="B106" s="277">
        <v>53202030000000</v>
      </c>
      <c r="C106" s="278" t="s">
        <v>231</v>
      </c>
      <c r="D106" s="187">
        <v>0</v>
      </c>
      <c r="E106" s="189">
        <v>60000</v>
      </c>
      <c r="F106" s="674">
        <v>1</v>
      </c>
      <c r="G106" s="280">
        <f t="shared" ref="G106:G108" si="18">E106*F106</f>
        <v>60000</v>
      </c>
      <c r="H106" s="281">
        <f t="shared" si="17"/>
        <v>60000</v>
      </c>
    </row>
    <row r="107" spans="1:8" ht="12.75" customHeight="1" x14ac:dyDescent="0.2">
      <c r="A107" s="841"/>
      <c r="B107" s="277">
        <v>53211020000000</v>
      </c>
      <c r="C107" s="278" t="s">
        <v>41</v>
      </c>
      <c r="D107" s="334">
        <f>O33</f>
        <v>0</v>
      </c>
      <c r="E107" s="334">
        <v>0</v>
      </c>
      <c r="F107" s="335">
        <v>0</v>
      </c>
      <c r="G107" s="280">
        <f t="shared" si="18"/>
        <v>0</v>
      </c>
      <c r="H107" s="281">
        <f t="shared" si="17"/>
        <v>0</v>
      </c>
    </row>
    <row r="108" spans="1:8" ht="12.75" customHeight="1" x14ac:dyDescent="0.2">
      <c r="A108" s="841"/>
      <c r="B108" s="277">
        <v>53101040600000</v>
      </c>
      <c r="C108" s="278" t="s">
        <v>184</v>
      </c>
      <c r="D108" s="334">
        <f>O34</f>
        <v>116688.59999999999</v>
      </c>
      <c r="E108" s="334">
        <v>0</v>
      </c>
      <c r="F108" s="335">
        <v>0</v>
      </c>
      <c r="G108" s="280">
        <f t="shared" si="18"/>
        <v>0</v>
      </c>
      <c r="H108" s="281">
        <f t="shared" si="17"/>
        <v>116688.59999999999</v>
      </c>
    </row>
    <row r="109" spans="1:8" ht="12.75" customHeight="1" x14ac:dyDescent="0.2">
      <c r="A109" s="841"/>
      <c r="B109" s="272"/>
      <c r="C109" s="273" t="s">
        <v>42</v>
      </c>
      <c r="D109" s="274">
        <f>SUM(D110:D110)</f>
        <v>0</v>
      </c>
      <c r="E109" s="347"/>
      <c r="F109" s="347"/>
      <c r="G109" s="285">
        <f>SUM(G110:G110)</f>
        <v>0</v>
      </c>
      <c r="H109" s="286">
        <f>SUM(H110:H110)</f>
        <v>0</v>
      </c>
    </row>
    <row r="110" spans="1:8" ht="12.75" customHeight="1" x14ac:dyDescent="0.2">
      <c r="A110" s="841"/>
      <c r="B110" s="287">
        <v>53205990000000</v>
      </c>
      <c r="C110" s="278" t="s">
        <v>44</v>
      </c>
      <c r="D110" s="334">
        <f>O36</f>
        <v>0</v>
      </c>
      <c r="E110" s="334">
        <v>0</v>
      </c>
      <c r="F110" s="335">
        <v>0</v>
      </c>
      <c r="G110" s="280">
        <f t="shared" ref="G110" si="19">E110*F110</f>
        <v>0</v>
      </c>
      <c r="H110" s="281">
        <f t="shared" ref="H110" si="20">D110+G110</f>
        <v>0</v>
      </c>
    </row>
    <row r="111" spans="1:8" ht="12.75" customHeight="1" x14ac:dyDescent="0.2">
      <c r="A111" s="841"/>
      <c r="B111" s="272"/>
      <c r="C111" s="273" t="s">
        <v>45</v>
      </c>
      <c r="D111" s="274">
        <f>SUM(D112:D119)</f>
        <v>3013500</v>
      </c>
      <c r="E111" s="347"/>
      <c r="F111" s="347"/>
      <c r="G111" s="274">
        <f>SUM(G112:G119)</f>
        <v>0</v>
      </c>
      <c r="H111" s="276">
        <f>SUM(H112:H119)</f>
        <v>3013500</v>
      </c>
    </row>
    <row r="112" spans="1:8" ht="12.75" customHeight="1" x14ac:dyDescent="0.2">
      <c r="A112" s="841"/>
      <c r="B112" s="277">
        <v>53204010000000</v>
      </c>
      <c r="C112" s="278" t="s">
        <v>47</v>
      </c>
      <c r="D112" s="334">
        <f>+O38</f>
        <v>90000</v>
      </c>
      <c r="E112" s="334">
        <v>0</v>
      </c>
      <c r="F112" s="335">
        <v>0</v>
      </c>
      <c r="G112" s="334">
        <f t="shared" ref="G112:G119" si="21">E112*F112</f>
        <v>0</v>
      </c>
      <c r="H112" s="281">
        <f t="shared" ref="H112:H119" si="22">D112+G112</f>
        <v>90000</v>
      </c>
    </row>
    <row r="113" spans="1:8" ht="12.75" customHeight="1" x14ac:dyDescent="0.2">
      <c r="A113" s="841"/>
      <c r="B113" s="287">
        <v>53204040200000</v>
      </c>
      <c r="C113" s="278" t="s">
        <v>211</v>
      </c>
      <c r="D113" s="334">
        <f t="shared" ref="D113:D119" si="23">+O39</f>
        <v>0</v>
      </c>
      <c r="E113" s="334">
        <v>0</v>
      </c>
      <c r="F113" s="335">
        <v>0</v>
      </c>
      <c r="G113" s="334">
        <f t="shared" si="21"/>
        <v>0</v>
      </c>
      <c r="H113" s="281">
        <f t="shared" si="22"/>
        <v>0</v>
      </c>
    </row>
    <row r="114" spans="1:8" ht="12.75" customHeight="1" x14ac:dyDescent="0.2">
      <c r="A114" s="841"/>
      <c r="B114" s="277">
        <v>53204060000000</v>
      </c>
      <c r="C114" s="278" t="s">
        <v>49</v>
      </c>
      <c r="D114" s="334">
        <f t="shared" si="23"/>
        <v>0</v>
      </c>
      <c r="E114" s="334">
        <v>0</v>
      </c>
      <c r="F114" s="335">
        <v>0</v>
      </c>
      <c r="G114" s="334">
        <f t="shared" si="21"/>
        <v>0</v>
      </c>
      <c r="H114" s="281">
        <f t="shared" si="22"/>
        <v>0</v>
      </c>
    </row>
    <row r="115" spans="1:8" ht="12.75" customHeight="1" x14ac:dyDescent="0.2">
      <c r="A115" s="841"/>
      <c r="B115" s="277">
        <v>53204070000000</v>
      </c>
      <c r="C115" s="278" t="s">
        <v>50</v>
      </c>
      <c r="D115" s="334">
        <f t="shared" si="23"/>
        <v>1477500</v>
      </c>
      <c r="E115" s="334">
        <v>0</v>
      </c>
      <c r="F115" s="335">
        <v>0</v>
      </c>
      <c r="G115" s="334">
        <f t="shared" si="21"/>
        <v>0</v>
      </c>
      <c r="H115" s="281">
        <f t="shared" si="22"/>
        <v>1477500</v>
      </c>
    </row>
    <row r="116" spans="1:8" ht="12.75" customHeight="1" x14ac:dyDescent="0.2">
      <c r="A116" s="841"/>
      <c r="B116" s="277">
        <v>53204080000000</v>
      </c>
      <c r="C116" s="278" t="s">
        <v>51</v>
      </c>
      <c r="D116" s="334">
        <f t="shared" si="23"/>
        <v>150000</v>
      </c>
      <c r="E116" s="334">
        <v>0</v>
      </c>
      <c r="F116" s="335">
        <v>0</v>
      </c>
      <c r="G116" s="334">
        <f t="shared" si="21"/>
        <v>0</v>
      </c>
      <c r="H116" s="281">
        <f t="shared" si="22"/>
        <v>150000</v>
      </c>
    </row>
    <row r="117" spans="1:8" ht="12.75" customHeight="1" x14ac:dyDescent="0.2">
      <c r="A117" s="841"/>
      <c r="B117" s="277">
        <v>53214010000000</v>
      </c>
      <c r="C117" s="278" t="s">
        <v>52</v>
      </c>
      <c r="D117" s="334">
        <f t="shared" si="23"/>
        <v>996000</v>
      </c>
      <c r="E117" s="336">
        <v>0</v>
      </c>
      <c r="F117" s="335">
        <v>0</v>
      </c>
      <c r="G117" s="334">
        <f t="shared" si="21"/>
        <v>0</v>
      </c>
      <c r="H117" s="281">
        <f t="shared" si="22"/>
        <v>996000</v>
      </c>
    </row>
    <row r="118" spans="1:8" ht="12.75" customHeight="1" x14ac:dyDescent="0.2">
      <c r="A118" s="841"/>
      <c r="B118" s="277">
        <v>53214040000000</v>
      </c>
      <c r="C118" s="278" t="s">
        <v>185</v>
      </c>
      <c r="D118" s="334">
        <f t="shared" si="23"/>
        <v>300000</v>
      </c>
      <c r="E118" s="336">
        <v>0</v>
      </c>
      <c r="F118" s="335">
        <v>0</v>
      </c>
      <c r="G118" s="334">
        <f t="shared" si="21"/>
        <v>0</v>
      </c>
      <c r="H118" s="281">
        <f t="shared" si="22"/>
        <v>300000</v>
      </c>
    </row>
    <row r="119" spans="1:8" ht="12.75" customHeight="1" x14ac:dyDescent="0.2">
      <c r="A119" s="841"/>
      <c r="B119" s="301">
        <v>53204020100000</v>
      </c>
      <c r="C119" s="278" t="s">
        <v>177</v>
      </c>
      <c r="D119" s="334">
        <f t="shared" si="23"/>
        <v>0</v>
      </c>
      <c r="E119" s="334">
        <v>0</v>
      </c>
      <c r="F119" s="335">
        <v>0</v>
      </c>
      <c r="G119" s="334">
        <f t="shared" si="21"/>
        <v>0</v>
      </c>
      <c r="H119" s="281">
        <f t="shared" si="22"/>
        <v>0</v>
      </c>
    </row>
    <row r="120" spans="1:8" ht="12.75" customHeight="1" x14ac:dyDescent="0.2">
      <c r="A120" s="841"/>
      <c r="B120" s="272"/>
      <c r="C120" s="273" t="s">
        <v>55</v>
      </c>
      <c r="D120" s="274">
        <f>SUM(D121:D128)</f>
        <v>300000</v>
      </c>
      <c r="E120" s="347"/>
      <c r="F120" s="347"/>
      <c r="G120" s="274">
        <f>SUM(G121:G128)</f>
        <v>99600</v>
      </c>
      <c r="H120" s="276">
        <f>SUM(H121:H128)</f>
        <v>399600</v>
      </c>
    </row>
    <row r="121" spans="1:8" ht="12.75" customHeight="1" x14ac:dyDescent="0.2">
      <c r="A121" s="841"/>
      <c r="B121" s="277">
        <v>53207010000000</v>
      </c>
      <c r="C121" s="278" t="s">
        <v>56</v>
      </c>
      <c r="D121" s="334">
        <f>+O47</f>
        <v>0</v>
      </c>
      <c r="E121" s="334">
        <v>0</v>
      </c>
      <c r="F121" s="335">
        <v>0</v>
      </c>
      <c r="G121" s="334">
        <f t="shared" ref="G121:G128" si="24">E121*F121</f>
        <v>0</v>
      </c>
      <c r="H121" s="281">
        <f t="shared" ref="H121:H128" si="25">D121+G121</f>
        <v>0</v>
      </c>
    </row>
    <row r="122" spans="1:8" ht="12.75" customHeight="1" x14ac:dyDescent="0.2">
      <c r="A122" s="841"/>
      <c r="B122" s="277">
        <v>53207020000000</v>
      </c>
      <c r="C122" s="278" t="s">
        <v>57</v>
      </c>
      <c r="D122" s="334">
        <f t="shared" ref="D122:D124" si="26">+O48</f>
        <v>144000</v>
      </c>
      <c r="E122" s="334">
        <v>0</v>
      </c>
      <c r="F122" s="335">
        <v>0</v>
      </c>
      <c r="G122" s="334">
        <f t="shared" si="24"/>
        <v>0</v>
      </c>
      <c r="H122" s="281">
        <f t="shared" si="25"/>
        <v>144000</v>
      </c>
    </row>
    <row r="123" spans="1:8" ht="12.75" customHeight="1" x14ac:dyDescent="0.2">
      <c r="A123" s="841"/>
      <c r="B123" s="277">
        <v>53208020000000</v>
      </c>
      <c r="C123" s="278" t="s">
        <v>168</v>
      </c>
      <c r="D123" s="334">
        <f t="shared" si="26"/>
        <v>0</v>
      </c>
      <c r="E123" s="334">
        <v>0</v>
      </c>
      <c r="F123" s="335">
        <v>0</v>
      </c>
      <c r="G123" s="334">
        <f t="shared" si="24"/>
        <v>0</v>
      </c>
      <c r="H123" s="281">
        <f t="shared" si="25"/>
        <v>0</v>
      </c>
    </row>
    <row r="124" spans="1:8" ht="12.75" customHeight="1" x14ac:dyDescent="0.2">
      <c r="A124" s="841"/>
      <c r="B124" s="277">
        <v>53208990000000</v>
      </c>
      <c r="C124" s="278" t="s">
        <v>186</v>
      </c>
      <c r="D124" s="334">
        <f t="shared" si="26"/>
        <v>156000</v>
      </c>
      <c r="E124" s="334">
        <v>0</v>
      </c>
      <c r="F124" s="335">
        <v>0</v>
      </c>
      <c r="G124" s="334">
        <f t="shared" si="24"/>
        <v>0</v>
      </c>
      <c r="H124" s="281">
        <f t="shared" si="25"/>
        <v>156000</v>
      </c>
    </row>
    <row r="125" spans="1:8" ht="12.75" customHeight="1" x14ac:dyDescent="0.2">
      <c r="A125" s="841"/>
      <c r="B125" s="301">
        <v>53210020300000</v>
      </c>
      <c r="C125" s="278" t="s">
        <v>188</v>
      </c>
      <c r="D125" s="232">
        <v>0</v>
      </c>
      <c r="E125" s="652">
        <v>8300</v>
      </c>
      <c r="F125" s="651">
        <f>+'B) Reajuste Tarifas y Ocupación'!I28</f>
        <v>12</v>
      </c>
      <c r="G125" s="280">
        <f t="shared" si="24"/>
        <v>99600</v>
      </c>
      <c r="H125" s="281">
        <f t="shared" si="25"/>
        <v>99600</v>
      </c>
    </row>
    <row r="126" spans="1:8" ht="12.75" customHeight="1" x14ac:dyDescent="0.2">
      <c r="A126" s="841"/>
      <c r="B126" s="277">
        <v>53208990000000</v>
      </c>
      <c r="C126" s="278" t="s">
        <v>189</v>
      </c>
      <c r="D126" s="280">
        <f>O51</f>
        <v>0</v>
      </c>
      <c r="E126" s="280">
        <v>0</v>
      </c>
      <c r="F126" s="332">
        <v>0</v>
      </c>
      <c r="G126" s="280">
        <f t="shared" si="24"/>
        <v>0</v>
      </c>
      <c r="H126" s="281">
        <f t="shared" si="25"/>
        <v>0</v>
      </c>
    </row>
    <row r="127" spans="1:8" ht="12.75" customHeight="1" x14ac:dyDescent="0.2">
      <c r="A127" s="841"/>
      <c r="B127" s="277">
        <v>53209990000000</v>
      </c>
      <c r="C127" s="278" t="s">
        <v>187</v>
      </c>
      <c r="D127" s="280">
        <f t="shared" ref="D127" si="27">O52</f>
        <v>0</v>
      </c>
      <c r="E127" s="280">
        <v>0</v>
      </c>
      <c r="F127" s="332">
        <v>0</v>
      </c>
      <c r="G127" s="280">
        <f t="shared" si="24"/>
        <v>0</v>
      </c>
      <c r="H127" s="281">
        <f t="shared" si="25"/>
        <v>0</v>
      </c>
    </row>
    <row r="128" spans="1:8" ht="12.75" customHeight="1" x14ac:dyDescent="0.2">
      <c r="A128" s="841"/>
      <c r="B128" s="277">
        <v>53210020100000</v>
      </c>
      <c r="C128" s="278" t="s">
        <v>64</v>
      </c>
      <c r="D128" s="280">
        <v>0</v>
      </c>
      <c r="E128" s="280">
        <v>0</v>
      </c>
      <c r="F128" s="332">
        <v>0</v>
      </c>
      <c r="G128" s="280">
        <f t="shared" si="24"/>
        <v>0</v>
      </c>
      <c r="H128" s="281">
        <f t="shared" si="25"/>
        <v>0</v>
      </c>
    </row>
    <row r="129" spans="1:10" ht="12.75" customHeight="1" x14ac:dyDescent="0.2">
      <c r="A129" s="841"/>
      <c r="B129" s="272"/>
      <c r="C129" s="273" t="s">
        <v>65</v>
      </c>
      <c r="D129" s="274">
        <f>SUM(D130:D136)</f>
        <v>4500000</v>
      </c>
      <c r="E129" s="347"/>
      <c r="F129" s="347"/>
      <c r="G129" s="274">
        <f>SUM(G130:G136)</f>
        <v>0</v>
      </c>
      <c r="H129" s="276">
        <f>SUM(H130:H136)</f>
        <v>4500000</v>
      </c>
    </row>
    <row r="130" spans="1:10" ht="12.75" customHeight="1" x14ac:dyDescent="0.2">
      <c r="A130" s="841"/>
      <c r="B130" s="277">
        <v>53206030000000</v>
      </c>
      <c r="C130" s="278" t="s">
        <v>98</v>
      </c>
      <c r="D130" s="334">
        <f>+O55</f>
        <v>0</v>
      </c>
      <c r="E130" s="334">
        <v>0</v>
      </c>
      <c r="F130" s="335">
        <v>0</v>
      </c>
      <c r="G130" s="280">
        <f t="shared" ref="G130:G136" si="28">E130*F130</f>
        <v>0</v>
      </c>
      <c r="H130" s="281">
        <f t="shared" ref="H130:H135" si="29">D130+G130</f>
        <v>0</v>
      </c>
    </row>
    <row r="131" spans="1:10" ht="12.75" customHeight="1" x14ac:dyDescent="0.2">
      <c r="A131" s="841"/>
      <c r="B131" s="277">
        <v>53206040000000</v>
      </c>
      <c r="C131" s="278" t="s">
        <v>99</v>
      </c>
      <c r="D131" s="334">
        <f t="shared" ref="D131:D136" si="30">+O56</f>
        <v>0</v>
      </c>
      <c r="E131" s="334">
        <v>0</v>
      </c>
      <c r="F131" s="335">
        <v>0</v>
      </c>
      <c r="G131" s="280">
        <f t="shared" si="28"/>
        <v>0</v>
      </c>
      <c r="H131" s="281">
        <f t="shared" si="29"/>
        <v>0</v>
      </c>
    </row>
    <row r="132" spans="1:10" ht="12.75" customHeight="1" x14ac:dyDescent="0.2">
      <c r="A132" s="841"/>
      <c r="B132" s="277">
        <v>53206060000000</v>
      </c>
      <c r="C132" s="278" t="s">
        <v>190</v>
      </c>
      <c r="D132" s="334">
        <f t="shared" si="30"/>
        <v>0</v>
      </c>
      <c r="E132" s="334">
        <v>0</v>
      </c>
      <c r="F132" s="335">
        <v>0</v>
      </c>
      <c r="G132" s="280">
        <f t="shared" si="28"/>
        <v>0</v>
      </c>
      <c r="H132" s="281">
        <f t="shared" si="29"/>
        <v>0</v>
      </c>
    </row>
    <row r="133" spans="1:10" ht="12.75" customHeight="1" x14ac:dyDescent="0.2">
      <c r="A133" s="841"/>
      <c r="B133" s="277">
        <v>53206070000000</v>
      </c>
      <c r="C133" s="278" t="s">
        <v>101</v>
      </c>
      <c r="D133" s="334">
        <f t="shared" si="30"/>
        <v>0</v>
      </c>
      <c r="E133" s="334">
        <v>0</v>
      </c>
      <c r="F133" s="335">
        <v>0</v>
      </c>
      <c r="G133" s="280">
        <f t="shared" si="28"/>
        <v>0</v>
      </c>
      <c r="H133" s="281">
        <f t="shared" si="29"/>
        <v>0</v>
      </c>
    </row>
    <row r="134" spans="1:10" ht="12.75" customHeight="1" x14ac:dyDescent="0.2">
      <c r="A134" s="841"/>
      <c r="B134" s="277">
        <v>53206990000000</v>
      </c>
      <c r="C134" s="278" t="s">
        <v>191</v>
      </c>
      <c r="D134" s="334">
        <f t="shared" si="30"/>
        <v>4500000</v>
      </c>
      <c r="E134" s="334">
        <v>0</v>
      </c>
      <c r="F134" s="335">
        <v>0</v>
      </c>
      <c r="G134" s="280">
        <f t="shared" si="28"/>
        <v>0</v>
      </c>
      <c r="H134" s="281">
        <f t="shared" si="29"/>
        <v>4500000</v>
      </c>
    </row>
    <row r="135" spans="1:10" ht="12.75" customHeight="1" x14ac:dyDescent="0.2">
      <c r="A135" s="841"/>
      <c r="B135" s="277">
        <v>53208030000000</v>
      </c>
      <c r="C135" s="278" t="s">
        <v>103</v>
      </c>
      <c r="D135" s="334">
        <f t="shared" si="30"/>
        <v>0</v>
      </c>
      <c r="E135" s="334">
        <v>0</v>
      </c>
      <c r="F135" s="335">
        <v>0</v>
      </c>
      <c r="G135" s="280">
        <f t="shared" si="28"/>
        <v>0</v>
      </c>
      <c r="H135" s="281">
        <f t="shared" si="29"/>
        <v>0</v>
      </c>
    </row>
    <row r="136" spans="1:10" ht="12.75" customHeight="1" x14ac:dyDescent="0.2">
      <c r="A136" s="841"/>
      <c r="B136" s="277">
        <v>53206990000000</v>
      </c>
      <c r="C136" s="278" t="s">
        <v>212</v>
      </c>
      <c r="D136" s="334">
        <f t="shared" si="30"/>
        <v>0</v>
      </c>
      <c r="E136" s="334">
        <v>0</v>
      </c>
      <c r="F136" s="335">
        <v>0</v>
      </c>
      <c r="G136" s="280">
        <f t="shared" si="28"/>
        <v>0</v>
      </c>
      <c r="H136" s="281">
        <f>D136+G136</f>
        <v>0</v>
      </c>
    </row>
    <row r="137" spans="1:10" ht="12.75" customHeight="1" x14ac:dyDescent="0.2">
      <c r="A137" s="841"/>
      <c r="B137" s="272"/>
      <c r="C137" s="273" t="s">
        <v>66</v>
      </c>
      <c r="D137" s="274">
        <f>SUM(D138:D138)</f>
        <v>0</v>
      </c>
      <c r="E137" s="347"/>
      <c r="F137" s="347"/>
      <c r="G137" s="274">
        <f>SUM(G138:G138)</f>
        <v>42000</v>
      </c>
      <c r="H137" s="276">
        <f>SUM(H138:H138)</f>
        <v>42000</v>
      </c>
    </row>
    <row r="138" spans="1:10" ht="12.75" customHeight="1" x14ac:dyDescent="0.2">
      <c r="A138" s="841"/>
      <c r="B138" s="302"/>
      <c r="C138" s="290" t="s">
        <v>213</v>
      </c>
      <c r="D138" s="187">
        <v>0</v>
      </c>
      <c r="E138" s="187">
        <v>3500</v>
      </c>
      <c r="F138" s="330">
        <f>+'B) Reajuste Tarifas y Ocupación'!I28</f>
        <v>12</v>
      </c>
      <c r="G138" s="280">
        <f t="shared" ref="G138" si="31">E138*F138</f>
        <v>42000</v>
      </c>
      <c r="H138" s="291">
        <f t="shared" ref="H138" si="32">D138+G138</f>
        <v>42000</v>
      </c>
      <c r="I138" s="476" t="s">
        <v>214</v>
      </c>
      <c r="J138" s="288">
        <f>+H136+H135+H134+H133+H132+H131+H130+H128+H127+H126+H125+H124+H123+H122+H121+H119+H116+H115+H114+H113+H112+H110+H108+H107+H101+H100+H99+H97+H96+H95+H94+H93+H92+H91+H90+H89+H88+H87</f>
        <v>9958188.5999999996</v>
      </c>
    </row>
    <row r="139" spans="1:10" collapsed="1" x14ac:dyDescent="0.2">
      <c r="A139" s="841"/>
      <c r="B139" s="303"/>
      <c r="C139" s="292" t="s">
        <v>104</v>
      </c>
      <c r="D139" s="293">
        <f>SUM(D76,D103)</f>
        <v>35538663.890000001</v>
      </c>
      <c r="E139" s="294"/>
      <c r="F139" s="294"/>
      <c r="G139" s="293">
        <f>SUM(G76,G103)</f>
        <v>4948412</v>
      </c>
      <c r="H139" s="289">
        <f>SUM(H76,H103)</f>
        <v>40798175.890000001</v>
      </c>
      <c r="I139" s="475" t="s">
        <v>215</v>
      </c>
      <c r="J139" s="295">
        <f>+H139-J138</f>
        <v>30839987.289999999</v>
      </c>
    </row>
    <row r="140" spans="1:10" x14ac:dyDescent="0.2">
      <c r="A140" s="840" t="s">
        <v>229</v>
      </c>
      <c r="B140" s="371"/>
      <c r="C140" s="372" t="s">
        <v>11</v>
      </c>
      <c r="D140" s="373">
        <f>SUM(D141,D146)</f>
        <v>0</v>
      </c>
      <c r="E140" s="374"/>
      <c r="F140" s="374"/>
      <c r="G140" s="375">
        <f>SUM(G141,G146)</f>
        <v>0</v>
      </c>
      <c r="H140" s="376">
        <f>SUM(H141,H146)</f>
        <v>0</v>
      </c>
    </row>
    <row r="141" spans="1:10" ht="15.75" customHeight="1" x14ac:dyDescent="0.2">
      <c r="A141" s="840"/>
      <c r="B141" s="377"/>
      <c r="C141" s="378" t="s">
        <v>12</v>
      </c>
      <c r="D141" s="379">
        <f>SUM(D142:D145)</f>
        <v>0</v>
      </c>
      <c r="E141" s="380"/>
      <c r="F141" s="380"/>
      <c r="G141" s="381">
        <f>SUM(G142:G145)</f>
        <v>0</v>
      </c>
      <c r="H141" s="382">
        <f>SUM(H142:H145)</f>
        <v>0</v>
      </c>
    </row>
    <row r="142" spans="1:10" ht="15.75" customHeight="1" x14ac:dyDescent="0.2">
      <c r="A142" s="840"/>
      <c r="B142" s="383">
        <v>53103040100000</v>
      </c>
      <c r="C142" s="384" t="s">
        <v>94</v>
      </c>
      <c r="D142" s="385">
        <f>'F) Remuneraciones'!L31</f>
        <v>0</v>
      </c>
      <c r="E142" s="386">
        <v>0</v>
      </c>
      <c r="F142" s="387">
        <v>0</v>
      </c>
      <c r="G142" s="388">
        <f>E142*F142</f>
        <v>0</v>
      </c>
      <c r="H142" s="389">
        <f>D142+G142</f>
        <v>0</v>
      </c>
    </row>
    <row r="143" spans="1:10" ht="15.75" customHeight="1" x14ac:dyDescent="0.2">
      <c r="A143" s="840"/>
      <c r="B143" s="383">
        <v>53103050000000</v>
      </c>
      <c r="C143" s="384" t="s">
        <v>230</v>
      </c>
      <c r="D143" s="390">
        <v>0</v>
      </c>
      <c r="E143" s="391">
        <v>0</v>
      </c>
      <c r="F143" s="392">
        <v>0</v>
      </c>
      <c r="G143" s="388">
        <f>E143*F143</f>
        <v>0</v>
      </c>
      <c r="H143" s="389">
        <f>D143+G143</f>
        <v>0</v>
      </c>
    </row>
    <row r="144" spans="1:10" ht="15.75" customHeight="1" x14ac:dyDescent="0.2">
      <c r="A144" s="840"/>
      <c r="B144" s="393">
        <v>53103040400000</v>
      </c>
      <c r="C144" s="394" t="s">
        <v>170</v>
      </c>
      <c r="D144" s="390">
        <v>0</v>
      </c>
      <c r="E144" s="391">
        <v>0</v>
      </c>
      <c r="F144" s="392">
        <v>0</v>
      </c>
      <c r="G144" s="388">
        <f>E144*F144</f>
        <v>0</v>
      </c>
      <c r="H144" s="389">
        <f>D144+G144</f>
        <v>0</v>
      </c>
    </row>
    <row r="145" spans="1:8" ht="15.75" customHeight="1" x14ac:dyDescent="0.2">
      <c r="A145" s="840"/>
      <c r="B145" s="383">
        <v>53103080010000</v>
      </c>
      <c r="C145" s="384" t="s">
        <v>171</v>
      </c>
      <c r="D145" s="390">
        <v>0</v>
      </c>
      <c r="E145" s="391">
        <v>0</v>
      </c>
      <c r="F145" s="392">
        <v>0</v>
      </c>
      <c r="G145" s="388">
        <f>E145*F145</f>
        <v>0</v>
      </c>
      <c r="H145" s="389">
        <f>D145+G145</f>
        <v>0</v>
      </c>
    </row>
    <row r="146" spans="1:8" ht="15.75" customHeight="1" x14ac:dyDescent="0.2">
      <c r="A146" s="840"/>
      <c r="B146" s="377"/>
      <c r="C146" s="378" t="s">
        <v>16</v>
      </c>
      <c r="D146" s="379">
        <f>SUM(D147:D166)</f>
        <v>0</v>
      </c>
      <c r="E146" s="380"/>
      <c r="F146" s="380"/>
      <c r="G146" s="379">
        <f>SUM(G147:G166)</f>
        <v>0</v>
      </c>
      <c r="H146" s="382">
        <f>SUM(H147:H166)</f>
        <v>0</v>
      </c>
    </row>
    <row r="147" spans="1:8" ht="15.75" customHeight="1" x14ac:dyDescent="0.2">
      <c r="A147" s="840"/>
      <c r="B147" s="383">
        <v>53201010100000</v>
      </c>
      <c r="C147" s="395" t="s">
        <v>172</v>
      </c>
      <c r="D147" s="390">
        <v>0</v>
      </c>
      <c r="E147" s="391">
        <v>0</v>
      </c>
      <c r="F147" s="392">
        <v>0</v>
      </c>
      <c r="G147" s="388">
        <f t="shared" ref="G147:G166" si="33">E147*F147</f>
        <v>0</v>
      </c>
      <c r="H147" s="389">
        <f t="shared" ref="H147:H166" si="34">D147+G147</f>
        <v>0</v>
      </c>
    </row>
    <row r="148" spans="1:8" ht="15.75" customHeight="1" x14ac:dyDescent="0.2">
      <c r="A148" s="840"/>
      <c r="B148" s="383">
        <v>53201010100000</v>
      </c>
      <c r="C148" s="395" t="s">
        <v>173</v>
      </c>
      <c r="D148" s="390">
        <v>0</v>
      </c>
      <c r="E148" s="391">
        <v>0</v>
      </c>
      <c r="F148" s="392">
        <v>0</v>
      </c>
      <c r="G148" s="388">
        <f t="shared" si="33"/>
        <v>0</v>
      </c>
      <c r="H148" s="389">
        <f t="shared" si="34"/>
        <v>0</v>
      </c>
    </row>
    <row r="149" spans="1:8" ht="15.75" customHeight="1" x14ac:dyDescent="0.2">
      <c r="A149" s="840"/>
      <c r="B149" s="383">
        <v>53201010100000</v>
      </c>
      <c r="C149" s="395" t="s">
        <v>174</v>
      </c>
      <c r="D149" s="390">
        <v>0</v>
      </c>
      <c r="E149" s="391">
        <v>0</v>
      </c>
      <c r="F149" s="392">
        <v>0</v>
      </c>
      <c r="G149" s="388">
        <f t="shared" si="33"/>
        <v>0</v>
      </c>
      <c r="H149" s="389">
        <f t="shared" si="34"/>
        <v>0</v>
      </c>
    </row>
    <row r="150" spans="1:8" ht="15.75" customHeight="1" x14ac:dyDescent="0.2">
      <c r="A150" s="840"/>
      <c r="B150" s="383">
        <v>53202010100000</v>
      </c>
      <c r="C150" s="384" t="s">
        <v>175</v>
      </c>
      <c r="D150" s="390">
        <v>0</v>
      </c>
      <c r="E150" s="391">
        <v>0</v>
      </c>
      <c r="F150" s="392">
        <v>0</v>
      </c>
      <c r="G150" s="388">
        <f t="shared" si="33"/>
        <v>0</v>
      </c>
      <c r="H150" s="389">
        <f t="shared" si="34"/>
        <v>0</v>
      </c>
    </row>
    <row r="151" spans="1:8" ht="15.75" customHeight="1" x14ac:dyDescent="0.2">
      <c r="A151" s="840"/>
      <c r="B151" s="383">
        <v>53203010100000</v>
      </c>
      <c r="C151" s="384" t="s">
        <v>19</v>
      </c>
      <c r="D151" s="396">
        <v>0</v>
      </c>
      <c r="E151" s="397">
        <v>0</v>
      </c>
      <c r="F151" s="398">
        <v>0</v>
      </c>
      <c r="G151" s="388">
        <f t="shared" si="33"/>
        <v>0</v>
      </c>
      <c r="H151" s="389">
        <f t="shared" si="34"/>
        <v>0</v>
      </c>
    </row>
    <row r="152" spans="1:8" ht="15.75" customHeight="1" x14ac:dyDescent="0.2">
      <c r="A152" s="840"/>
      <c r="B152" s="383">
        <v>53203030000000</v>
      </c>
      <c r="C152" s="384" t="s">
        <v>176</v>
      </c>
      <c r="D152" s="396">
        <v>0</v>
      </c>
      <c r="E152" s="397">
        <v>0</v>
      </c>
      <c r="F152" s="398">
        <v>0</v>
      </c>
      <c r="G152" s="388">
        <f t="shared" si="33"/>
        <v>0</v>
      </c>
      <c r="H152" s="389">
        <f t="shared" si="34"/>
        <v>0</v>
      </c>
    </row>
    <row r="153" spans="1:8" ht="15.75" customHeight="1" x14ac:dyDescent="0.2">
      <c r="A153" s="840"/>
      <c r="B153" s="383">
        <v>53204030000000</v>
      </c>
      <c r="C153" s="384" t="s">
        <v>210</v>
      </c>
      <c r="D153" s="396">
        <v>0</v>
      </c>
      <c r="E153" s="397">
        <v>0</v>
      </c>
      <c r="F153" s="398">
        <v>0</v>
      </c>
      <c r="G153" s="388">
        <f t="shared" si="33"/>
        <v>0</v>
      </c>
      <c r="H153" s="389">
        <f>D153+G153</f>
        <v>0</v>
      </c>
    </row>
    <row r="154" spans="1:8" ht="15.75" customHeight="1" x14ac:dyDescent="0.2">
      <c r="A154" s="840"/>
      <c r="B154" s="383">
        <v>53204100100001</v>
      </c>
      <c r="C154" s="384" t="s">
        <v>22</v>
      </c>
      <c r="D154" s="396">
        <v>0</v>
      </c>
      <c r="E154" s="397">
        <v>0</v>
      </c>
      <c r="F154" s="398">
        <v>0</v>
      </c>
      <c r="G154" s="388">
        <f t="shared" si="33"/>
        <v>0</v>
      </c>
      <c r="H154" s="389">
        <f t="shared" si="34"/>
        <v>0</v>
      </c>
    </row>
    <row r="155" spans="1:8" ht="15.75" customHeight="1" x14ac:dyDescent="0.2">
      <c r="A155" s="840"/>
      <c r="B155" s="383">
        <v>53204130100000</v>
      </c>
      <c r="C155" s="384" t="s">
        <v>178</v>
      </c>
      <c r="D155" s="396">
        <v>0</v>
      </c>
      <c r="E155" s="397">
        <v>0</v>
      </c>
      <c r="F155" s="398">
        <v>0</v>
      </c>
      <c r="G155" s="388">
        <f t="shared" si="33"/>
        <v>0</v>
      </c>
      <c r="H155" s="389">
        <f t="shared" si="34"/>
        <v>0</v>
      </c>
    </row>
    <row r="156" spans="1:8" ht="15.75" customHeight="1" x14ac:dyDescent="0.2">
      <c r="A156" s="840"/>
      <c r="B156" s="383">
        <v>53205010100000</v>
      </c>
      <c r="C156" s="384" t="s">
        <v>24</v>
      </c>
      <c r="D156" s="396">
        <v>0</v>
      </c>
      <c r="E156" s="397">
        <v>0</v>
      </c>
      <c r="F156" s="398">
        <v>0</v>
      </c>
      <c r="G156" s="388">
        <f t="shared" si="33"/>
        <v>0</v>
      </c>
      <c r="H156" s="389">
        <f t="shared" si="34"/>
        <v>0</v>
      </c>
    </row>
    <row r="157" spans="1:8" ht="15.75" customHeight="1" x14ac:dyDescent="0.2">
      <c r="A157" s="840"/>
      <c r="B157" s="383">
        <v>53205020100000</v>
      </c>
      <c r="C157" s="384" t="s">
        <v>25</v>
      </c>
      <c r="D157" s="396">
        <v>0</v>
      </c>
      <c r="E157" s="397">
        <v>0</v>
      </c>
      <c r="F157" s="398">
        <v>0</v>
      </c>
      <c r="G157" s="388">
        <f t="shared" si="33"/>
        <v>0</v>
      </c>
      <c r="H157" s="389">
        <f t="shared" si="34"/>
        <v>0</v>
      </c>
    </row>
    <row r="158" spans="1:8" ht="15.75" customHeight="1" x14ac:dyDescent="0.2">
      <c r="A158" s="840"/>
      <c r="B158" s="383">
        <v>53205030100000</v>
      </c>
      <c r="C158" s="384" t="s">
        <v>26</v>
      </c>
      <c r="D158" s="396">
        <v>0</v>
      </c>
      <c r="E158" s="397">
        <v>0</v>
      </c>
      <c r="F158" s="398">
        <v>0</v>
      </c>
      <c r="G158" s="388">
        <f t="shared" si="33"/>
        <v>0</v>
      </c>
      <c r="H158" s="389">
        <f t="shared" si="34"/>
        <v>0</v>
      </c>
    </row>
    <row r="159" spans="1:8" ht="15.75" customHeight="1" x14ac:dyDescent="0.2">
      <c r="A159" s="840"/>
      <c r="B159" s="383">
        <v>53205050100000</v>
      </c>
      <c r="C159" s="384" t="s">
        <v>27</v>
      </c>
      <c r="D159" s="396">
        <v>0</v>
      </c>
      <c r="E159" s="397">
        <v>0</v>
      </c>
      <c r="F159" s="398">
        <v>0</v>
      </c>
      <c r="G159" s="388">
        <f t="shared" si="33"/>
        <v>0</v>
      </c>
      <c r="H159" s="389">
        <f t="shared" si="34"/>
        <v>0</v>
      </c>
    </row>
    <row r="160" spans="1:8" ht="15.75" customHeight="1" x14ac:dyDescent="0.2">
      <c r="A160" s="840"/>
      <c r="B160" s="383">
        <v>53205070100000</v>
      </c>
      <c r="C160" s="384" t="s">
        <v>29</v>
      </c>
      <c r="D160" s="396">
        <v>0</v>
      </c>
      <c r="E160" s="397">
        <v>0</v>
      </c>
      <c r="F160" s="398">
        <v>0</v>
      </c>
      <c r="G160" s="388">
        <f t="shared" si="33"/>
        <v>0</v>
      </c>
      <c r="H160" s="389">
        <f t="shared" si="34"/>
        <v>0</v>
      </c>
    </row>
    <row r="161" spans="1:8" ht="15.75" customHeight="1" x14ac:dyDescent="0.2">
      <c r="A161" s="840"/>
      <c r="B161" s="383">
        <v>53208010100000</v>
      </c>
      <c r="C161" s="384" t="s">
        <v>30</v>
      </c>
      <c r="D161" s="396">
        <v>0</v>
      </c>
      <c r="E161" s="397">
        <v>0</v>
      </c>
      <c r="F161" s="398">
        <v>0</v>
      </c>
      <c r="G161" s="388">
        <f t="shared" si="33"/>
        <v>0</v>
      </c>
      <c r="H161" s="389">
        <f t="shared" si="34"/>
        <v>0</v>
      </c>
    </row>
    <row r="162" spans="1:8" ht="15.75" customHeight="1" x14ac:dyDescent="0.2">
      <c r="A162" s="840"/>
      <c r="B162" s="383">
        <v>53208070100001</v>
      </c>
      <c r="C162" s="384" t="s">
        <v>31</v>
      </c>
      <c r="D162" s="390">
        <v>0</v>
      </c>
      <c r="E162" s="391">
        <v>0</v>
      </c>
      <c r="F162" s="392">
        <v>0</v>
      </c>
      <c r="G162" s="388">
        <f t="shared" si="33"/>
        <v>0</v>
      </c>
      <c r="H162" s="389">
        <f t="shared" si="34"/>
        <v>0</v>
      </c>
    </row>
    <row r="163" spans="1:8" ht="15.75" customHeight="1" x14ac:dyDescent="0.2">
      <c r="A163" s="840"/>
      <c r="B163" s="383">
        <v>53208100100001</v>
      </c>
      <c r="C163" s="384" t="s">
        <v>179</v>
      </c>
      <c r="D163" s="396">
        <v>0</v>
      </c>
      <c r="E163" s="397">
        <v>0</v>
      </c>
      <c r="F163" s="398">
        <v>0</v>
      </c>
      <c r="G163" s="388">
        <f t="shared" si="33"/>
        <v>0</v>
      </c>
      <c r="H163" s="389">
        <f t="shared" si="34"/>
        <v>0</v>
      </c>
    </row>
    <row r="164" spans="1:8" ht="15.75" customHeight="1" x14ac:dyDescent="0.2">
      <c r="A164" s="840"/>
      <c r="B164" s="383">
        <v>53211030000000</v>
      </c>
      <c r="C164" s="384" t="s">
        <v>32</v>
      </c>
      <c r="D164" s="396">
        <v>0</v>
      </c>
      <c r="E164" s="397">
        <v>0</v>
      </c>
      <c r="F164" s="398">
        <v>0</v>
      </c>
      <c r="G164" s="388">
        <f t="shared" si="33"/>
        <v>0</v>
      </c>
      <c r="H164" s="389">
        <f t="shared" si="34"/>
        <v>0</v>
      </c>
    </row>
    <row r="165" spans="1:8" ht="15.75" customHeight="1" x14ac:dyDescent="0.2">
      <c r="A165" s="840"/>
      <c r="B165" s="383">
        <v>53212020100000</v>
      </c>
      <c r="C165" s="384" t="s">
        <v>180</v>
      </c>
      <c r="D165" s="396">
        <v>0</v>
      </c>
      <c r="E165" s="397">
        <v>0</v>
      </c>
      <c r="F165" s="398">
        <v>0</v>
      </c>
      <c r="G165" s="388">
        <f t="shared" si="33"/>
        <v>0</v>
      </c>
      <c r="H165" s="389">
        <f t="shared" si="34"/>
        <v>0</v>
      </c>
    </row>
    <row r="166" spans="1:8" ht="15.75" customHeight="1" x14ac:dyDescent="0.2">
      <c r="A166" s="840"/>
      <c r="B166" s="383">
        <v>53214020000000</v>
      </c>
      <c r="C166" s="384" t="s">
        <v>181</v>
      </c>
      <c r="D166" s="390">
        <v>0</v>
      </c>
      <c r="E166" s="391">
        <v>0</v>
      </c>
      <c r="F166" s="392">
        <v>0</v>
      </c>
      <c r="G166" s="388">
        <f t="shared" si="33"/>
        <v>0</v>
      </c>
      <c r="H166" s="389">
        <f t="shared" si="34"/>
        <v>0</v>
      </c>
    </row>
    <row r="167" spans="1:8" ht="15.75" customHeight="1" x14ac:dyDescent="0.2">
      <c r="A167" s="840"/>
      <c r="B167" s="371"/>
      <c r="C167" s="372" t="s">
        <v>34</v>
      </c>
      <c r="D167" s="373">
        <f>+D168+D173+D175+D184+D193+D201</f>
        <v>0</v>
      </c>
      <c r="E167" s="374"/>
      <c r="F167" s="374"/>
      <c r="G167" s="373">
        <f>SUM(G168,G173,G175,G184,G193,G201)</f>
        <v>0</v>
      </c>
      <c r="H167" s="399">
        <f>SUM(H168,H173,H175,H184,H193,H201)</f>
        <v>0</v>
      </c>
    </row>
    <row r="168" spans="1:8" ht="15.75" customHeight="1" x14ac:dyDescent="0.2">
      <c r="A168" s="840"/>
      <c r="B168" s="377"/>
      <c r="C168" s="378" t="s">
        <v>35</v>
      </c>
      <c r="D168" s="379">
        <f>SUM(D169:D172)</f>
        <v>0</v>
      </c>
      <c r="E168" s="380"/>
      <c r="F168" s="380"/>
      <c r="G168" s="400">
        <f>SUM(G169:G172)</f>
        <v>0</v>
      </c>
      <c r="H168" s="401">
        <f>SUM(H169:H172)</f>
        <v>0</v>
      </c>
    </row>
    <row r="169" spans="1:8" ht="15.75" customHeight="1" x14ac:dyDescent="0.2">
      <c r="A169" s="840"/>
      <c r="B169" s="383">
        <v>53202020100000</v>
      </c>
      <c r="C169" s="384" t="s">
        <v>182</v>
      </c>
      <c r="D169" s="390">
        <v>0</v>
      </c>
      <c r="E169" s="391">
        <v>0</v>
      </c>
      <c r="F169" s="392">
        <v>0</v>
      </c>
      <c r="G169" s="388">
        <f>E169*F169</f>
        <v>0</v>
      </c>
      <c r="H169" s="389">
        <f t="shared" ref="H169:H202" si="35">D169+G169</f>
        <v>0</v>
      </c>
    </row>
    <row r="170" spans="1:8" ht="15.75" customHeight="1" x14ac:dyDescent="0.2">
      <c r="A170" s="840"/>
      <c r="B170" s="383">
        <v>53202030000000</v>
      </c>
      <c r="C170" s="384" t="s">
        <v>183</v>
      </c>
      <c r="D170" s="390">
        <v>0</v>
      </c>
      <c r="E170" s="391">
        <v>0</v>
      </c>
      <c r="F170" s="392">
        <v>0</v>
      </c>
      <c r="G170" s="388">
        <f t="shared" ref="G170:G202" si="36">E170*F170</f>
        <v>0</v>
      </c>
      <c r="H170" s="389">
        <f t="shared" si="35"/>
        <v>0</v>
      </c>
    </row>
    <row r="171" spans="1:8" ht="15.75" customHeight="1" x14ac:dyDescent="0.2">
      <c r="A171" s="840"/>
      <c r="B171" s="383">
        <v>53211020000000</v>
      </c>
      <c r="C171" s="384" t="s">
        <v>41</v>
      </c>
      <c r="D171" s="397">
        <f>O97</f>
        <v>0</v>
      </c>
      <c r="E171" s="397">
        <v>0</v>
      </c>
      <c r="F171" s="397">
        <v>0</v>
      </c>
      <c r="G171" s="388">
        <f t="shared" si="36"/>
        <v>0</v>
      </c>
      <c r="H171" s="389">
        <f t="shared" si="35"/>
        <v>0</v>
      </c>
    </row>
    <row r="172" spans="1:8" ht="15.75" customHeight="1" x14ac:dyDescent="0.2">
      <c r="A172" s="840"/>
      <c r="B172" s="383">
        <v>53101040600000</v>
      </c>
      <c r="C172" s="384" t="s">
        <v>184</v>
      </c>
      <c r="D172" s="397">
        <f>O98</f>
        <v>0</v>
      </c>
      <c r="E172" s="397">
        <v>0</v>
      </c>
      <c r="F172" s="397">
        <v>0</v>
      </c>
      <c r="G172" s="388">
        <f t="shared" si="36"/>
        <v>0</v>
      </c>
      <c r="H172" s="389">
        <f t="shared" si="35"/>
        <v>0</v>
      </c>
    </row>
    <row r="173" spans="1:8" ht="15.75" customHeight="1" x14ac:dyDescent="0.2">
      <c r="A173" s="840"/>
      <c r="B173" s="377"/>
      <c r="C173" s="378" t="s">
        <v>42</v>
      </c>
      <c r="D173" s="379">
        <f>SUM(D174:D174)</f>
        <v>0</v>
      </c>
      <c r="E173" s="380"/>
      <c r="F173" s="380"/>
      <c r="G173" s="400">
        <f>SUM(G174:G174)</f>
        <v>0</v>
      </c>
      <c r="H173" s="401">
        <f>SUM(H174:H174)</f>
        <v>0</v>
      </c>
    </row>
    <row r="174" spans="1:8" ht="15.75" customHeight="1" x14ac:dyDescent="0.2">
      <c r="A174" s="840"/>
      <c r="B174" s="402">
        <v>53205990000000</v>
      </c>
      <c r="C174" s="384" t="s">
        <v>44</v>
      </c>
      <c r="D174" s="397">
        <v>0</v>
      </c>
      <c r="E174" s="397">
        <v>0</v>
      </c>
      <c r="F174" s="397">
        <v>0</v>
      </c>
      <c r="G174" s="388">
        <f t="shared" si="36"/>
        <v>0</v>
      </c>
      <c r="H174" s="389">
        <f t="shared" si="35"/>
        <v>0</v>
      </c>
    </row>
    <row r="175" spans="1:8" ht="15.75" customHeight="1" x14ac:dyDescent="0.2">
      <c r="A175" s="840"/>
      <c r="B175" s="377"/>
      <c r="C175" s="378" t="s">
        <v>45</v>
      </c>
      <c r="D175" s="379">
        <f>SUM(D176:D183)</f>
        <v>0</v>
      </c>
      <c r="E175" s="380"/>
      <c r="F175" s="380"/>
      <c r="G175" s="379">
        <f>SUM(G176:G183)</f>
        <v>0</v>
      </c>
      <c r="H175" s="382">
        <f>SUM(H176:H183)</f>
        <v>0</v>
      </c>
    </row>
    <row r="176" spans="1:8" ht="15.75" customHeight="1" x14ac:dyDescent="0.2">
      <c r="A176" s="840"/>
      <c r="B176" s="383">
        <v>53204010000000</v>
      </c>
      <c r="C176" s="384" t="s">
        <v>47</v>
      </c>
      <c r="D176" s="397">
        <v>0</v>
      </c>
      <c r="E176" s="397">
        <v>0</v>
      </c>
      <c r="F176" s="397">
        <v>0</v>
      </c>
      <c r="G176" s="388">
        <f t="shared" si="36"/>
        <v>0</v>
      </c>
      <c r="H176" s="389">
        <f t="shared" si="35"/>
        <v>0</v>
      </c>
    </row>
    <row r="177" spans="1:8" ht="15.75" customHeight="1" x14ac:dyDescent="0.2">
      <c r="A177" s="840"/>
      <c r="B177" s="402">
        <v>53204040200000</v>
      </c>
      <c r="C177" s="384" t="s">
        <v>211</v>
      </c>
      <c r="D177" s="397">
        <v>0</v>
      </c>
      <c r="E177" s="397">
        <v>0</v>
      </c>
      <c r="F177" s="397">
        <v>0</v>
      </c>
      <c r="G177" s="388">
        <f t="shared" si="36"/>
        <v>0</v>
      </c>
      <c r="H177" s="389">
        <f t="shared" si="35"/>
        <v>0</v>
      </c>
    </row>
    <row r="178" spans="1:8" ht="15.75" customHeight="1" x14ac:dyDescent="0.2">
      <c r="A178" s="840"/>
      <c r="B178" s="383">
        <v>53204060000000</v>
      </c>
      <c r="C178" s="384" t="s">
        <v>49</v>
      </c>
      <c r="D178" s="397">
        <v>0</v>
      </c>
      <c r="E178" s="397">
        <v>0</v>
      </c>
      <c r="F178" s="397">
        <v>0</v>
      </c>
      <c r="G178" s="388">
        <f t="shared" si="36"/>
        <v>0</v>
      </c>
      <c r="H178" s="389">
        <f t="shared" si="35"/>
        <v>0</v>
      </c>
    </row>
    <row r="179" spans="1:8" ht="15.75" customHeight="1" x14ac:dyDescent="0.2">
      <c r="A179" s="840"/>
      <c r="B179" s="383">
        <v>53204070000000</v>
      </c>
      <c r="C179" s="384" t="s">
        <v>50</v>
      </c>
      <c r="D179" s="397">
        <v>0</v>
      </c>
      <c r="E179" s="397">
        <v>0</v>
      </c>
      <c r="F179" s="397">
        <v>0</v>
      </c>
      <c r="G179" s="388">
        <f t="shared" si="36"/>
        <v>0</v>
      </c>
      <c r="H179" s="389">
        <f t="shared" si="35"/>
        <v>0</v>
      </c>
    </row>
    <row r="180" spans="1:8" ht="15.75" customHeight="1" x14ac:dyDescent="0.2">
      <c r="A180" s="840"/>
      <c r="B180" s="383">
        <v>53204080000000</v>
      </c>
      <c r="C180" s="384" t="s">
        <v>51</v>
      </c>
      <c r="D180" s="397">
        <v>0</v>
      </c>
      <c r="E180" s="397">
        <v>0</v>
      </c>
      <c r="F180" s="397">
        <v>0</v>
      </c>
      <c r="G180" s="388">
        <f t="shared" si="36"/>
        <v>0</v>
      </c>
      <c r="H180" s="389">
        <f t="shared" si="35"/>
        <v>0</v>
      </c>
    </row>
    <row r="181" spans="1:8" ht="15.75" customHeight="1" x14ac:dyDescent="0.2">
      <c r="A181" s="840"/>
      <c r="B181" s="383">
        <v>53214010000000</v>
      </c>
      <c r="C181" s="384" t="s">
        <v>52</v>
      </c>
      <c r="D181" s="403">
        <v>0</v>
      </c>
      <c r="E181" s="403">
        <v>0</v>
      </c>
      <c r="F181" s="403">
        <v>0</v>
      </c>
      <c r="G181" s="388">
        <f t="shared" si="36"/>
        <v>0</v>
      </c>
      <c r="H181" s="389">
        <f t="shared" si="35"/>
        <v>0</v>
      </c>
    </row>
    <row r="182" spans="1:8" ht="15.75" customHeight="1" x14ac:dyDescent="0.2">
      <c r="A182" s="840"/>
      <c r="B182" s="383">
        <v>53214040000000</v>
      </c>
      <c r="C182" s="384" t="s">
        <v>185</v>
      </c>
      <c r="D182" s="403">
        <v>0</v>
      </c>
      <c r="E182" s="403">
        <v>0</v>
      </c>
      <c r="F182" s="403">
        <v>0</v>
      </c>
      <c r="G182" s="388">
        <f t="shared" si="36"/>
        <v>0</v>
      </c>
      <c r="H182" s="389">
        <f t="shared" si="35"/>
        <v>0</v>
      </c>
    </row>
    <row r="183" spans="1:8" ht="15.75" customHeight="1" x14ac:dyDescent="0.2">
      <c r="A183" s="840"/>
      <c r="B183" s="393">
        <v>53204020100000</v>
      </c>
      <c r="C183" s="384" t="s">
        <v>177</v>
      </c>
      <c r="D183" s="397">
        <v>0</v>
      </c>
      <c r="E183" s="397">
        <v>0</v>
      </c>
      <c r="F183" s="397">
        <v>0</v>
      </c>
      <c r="G183" s="388">
        <f t="shared" si="36"/>
        <v>0</v>
      </c>
      <c r="H183" s="389">
        <f t="shared" si="35"/>
        <v>0</v>
      </c>
    </row>
    <row r="184" spans="1:8" ht="15.75" customHeight="1" x14ac:dyDescent="0.2">
      <c r="A184" s="840"/>
      <c r="B184" s="377"/>
      <c r="C184" s="378" t="s">
        <v>55</v>
      </c>
      <c r="D184" s="379">
        <f>SUM(D185:D192)</f>
        <v>0</v>
      </c>
      <c r="E184" s="380"/>
      <c r="F184" s="380"/>
      <c r="G184" s="379">
        <f>SUM(G185:G192)</f>
        <v>0</v>
      </c>
      <c r="H184" s="382">
        <f>SUM(H185:H192)</f>
        <v>0</v>
      </c>
    </row>
    <row r="185" spans="1:8" ht="15.75" customHeight="1" x14ac:dyDescent="0.2">
      <c r="A185" s="840"/>
      <c r="B185" s="383">
        <v>53207010000000</v>
      </c>
      <c r="C185" s="384" t="s">
        <v>56</v>
      </c>
      <c r="D185" s="397">
        <v>0</v>
      </c>
      <c r="E185" s="397">
        <v>0</v>
      </c>
      <c r="F185" s="397">
        <v>0</v>
      </c>
      <c r="G185" s="388">
        <f t="shared" si="36"/>
        <v>0</v>
      </c>
      <c r="H185" s="389">
        <f t="shared" si="35"/>
        <v>0</v>
      </c>
    </row>
    <row r="186" spans="1:8" ht="15.75" customHeight="1" x14ac:dyDescent="0.2">
      <c r="A186" s="840"/>
      <c r="B186" s="383">
        <v>53207020000000</v>
      </c>
      <c r="C186" s="384" t="s">
        <v>57</v>
      </c>
      <c r="D186" s="397">
        <v>0</v>
      </c>
      <c r="E186" s="397">
        <v>0</v>
      </c>
      <c r="F186" s="397">
        <v>0</v>
      </c>
      <c r="G186" s="388">
        <f t="shared" si="36"/>
        <v>0</v>
      </c>
      <c r="H186" s="389">
        <f t="shared" si="35"/>
        <v>0</v>
      </c>
    </row>
    <row r="187" spans="1:8" ht="15.75" customHeight="1" x14ac:dyDescent="0.2">
      <c r="A187" s="840"/>
      <c r="B187" s="383">
        <v>53208020000000</v>
      </c>
      <c r="C187" s="384" t="s">
        <v>168</v>
      </c>
      <c r="D187" s="397">
        <v>0</v>
      </c>
      <c r="E187" s="397">
        <v>0</v>
      </c>
      <c r="F187" s="397">
        <v>0</v>
      </c>
      <c r="G187" s="388">
        <f t="shared" si="36"/>
        <v>0</v>
      </c>
      <c r="H187" s="389">
        <f t="shared" si="35"/>
        <v>0</v>
      </c>
    </row>
    <row r="188" spans="1:8" ht="15.75" customHeight="1" x14ac:dyDescent="0.2">
      <c r="A188" s="840"/>
      <c r="B188" s="383">
        <v>53208990000000</v>
      </c>
      <c r="C188" s="384" t="s">
        <v>186</v>
      </c>
      <c r="D188" s="397">
        <v>0</v>
      </c>
      <c r="E188" s="397">
        <v>0</v>
      </c>
      <c r="F188" s="397">
        <v>0</v>
      </c>
      <c r="G188" s="388">
        <f t="shared" si="36"/>
        <v>0</v>
      </c>
      <c r="H188" s="389">
        <f t="shared" si="35"/>
        <v>0</v>
      </c>
    </row>
    <row r="189" spans="1:8" ht="15.75" customHeight="1" x14ac:dyDescent="0.2">
      <c r="A189" s="840"/>
      <c r="B189" s="393">
        <v>53210020300000</v>
      </c>
      <c r="C189" s="384" t="s">
        <v>188</v>
      </c>
      <c r="D189" s="396">
        <v>0</v>
      </c>
      <c r="E189" s="396">
        <v>0</v>
      </c>
      <c r="F189" s="398">
        <v>0</v>
      </c>
      <c r="G189" s="388">
        <f t="shared" si="36"/>
        <v>0</v>
      </c>
      <c r="H189" s="389">
        <f t="shared" si="35"/>
        <v>0</v>
      </c>
    </row>
    <row r="190" spans="1:8" ht="15.75" customHeight="1" x14ac:dyDescent="0.2">
      <c r="A190" s="840"/>
      <c r="B190" s="383">
        <v>53208990000000</v>
      </c>
      <c r="C190" s="384" t="s">
        <v>189</v>
      </c>
      <c r="D190" s="397">
        <v>0</v>
      </c>
      <c r="E190" s="397">
        <v>0</v>
      </c>
      <c r="F190" s="397">
        <v>0</v>
      </c>
      <c r="G190" s="388">
        <f t="shared" si="36"/>
        <v>0</v>
      </c>
      <c r="H190" s="389">
        <f t="shared" si="35"/>
        <v>0</v>
      </c>
    </row>
    <row r="191" spans="1:8" ht="15.75" customHeight="1" x14ac:dyDescent="0.2">
      <c r="A191" s="840"/>
      <c r="B191" s="383">
        <v>53209990000000</v>
      </c>
      <c r="C191" s="384" t="s">
        <v>187</v>
      </c>
      <c r="D191" s="397">
        <v>0</v>
      </c>
      <c r="E191" s="397">
        <v>0</v>
      </c>
      <c r="F191" s="397">
        <v>0</v>
      </c>
      <c r="G191" s="388">
        <f t="shared" si="36"/>
        <v>0</v>
      </c>
      <c r="H191" s="389">
        <f t="shared" si="35"/>
        <v>0</v>
      </c>
    </row>
    <row r="192" spans="1:8" ht="15.75" customHeight="1" x14ac:dyDescent="0.2">
      <c r="A192" s="840"/>
      <c r="B192" s="383">
        <v>53210020100000</v>
      </c>
      <c r="C192" s="384" t="s">
        <v>64</v>
      </c>
      <c r="D192" s="397">
        <v>0</v>
      </c>
      <c r="E192" s="397">
        <v>0</v>
      </c>
      <c r="F192" s="397">
        <v>0</v>
      </c>
      <c r="G192" s="388">
        <f t="shared" si="36"/>
        <v>0</v>
      </c>
      <c r="H192" s="389">
        <f t="shared" si="35"/>
        <v>0</v>
      </c>
    </row>
    <row r="193" spans="1:10" ht="15.75" customHeight="1" x14ac:dyDescent="0.2">
      <c r="A193" s="840"/>
      <c r="B193" s="377"/>
      <c r="C193" s="378" t="s">
        <v>65</v>
      </c>
      <c r="D193" s="379">
        <f>SUM(D194:D200)</f>
        <v>0</v>
      </c>
      <c r="E193" s="380"/>
      <c r="F193" s="380"/>
      <c r="G193" s="379">
        <f>SUM(G194:G200)</f>
        <v>0</v>
      </c>
      <c r="H193" s="382">
        <f>SUM(H194:H200)</f>
        <v>0</v>
      </c>
    </row>
    <row r="194" spans="1:10" ht="15.75" customHeight="1" x14ac:dyDescent="0.2">
      <c r="A194" s="840"/>
      <c r="B194" s="383">
        <v>53206030000000</v>
      </c>
      <c r="C194" s="384" t="s">
        <v>98</v>
      </c>
      <c r="D194" s="397">
        <v>0</v>
      </c>
      <c r="E194" s="397">
        <v>0</v>
      </c>
      <c r="F194" s="397">
        <v>0</v>
      </c>
      <c r="G194" s="388">
        <f t="shared" si="36"/>
        <v>0</v>
      </c>
      <c r="H194" s="389">
        <f t="shared" si="35"/>
        <v>0</v>
      </c>
    </row>
    <row r="195" spans="1:10" ht="15.75" customHeight="1" x14ac:dyDescent="0.2">
      <c r="A195" s="840"/>
      <c r="B195" s="383">
        <v>53206040000000</v>
      </c>
      <c r="C195" s="384" t="s">
        <v>99</v>
      </c>
      <c r="D195" s="397">
        <v>0</v>
      </c>
      <c r="E195" s="397">
        <v>0</v>
      </c>
      <c r="F195" s="397">
        <v>0</v>
      </c>
      <c r="G195" s="388">
        <f t="shared" si="36"/>
        <v>0</v>
      </c>
      <c r="H195" s="389">
        <f t="shared" si="35"/>
        <v>0</v>
      </c>
    </row>
    <row r="196" spans="1:10" ht="15.75" customHeight="1" x14ac:dyDescent="0.2">
      <c r="A196" s="840"/>
      <c r="B196" s="383">
        <v>53206060000000</v>
      </c>
      <c r="C196" s="384" t="s">
        <v>190</v>
      </c>
      <c r="D196" s="397">
        <v>0</v>
      </c>
      <c r="E196" s="397">
        <v>0</v>
      </c>
      <c r="F196" s="397">
        <v>0</v>
      </c>
      <c r="G196" s="388">
        <f t="shared" si="36"/>
        <v>0</v>
      </c>
      <c r="H196" s="389">
        <f t="shared" si="35"/>
        <v>0</v>
      </c>
    </row>
    <row r="197" spans="1:10" ht="15.75" customHeight="1" x14ac:dyDescent="0.2">
      <c r="A197" s="840"/>
      <c r="B197" s="383">
        <v>53206070000000</v>
      </c>
      <c r="C197" s="384" t="s">
        <v>101</v>
      </c>
      <c r="D197" s="397">
        <v>0</v>
      </c>
      <c r="E197" s="397">
        <v>0</v>
      </c>
      <c r="F197" s="397">
        <v>0</v>
      </c>
      <c r="G197" s="388">
        <f t="shared" si="36"/>
        <v>0</v>
      </c>
      <c r="H197" s="389">
        <f t="shared" si="35"/>
        <v>0</v>
      </c>
    </row>
    <row r="198" spans="1:10" ht="15.75" customHeight="1" x14ac:dyDescent="0.2">
      <c r="A198" s="840"/>
      <c r="B198" s="383">
        <v>53206990000000</v>
      </c>
      <c r="C198" s="384" t="s">
        <v>191</v>
      </c>
      <c r="D198" s="397">
        <v>0</v>
      </c>
      <c r="E198" s="397">
        <v>0</v>
      </c>
      <c r="F198" s="397">
        <v>0</v>
      </c>
      <c r="G198" s="388">
        <f t="shared" si="36"/>
        <v>0</v>
      </c>
      <c r="H198" s="389">
        <f t="shared" si="35"/>
        <v>0</v>
      </c>
    </row>
    <row r="199" spans="1:10" ht="15.75" customHeight="1" x14ac:dyDescent="0.2">
      <c r="A199" s="840"/>
      <c r="B199" s="383">
        <v>53208030000000</v>
      </c>
      <c r="C199" s="384" t="s">
        <v>103</v>
      </c>
      <c r="D199" s="397">
        <v>0</v>
      </c>
      <c r="E199" s="397">
        <v>0</v>
      </c>
      <c r="F199" s="397">
        <v>0</v>
      </c>
      <c r="G199" s="388">
        <f t="shared" si="36"/>
        <v>0</v>
      </c>
      <c r="H199" s="389">
        <f t="shared" si="35"/>
        <v>0</v>
      </c>
    </row>
    <row r="200" spans="1:10" ht="15.75" customHeight="1" x14ac:dyDescent="0.2">
      <c r="A200" s="840"/>
      <c r="B200" s="383">
        <v>53206990000000</v>
      </c>
      <c r="C200" s="384" t="s">
        <v>212</v>
      </c>
      <c r="D200" s="397">
        <v>0</v>
      </c>
      <c r="E200" s="397">
        <v>0</v>
      </c>
      <c r="F200" s="397">
        <v>0</v>
      </c>
      <c r="G200" s="388">
        <f t="shared" si="36"/>
        <v>0</v>
      </c>
      <c r="H200" s="389">
        <f t="shared" si="35"/>
        <v>0</v>
      </c>
    </row>
    <row r="201" spans="1:10" ht="15.75" customHeight="1" x14ac:dyDescent="0.2">
      <c r="A201" s="840"/>
      <c r="B201" s="377"/>
      <c r="C201" s="378" t="s">
        <v>66</v>
      </c>
      <c r="D201" s="379">
        <f>SUM(D202:D202)</f>
        <v>0</v>
      </c>
      <c r="E201" s="380"/>
      <c r="F201" s="380"/>
      <c r="G201" s="379">
        <f>SUM(G202:G202)</f>
        <v>0</v>
      </c>
      <c r="H201" s="382">
        <f>SUM(H202:H202)</f>
        <v>0</v>
      </c>
    </row>
    <row r="202" spans="1:10" ht="15.75" customHeight="1" x14ac:dyDescent="0.2">
      <c r="A202" s="840"/>
      <c r="B202" s="404"/>
      <c r="C202" s="405" t="s">
        <v>213</v>
      </c>
      <c r="D202" s="390">
        <v>0</v>
      </c>
      <c r="E202" s="390">
        <v>0</v>
      </c>
      <c r="F202" s="392">
        <v>0</v>
      </c>
      <c r="G202" s="388">
        <f t="shared" si="36"/>
        <v>0</v>
      </c>
      <c r="H202" s="406">
        <f t="shared" si="35"/>
        <v>0</v>
      </c>
      <c r="I202" s="477" t="s">
        <v>214</v>
      </c>
      <c r="J202" s="411">
        <f>+H200+H199+H198+H197+H196+H195+H194+H192+H191+H190+H189+H188+H187+H186+H185+H183+H180+H179+H178+H177+H176+H174+H172+H171+H165+H164+H163+H161+H160+H159+H158+H157+H156+H155+H154+H153+H152+H151</f>
        <v>0</v>
      </c>
    </row>
    <row r="203" spans="1:10" x14ac:dyDescent="0.2">
      <c r="A203" s="840"/>
      <c r="B203" s="407"/>
      <c r="C203" s="408" t="s">
        <v>104</v>
      </c>
      <c r="D203" s="409">
        <f>SUM(D140,D167)</f>
        <v>0</v>
      </c>
      <c r="E203" s="294"/>
      <c r="F203" s="294"/>
      <c r="G203" s="409">
        <f>SUM(G140,G167)</f>
        <v>0</v>
      </c>
      <c r="H203" s="410">
        <f>SUM(H140,H167)</f>
        <v>0</v>
      </c>
      <c r="I203" s="474" t="s">
        <v>215</v>
      </c>
      <c r="J203" s="412">
        <f>+H203-J202</f>
        <v>0</v>
      </c>
    </row>
    <row r="204" spans="1:10" x14ac:dyDescent="0.2">
      <c r="B204" s="265"/>
      <c r="C204" s="266" t="s">
        <v>104</v>
      </c>
      <c r="D204" s="267">
        <f>SUM(D203+D75)</f>
        <v>62290709.93</v>
      </c>
      <c r="E204" s="267">
        <f>SUM(E203+E75)</f>
        <v>0</v>
      </c>
      <c r="F204" s="267">
        <f>SUM(F203+F75)</f>
        <v>0</v>
      </c>
      <c r="G204" s="267">
        <f>SUM(G203+G75)</f>
        <v>19857260</v>
      </c>
      <c r="H204" s="267">
        <f>SUM(H203+H75+H139)</f>
        <v>124284145.82000001</v>
      </c>
    </row>
    <row r="206" spans="1:10" x14ac:dyDescent="0.2">
      <c r="I206" s="476" t="s">
        <v>216</v>
      </c>
      <c r="J206" s="288">
        <f>SUM(J202+J74+J138)</f>
        <v>33501062</v>
      </c>
    </row>
    <row r="207" spans="1:10" x14ac:dyDescent="0.2">
      <c r="I207" s="475" t="s">
        <v>217</v>
      </c>
      <c r="J207" s="295">
        <f>SUM(J203+J75+J139)</f>
        <v>90783083.820000008</v>
      </c>
    </row>
  </sheetData>
  <sheetProtection algorithmName="SHA-512" hashValue="k19keXqQRlCcD9+mCeXJWc21RL0AdLcqlelaJjX5uVPXo4b/YCpkcxWrQ4FNSeJQMIV/maWWGwHrfKPlAHQjQg==" saltValue="ZAVecE4EXirlxvkAv9y5cQ==" spinCount="100000" sheet="1" objects="1" scenarios="1"/>
  <mergeCells count="15">
    <mergeCell ref="M10:M11"/>
    <mergeCell ref="N10:N11"/>
    <mergeCell ref="O10:O11"/>
    <mergeCell ref="L10:L11"/>
    <mergeCell ref="D4:E4"/>
    <mergeCell ref="E10:G10"/>
    <mergeCell ref="D10:D11"/>
    <mergeCell ref="H10:H11"/>
    <mergeCell ref="A8:C8"/>
    <mergeCell ref="A10:A11"/>
    <mergeCell ref="C10:C11"/>
    <mergeCell ref="B10:B11"/>
    <mergeCell ref="A140:A203"/>
    <mergeCell ref="A76:A139"/>
    <mergeCell ref="A12:A75"/>
  </mergeCells>
  <pageMargins left="0.85" right="0.75" top="0.57013888888888886" bottom="0.90972222222222221" header="0" footer="0.51180555555555551"/>
  <pageSetup firstPageNumber="0" fitToHeight="12" orientation="landscape" horizontalDpi="300" verticalDpi="300" r:id="rId1"/>
  <headerFooter alignWithMargins="0">
    <oddHeader>&amp;LSEPT - 2004&amp;CDIRECTIVA D.B.S.A.ORDINARIO&amp;R02-BS/0307/02pag &amp;P de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B0F0"/>
  </sheetPr>
  <dimension ref="A1:IH101"/>
  <sheetViews>
    <sheetView showGridLines="0" topLeftCell="AH1" zoomScale="80" zoomScaleNormal="80" workbookViewId="0">
      <selection activeCell="Z98" sqref="Z98"/>
    </sheetView>
  </sheetViews>
  <sheetFormatPr baseColWidth="10" defaultColWidth="11.42578125" defaultRowHeight="12.75" x14ac:dyDescent="0.2"/>
  <cols>
    <col min="1" max="1" width="11.5703125" style="20" customWidth="1"/>
    <col min="2" max="2" width="28" style="20" customWidth="1"/>
    <col min="3" max="3" width="28.7109375" style="20" customWidth="1"/>
    <col min="4" max="4" width="24.140625" style="20" customWidth="1"/>
    <col min="5" max="5" width="25.140625" style="20" customWidth="1"/>
    <col min="6" max="6" width="22.140625" style="20" customWidth="1"/>
    <col min="7" max="7" width="14.85546875" style="20" customWidth="1"/>
    <col min="8" max="8" width="15" style="20" customWidth="1"/>
    <col min="9" max="9" width="15.140625" style="20" customWidth="1"/>
    <col min="10" max="10" width="17.42578125" style="20" customWidth="1"/>
    <col min="11" max="11" width="19.140625" style="20" customWidth="1"/>
    <col min="12" max="12" width="4.85546875" style="20" customWidth="1"/>
    <col min="13" max="13" width="19.140625" style="20" customWidth="1"/>
    <col min="14" max="14" width="16.140625" style="20" customWidth="1"/>
    <col min="15" max="15" width="17.140625" style="20" customWidth="1"/>
    <col min="16" max="16" width="14.85546875" style="20" customWidth="1"/>
    <col min="17" max="17" width="17.7109375" style="20" customWidth="1"/>
    <col min="18" max="18" width="17.140625" style="20" customWidth="1"/>
    <col min="19" max="19" width="17.42578125" style="20" customWidth="1"/>
    <col min="20" max="20" width="5" style="20" customWidth="1"/>
    <col min="21" max="21" width="19.85546875" style="20" bestFit="1" customWidth="1"/>
    <col min="22" max="22" width="52.140625" style="20" bestFit="1" customWidth="1"/>
    <col min="23" max="23" width="18.28515625" style="20" customWidth="1"/>
    <col min="24" max="24" width="5.7109375" style="20" customWidth="1"/>
    <col min="25" max="25" width="11.42578125" style="20" customWidth="1"/>
    <col min="26" max="31" width="14.28515625" style="20" customWidth="1"/>
    <col min="32" max="32" width="11.28515625" style="20" customWidth="1"/>
    <col min="33" max="38" width="14.28515625" style="20" customWidth="1"/>
    <col min="39" max="39" width="11.42578125" style="20"/>
    <col min="40" max="45" width="14.28515625" style="20" customWidth="1"/>
    <col min="46" max="16384" width="11.42578125" style="20"/>
  </cols>
  <sheetData>
    <row r="1" spans="1:242" s="4" customFormat="1" x14ac:dyDescent="0.2">
      <c r="E1" s="30" t="s">
        <v>202</v>
      </c>
      <c r="F1" s="30"/>
      <c r="G1" s="30"/>
      <c r="H1" s="30"/>
      <c r="I1" s="30"/>
      <c r="IG1" s="2"/>
      <c r="IH1" s="2"/>
    </row>
    <row r="2" spans="1:242" s="4" customFormat="1" x14ac:dyDescent="0.2">
      <c r="E2" s="30" t="s">
        <v>194</v>
      </c>
      <c r="F2" s="30"/>
      <c r="G2" s="30"/>
      <c r="H2" s="30"/>
      <c r="I2" s="30"/>
      <c r="IG2" s="2"/>
      <c r="IH2" s="2"/>
    </row>
    <row r="3" spans="1:242" s="4" customFormat="1" x14ac:dyDescent="0.2">
      <c r="B3" s="16"/>
      <c r="HX3" s="2"/>
      <c r="HY3" s="2"/>
      <c r="HZ3" s="2"/>
      <c r="IA3" s="2"/>
      <c r="IB3" s="2"/>
      <c r="IC3" s="2"/>
    </row>
    <row r="4" spans="1:242" s="4" customFormat="1" ht="18.75" customHeight="1" x14ac:dyDescent="0.2">
      <c r="B4" s="16"/>
      <c r="D4" s="64" t="s">
        <v>0</v>
      </c>
      <c r="E4" s="124" t="str">
        <f>+'B) Reajuste Tarifas y Ocupación'!F5</f>
        <v>(DEPTO./DELEG.)</v>
      </c>
      <c r="F4" s="39"/>
      <c r="G4" s="40"/>
      <c r="H4" s="40"/>
      <c r="I4" s="40"/>
      <c r="J4" s="40"/>
      <c r="O4" s="1"/>
      <c r="HX4" s="2"/>
      <c r="HY4" s="2"/>
      <c r="HZ4" s="2"/>
      <c r="IA4" s="2"/>
      <c r="IB4" s="2"/>
      <c r="IC4" s="2"/>
    </row>
    <row r="5" spans="1:242" s="4" customFormat="1" x14ac:dyDescent="0.2">
      <c r="B5" s="16"/>
      <c r="D5" s="6"/>
      <c r="E5" s="30"/>
      <c r="F5" s="30"/>
      <c r="G5" s="30"/>
      <c r="H5" s="30"/>
      <c r="I5" s="30"/>
      <c r="J5" s="30"/>
      <c r="O5" s="1"/>
      <c r="HX5" s="2"/>
      <c r="HY5" s="2"/>
      <c r="HZ5" s="2"/>
      <c r="IA5" s="2"/>
      <c r="IB5" s="2"/>
      <c r="IC5" s="2"/>
    </row>
    <row r="6" spans="1:242" s="4" customFormat="1" ht="13.5" thickBot="1" x14ac:dyDescent="0.25">
      <c r="B6" s="16"/>
      <c r="D6" s="6"/>
      <c r="E6" s="30"/>
      <c r="F6" s="30"/>
      <c r="G6" s="30"/>
      <c r="H6" s="30"/>
      <c r="I6" s="30"/>
      <c r="J6" s="30"/>
      <c r="O6" s="1"/>
      <c r="HX6" s="2"/>
      <c r="HY6" s="2"/>
      <c r="HZ6" s="2"/>
      <c r="IA6" s="2"/>
      <c r="IB6" s="2"/>
      <c r="IC6" s="2"/>
    </row>
    <row r="7" spans="1:242" x14ac:dyDescent="0.2">
      <c r="B7" s="18"/>
      <c r="C7" s="18"/>
      <c r="D7" s="18"/>
      <c r="E7" s="18"/>
      <c r="F7" s="18"/>
      <c r="G7" s="18"/>
      <c r="H7" s="18"/>
      <c r="I7" s="18"/>
      <c r="J7" s="25"/>
      <c r="K7" s="25"/>
      <c r="L7" s="25"/>
      <c r="M7" s="25"/>
      <c r="N7" s="25"/>
      <c r="O7" s="25"/>
      <c r="P7" s="25"/>
      <c r="Q7" s="25"/>
      <c r="R7" s="25"/>
      <c r="Y7" s="148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50"/>
    </row>
    <row r="8" spans="1:242" x14ac:dyDescent="0.2">
      <c r="B8" s="18"/>
      <c r="C8" s="18"/>
      <c r="D8" s="18"/>
      <c r="E8" s="18"/>
      <c r="F8" s="18"/>
      <c r="G8" s="18"/>
      <c r="H8" s="18"/>
      <c r="I8" s="18"/>
      <c r="J8" s="25"/>
      <c r="K8" s="25"/>
      <c r="L8" s="25"/>
      <c r="M8" s="25"/>
      <c r="N8" s="25"/>
      <c r="O8" s="25"/>
      <c r="P8" s="25"/>
      <c r="Q8" s="25"/>
      <c r="R8" s="25"/>
      <c r="Y8" s="151"/>
      <c r="AT8" s="152"/>
    </row>
    <row r="9" spans="1:242" ht="15.75" customHeight="1" x14ac:dyDescent="0.2">
      <c r="A9" s="892" t="s">
        <v>151</v>
      </c>
      <c r="B9" s="892"/>
      <c r="C9" s="892"/>
      <c r="D9" s="892"/>
      <c r="E9" s="892"/>
      <c r="F9" s="892"/>
      <c r="G9" s="892"/>
      <c r="H9" s="892"/>
      <c r="I9" s="66"/>
      <c r="J9" s="66"/>
      <c r="K9" s="66"/>
      <c r="L9" s="66"/>
      <c r="M9" s="860" t="s">
        <v>152</v>
      </c>
      <c r="N9" s="860"/>
      <c r="O9" s="860"/>
      <c r="P9" s="860"/>
      <c r="Q9" s="860"/>
      <c r="R9" s="860"/>
      <c r="S9" s="860"/>
      <c r="U9" s="860" t="s">
        <v>153</v>
      </c>
      <c r="V9" s="860"/>
      <c r="W9" s="860"/>
      <c r="X9" s="100"/>
      <c r="Y9" s="153"/>
      <c r="Z9" s="860" t="s">
        <v>208</v>
      </c>
      <c r="AA9" s="860"/>
      <c r="AB9" s="860"/>
      <c r="AC9" s="860"/>
      <c r="AD9" s="860"/>
      <c r="AE9" s="860"/>
      <c r="AF9" s="100"/>
      <c r="AG9" s="860" t="s">
        <v>155</v>
      </c>
      <c r="AH9" s="860"/>
      <c r="AI9" s="860"/>
      <c r="AJ9" s="860"/>
      <c r="AK9" s="860"/>
      <c r="AL9" s="860"/>
      <c r="AN9" s="860" t="s">
        <v>156</v>
      </c>
      <c r="AO9" s="860"/>
      <c r="AP9" s="860"/>
      <c r="AQ9" s="860"/>
      <c r="AR9" s="860"/>
      <c r="AS9" s="860"/>
      <c r="AT9" s="152"/>
    </row>
    <row r="10" spans="1:242" ht="13.5" customHeight="1" x14ac:dyDescent="0.2">
      <c r="B10" s="16"/>
      <c r="C10" s="6"/>
      <c r="D10" s="6"/>
      <c r="E10" s="30"/>
      <c r="F10" s="30"/>
      <c r="G10" s="30"/>
      <c r="H10" s="30"/>
      <c r="I10" s="30"/>
      <c r="J10" s="30"/>
      <c r="M10" s="860"/>
      <c r="N10" s="860"/>
      <c r="O10" s="860"/>
      <c r="P10" s="860"/>
      <c r="Q10" s="860"/>
      <c r="R10" s="860"/>
      <c r="S10" s="860"/>
      <c r="U10" s="860"/>
      <c r="V10" s="860"/>
      <c r="W10" s="860"/>
      <c r="Y10" s="151"/>
      <c r="Z10" s="860"/>
      <c r="AA10" s="860"/>
      <c r="AB10" s="860"/>
      <c r="AC10" s="860"/>
      <c r="AD10" s="860"/>
      <c r="AE10" s="860"/>
      <c r="AG10" s="860"/>
      <c r="AH10" s="860"/>
      <c r="AI10" s="860"/>
      <c r="AJ10" s="860"/>
      <c r="AK10" s="860"/>
      <c r="AL10" s="860"/>
      <c r="AN10" s="860"/>
      <c r="AO10" s="860"/>
      <c r="AP10" s="860"/>
      <c r="AQ10" s="860"/>
      <c r="AR10" s="860"/>
      <c r="AS10" s="860"/>
      <c r="AT10" s="152"/>
    </row>
    <row r="11" spans="1:242" x14ac:dyDescent="0.2">
      <c r="J11" s="43" t="s">
        <v>4</v>
      </c>
      <c r="K11" s="42">
        <v>4.4999999999999998E-2</v>
      </c>
      <c r="Y11" s="151"/>
      <c r="AT11" s="152"/>
    </row>
    <row r="12" spans="1:242" ht="12.75" customHeight="1" thickBot="1" x14ac:dyDescent="0.25">
      <c r="M12" s="913"/>
      <c r="N12" s="913"/>
      <c r="O12" s="913"/>
      <c r="P12" s="913"/>
      <c r="Q12" s="913"/>
      <c r="R12" s="913"/>
      <c r="Y12" s="151"/>
      <c r="AT12" s="152"/>
    </row>
    <row r="13" spans="1:242" ht="21.75" customHeight="1" x14ac:dyDescent="0.2">
      <c r="A13" s="902" t="s">
        <v>115</v>
      </c>
      <c r="B13" s="903"/>
      <c r="C13" s="906" t="s">
        <v>73</v>
      </c>
      <c r="D13" s="906" t="s">
        <v>74</v>
      </c>
      <c r="E13" s="908" t="s">
        <v>3</v>
      </c>
      <c r="F13" s="908" t="s">
        <v>81</v>
      </c>
      <c r="G13" s="910" t="s">
        <v>262</v>
      </c>
      <c r="H13" s="911"/>
      <c r="I13" s="911"/>
      <c r="J13" s="912"/>
      <c r="K13" s="897" t="s">
        <v>264</v>
      </c>
      <c r="L13" s="25"/>
      <c r="M13" s="874" t="s">
        <v>69</v>
      </c>
      <c r="N13" s="899"/>
      <c r="O13" s="862" t="s">
        <v>70</v>
      </c>
      <c r="P13" s="863"/>
      <c r="Q13" s="900" t="s">
        <v>71</v>
      </c>
      <c r="R13" s="901"/>
      <c r="S13" s="858" t="s">
        <v>142</v>
      </c>
      <c r="U13" s="893" t="s">
        <v>75</v>
      </c>
      <c r="V13" s="895" t="s">
        <v>76</v>
      </c>
      <c r="W13" s="861" t="s">
        <v>267</v>
      </c>
      <c r="Y13" s="151"/>
      <c r="Z13" s="868" t="s">
        <v>69</v>
      </c>
      <c r="AA13" s="869"/>
      <c r="AB13" s="870" t="s">
        <v>70</v>
      </c>
      <c r="AC13" s="871"/>
      <c r="AD13" s="872" t="s">
        <v>71</v>
      </c>
      <c r="AE13" s="873"/>
      <c r="AG13" s="874" t="s">
        <v>69</v>
      </c>
      <c r="AH13" s="875"/>
      <c r="AI13" s="862" t="s">
        <v>70</v>
      </c>
      <c r="AJ13" s="863"/>
      <c r="AK13" s="864" t="s">
        <v>71</v>
      </c>
      <c r="AL13" s="865"/>
      <c r="AN13" s="874" t="s">
        <v>69</v>
      </c>
      <c r="AO13" s="875"/>
      <c r="AP13" s="862" t="s">
        <v>70</v>
      </c>
      <c r="AQ13" s="863"/>
      <c r="AR13" s="864" t="s">
        <v>71</v>
      </c>
      <c r="AS13" s="865"/>
      <c r="AT13" s="152"/>
    </row>
    <row r="14" spans="1:242" ht="39" thickBot="1" x14ac:dyDescent="0.25">
      <c r="A14" s="904"/>
      <c r="B14" s="905"/>
      <c r="C14" s="907"/>
      <c r="D14" s="907"/>
      <c r="E14" s="909"/>
      <c r="F14" s="909"/>
      <c r="G14" s="417" t="s">
        <v>218</v>
      </c>
      <c r="H14" s="418" t="s">
        <v>113</v>
      </c>
      <c r="I14" s="417" t="s">
        <v>114</v>
      </c>
      <c r="J14" s="419" t="s">
        <v>263</v>
      </c>
      <c r="K14" s="898"/>
      <c r="L14" s="25"/>
      <c r="M14" s="132" t="s">
        <v>36</v>
      </c>
      <c r="N14" s="134" t="s">
        <v>37</v>
      </c>
      <c r="O14" s="142" t="s">
        <v>36</v>
      </c>
      <c r="P14" s="143" t="s">
        <v>37</v>
      </c>
      <c r="Q14" s="135" t="s">
        <v>36</v>
      </c>
      <c r="R14" s="644" t="s">
        <v>37</v>
      </c>
      <c r="S14" s="859"/>
      <c r="U14" s="894"/>
      <c r="V14" s="896"/>
      <c r="W14" s="861"/>
      <c r="Y14" s="151"/>
      <c r="Z14" s="132" t="s">
        <v>36</v>
      </c>
      <c r="AA14" s="134" t="s">
        <v>37</v>
      </c>
      <c r="AB14" s="142" t="s">
        <v>36</v>
      </c>
      <c r="AC14" s="143" t="s">
        <v>37</v>
      </c>
      <c r="AD14" s="135" t="s">
        <v>36</v>
      </c>
      <c r="AE14" s="133" t="s">
        <v>37</v>
      </c>
      <c r="AG14" s="154" t="s">
        <v>36</v>
      </c>
      <c r="AH14" s="155" t="s">
        <v>37</v>
      </c>
      <c r="AI14" s="156" t="s">
        <v>36</v>
      </c>
      <c r="AJ14" s="157" t="s">
        <v>37</v>
      </c>
      <c r="AK14" s="158" t="s">
        <v>36</v>
      </c>
      <c r="AL14" s="159" t="s">
        <v>37</v>
      </c>
      <c r="AN14" s="866" t="s">
        <v>143</v>
      </c>
      <c r="AO14" s="867"/>
      <c r="AP14" s="853" t="s">
        <v>143</v>
      </c>
      <c r="AQ14" s="854"/>
      <c r="AR14" s="855" t="s">
        <v>144</v>
      </c>
      <c r="AS14" s="856"/>
      <c r="AT14" s="152"/>
    </row>
    <row r="15" spans="1:242" ht="12.75" customHeight="1" thickBot="1" x14ac:dyDescent="0.25">
      <c r="A15" s="882" t="s">
        <v>138</v>
      </c>
      <c r="B15" s="884" t="s">
        <v>92</v>
      </c>
      <c r="C15" s="49" t="s">
        <v>268</v>
      </c>
      <c r="D15" s="356" t="s">
        <v>269</v>
      </c>
      <c r="E15" s="413" t="s">
        <v>270</v>
      </c>
      <c r="F15" s="414" t="s">
        <v>116</v>
      </c>
      <c r="G15" s="315">
        <f>31980436-150000</f>
        <v>31830436</v>
      </c>
      <c r="H15" s="315">
        <v>199557</v>
      </c>
      <c r="I15" s="415">
        <v>161212</v>
      </c>
      <c r="J15" s="416">
        <f>SUM(G15:I15)</f>
        <v>32191205</v>
      </c>
      <c r="K15" s="85">
        <f>+J15*(1+$K$11)</f>
        <v>33639809.224999994</v>
      </c>
      <c r="L15" s="25"/>
      <c r="M15" s="113">
        <v>0.45</v>
      </c>
      <c r="N15" s="128">
        <f t="shared" ref="N15:N61" si="0">+$K15*M15</f>
        <v>15137914.151249997</v>
      </c>
      <c r="O15" s="113">
        <v>0.45</v>
      </c>
      <c r="P15" s="139">
        <f t="shared" ref="P15:P61" si="1">+$K15*O15</f>
        <v>15137914.151249997</v>
      </c>
      <c r="Q15" s="136">
        <v>0.1</v>
      </c>
      <c r="R15" s="128">
        <f t="shared" ref="R15:R61" si="2">+$K15*Q15</f>
        <v>3363980.9224999994</v>
      </c>
      <c r="S15" s="648">
        <f>+M15+O15+Q15</f>
        <v>1</v>
      </c>
      <c r="U15" s="104"/>
      <c r="V15" s="101" t="s">
        <v>11</v>
      </c>
      <c r="W15" s="107">
        <f>SUM(W16,W20)</f>
        <v>26262000</v>
      </c>
      <c r="Y15" s="151"/>
      <c r="Z15" s="144">
        <f t="shared" ref="Z15:AE15" si="3">+M62</f>
        <v>0.46823153467548551</v>
      </c>
      <c r="AA15" s="146">
        <f t="shared" si="3"/>
        <v>57366764.125</v>
      </c>
      <c r="AB15" s="144">
        <f t="shared" si="3"/>
        <v>0.42758358455861195</v>
      </c>
      <c r="AC15" s="147">
        <f t="shared" si="3"/>
        <v>52386660.920000002</v>
      </c>
      <c r="AD15" s="145">
        <f t="shared" si="3"/>
        <v>9.9535013248233051E-2</v>
      </c>
      <c r="AE15" s="147">
        <f t="shared" si="3"/>
        <v>12194825.005000001</v>
      </c>
      <c r="AG15" s="166">
        <f>+Z15</f>
        <v>0.46823153467548551</v>
      </c>
      <c r="AH15" s="160">
        <f>+AG15*W80</f>
        <v>22157652.683913324</v>
      </c>
      <c r="AI15" s="167">
        <f>+AB15</f>
        <v>0.42758358455861195</v>
      </c>
      <c r="AJ15" s="160">
        <f>+AI15*W80</f>
        <v>20234110.388482634</v>
      </c>
      <c r="AK15" s="168">
        <f>+AD15</f>
        <v>9.9535013248233051E-2</v>
      </c>
      <c r="AL15" s="161">
        <f>+AK15*W80</f>
        <v>4710195.8969328841</v>
      </c>
      <c r="AN15" s="851">
        <f>+AH15+AA15</f>
        <v>79524416.80891332</v>
      </c>
      <c r="AO15" s="852"/>
      <c r="AP15" s="851">
        <f>+AJ15+AC15+K70</f>
        <v>72620771.308482632</v>
      </c>
      <c r="AQ15" s="852"/>
      <c r="AR15" s="851">
        <f>+AL15+AE15</f>
        <v>16905020.901932884</v>
      </c>
      <c r="AS15" s="857"/>
      <c r="AT15" s="152"/>
    </row>
    <row r="16" spans="1:242" x14ac:dyDescent="0.2">
      <c r="A16" s="882"/>
      <c r="B16" s="885"/>
      <c r="C16" s="47" t="s">
        <v>271</v>
      </c>
      <c r="D16" s="81" t="s">
        <v>272</v>
      </c>
      <c r="E16" s="82" t="s">
        <v>273</v>
      </c>
      <c r="F16" s="83" t="s">
        <v>116</v>
      </c>
      <c r="G16" s="71">
        <f>13498440-300000</f>
        <v>13198440</v>
      </c>
      <c r="H16" s="71">
        <v>320040</v>
      </c>
      <c r="I16" s="88">
        <v>162000</v>
      </c>
      <c r="J16" s="91">
        <f t="shared" ref="J16:J69" si="4">SUM(G16:I16)</f>
        <v>13680480</v>
      </c>
      <c r="K16" s="86">
        <f t="shared" ref="K16:K69" si="5">+J16*(1+$K$11)</f>
        <v>14296101.6</v>
      </c>
      <c r="L16" s="25"/>
      <c r="M16" s="126">
        <v>0.55000000000000004</v>
      </c>
      <c r="N16" s="129">
        <f t="shared" si="0"/>
        <v>7862855.8800000008</v>
      </c>
      <c r="O16" s="126">
        <v>0.35</v>
      </c>
      <c r="P16" s="127">
        <f t="shared" si="1"/>
        <v>5003635.5599999996</v>
      </c>
      <c r="Q16" s="137">
        <v>0.1</v>
      </c>
      <c r="R16" s="645">
        <f t="shared" si="2"/>
        <v>1429610.1600000001</v>
      </c>
      <c r="S16" s="648">
        <f t="shared" ref="S16:S61" si="6">+M16+O16+Q16</f>
        <v>1</v>
      </c>
      <c r="U16" s="105"/>
      <c r="V16" s="102" t="s">
        <v>12</v>
      </c>
      <c r="W16" s="108">
        <f>SUM(W17:W19)</f>
        <v>800000</v>
      </c>
      <c r="Y16" s="151"/>
      <c r="AT16" s="152"/>
    </row>
    <row r="17" spans="1:46" ht="12.75" customHeight="1" x14ac:dyDescent="0.2">
      <c r="A17" s="882"/>
      <c r="B17" s="885"/>
      <c r="C17" s="47" t="s">
        <v>277</v>
      </c>
      <c r="D17" s="81" t="s">
        <v>278</v>
      </c>
      <c r="E17" s="82" t="s">
        <v>279</v>
      </c>
      <c r="F17" s="83" t="s">
        <v>116</v>
      </c>
      <c r="G17" s="71">
        <f>10944955-300000</f>
        <v>10644955</v>
      </c>
      <c r="H17" s="71">
        <v>320040</v>
      </c>
      <c r="I17" s="88">
        <v>162000</v>
      </c>
      <c r="J17" s="91">
        <f t="shared" si="4"/>
        <v>11126995</v>
      </c>
      <c r="K17" s="86">
        <f t="shared" si="5"/>
        <v>11627709.774999999</v>
      </c>
      <c r="L17" s="25"/>
      <c r="M17" s="126">
        <v>0.45</v>
      </c>
      <c r="N17" s="129">
        <f t="shared" si="0"/>
        <v>5232469.3987499997</v>
      </c>
      <c r="O17" s="126">
        <v>0.45</v>
      </c>
      <c r="P17" s="127">
        <f t="shared" si="1"/>
        <v>5232469.3987499997</v>
      </c>
      <c r="Q17" s="137">
        <v>0.1</v>
      </c>
      <c r="R17" s="645">
        <f t="shared" si="2"/>
        <v>1162770.9774999998</v>
      </c>
      <c r="S17" s="648">
        <f t="shared" si="6"/>
        <v>1</v>
      </c>
      <c r="U17" s="106">
        <v>53103050000000</v>
      </c>
      <c r="V17" s="103" t="s">
        <v>13</v>
      </c>
      <c r="W17" s="109">
        <v>0</v>
      </c>
      <c r="Y17" s="151"/>
      <c r="AT17" s="152"/>
    </row>
    <row r="18" spans="1:46" ht="13.5" customHeight="1" thickBot="1" x14ac:dyDescent="0.25">
      <c r="A18" s="882"/>
      <c r="B18" s="885"/>
      <c r="C18" s="47" t="s">
        <v>274</v>
      </c>
      <c r="D18" s="81" t="s">
        <v>275</v>
      </c>
      <c r="E18" s="82" t="s">
        <v>276</v>
      </c>
      <c r="F18" s="83" t="s">
        <v>116</v>
      </c>
      <c r="G18" s="71">
        <v>9665725</v>
      </c>
      <c r="H18" s="71">
        <v>320040</v>
      </c>
      <c r="I18" s="88">
        <v>162000</v>
      </c>
      <c r="J18" s="91">
        <f t="shared" si="4"/>
        <v>10147765</v>
      </c>
      <c r="K18" s="86">
        <f t="shared" si="5"/>
        <v>10604414.424999999</v>
      </c>
      <c r="L18" s="25"/>
      <c r="M18" s="126">
        <v>0.55000000000000004</v>
      </c>
      <c r="N18" s="129">
        <f t="shared" si="0"/>
        <v>5832427.9337499999</v>
      </c>
      <c r="O18" s="126">
        <v>0.35</v>
      </c>
      <c r="P18" s="127">
        <f t="shared" si="1"/>
        <v>3711545.0487499991</v>
      </c>
      <c r="Q18" s="137">
        <v>0.1</v>
      </c>
      <c r="R18" s="645">
        <f t="shared" si="2"/>
        <v>1060441.4424999999</v>
      </c>
      <c r="S18" s="648">
        <f t="shared" si="6"/>
        <v>1</v>
      </c>
      <c r="U18" s="106">
        <v>53103060000000</v>
      </c>
      <c r="V18" s="103" t="s">
        <v>14</v>
      </c>
      <c r="W18" s="109">
        <v>0</v>
      </c>
      <c r="Y18" s="162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4"/>
    </row>
    <row r="19" spans="1:46" x14ac:dyDescent="0.2">
      <c r="A19" s="882"/>
      <c r="B19" s="885"/>
      <c r="C19" s="47" t="s">
        <v>295</v>
      </c>
      <c r="D19" s="81" t="s">
        <v>294</v>
      </c>
      <c r="E19" s="82" t="s">
        <v>280</v>
      </c>
      <c r="F19" s="83" t="s">
        <v>116</v>
      </c>
      <c r="G19" s="71">
        <f>4779196-300000</f>
        <v>4479196</v>
      </c>
      <c r="H19" s="71">
        <v>320040</v>
      </c>
      <c r="I19" s="88">
        <v>164286</v>
      </c>
      <c r="J19" s="91">
        <f t="shared" si="4"/>
        <v>4963522</v>
      </c>
      <c r="K19" s="86">
        <f t="shared" si="5"/>
        <v>5186880.4899999993</v>
      </c>
      <c r="L19" s="25"/>
      <c r="M19" s="126">
        <v>0.45</v>
      </c>
      <c r="N19" s="129">
        <f t="shared" si="0"/>
        <v>2334096.2204999998</v>
      </c>
      <c r="O19" s="126">
        <v>0.45</v>
      </c>
      <c r="P19" s="127">
        <f t="shared" si="1"/>
        <v>2334096.2204999998</v>
      </c>
      <c r="Q19" s="137">
        <v>0.1</v>
      </c>
      <c r="R19" s="645">
        <f t="shared" si="2"/>
        <v>518688.04899999994</v>
      </c>
      <c r="S19" s="648">
        <f t="shared" si="6"/>
        <v>1</v>
      </c>
      <c r="U19" s="106">
        <v>53103080010000</v>
      </c>
      <c r="V19" s="103" t="s">
        <v>15</v>
      </c>
      <c r="W19" s="109">
        <v>800000</v>
      </c>
    </row>
    <row r="20" spans="1:46" x14ac:dyDescent="0.2">
      <c r="A20" s="882"/>
      <c r="B20" s="885"/>
      <c r="C20" s="47"/>
      <c r="D20" s="81"/>
      <c r="E20" s="82"/>
      <c r="F20" s="83" t="s">
        <v>116</v>
      </c>
      <c r="G20" s="71">
        <v>0</v>
      </c>
      <c r="H20" s="71">
        <v>0</v>
      </c>
      <c r="I20" s="88">
        <v>0</v>
      </c>
      <c r="J20" s="91">
        <f t="shared" si="4"/>
        <v>0</v>
      </c>
      <c r="K20" s="86">
        <f t="shared" si="5"/>
        <v>0</v>
      </c>
      <c r="L20" s="25"/>
      <c r="M20" s="126">
        <v>0</v>
      </c>
      <c r="N20" s="129">
        <f t="shared" si="0"/>
        <v>0</v>
      </c>
      <c r="O20" s="126">
        <v>0</v>
      </c>
      <c r="P20" s="127">
        <f t="shared" si="1"/>
        <v>0</v>
      </c>
      <c r="Q20" s="137">
        <v>0</v>
      </c>
      <c r="R20" s="645">
        <f t="shared" si="2"/>
        <v>0</v>
      </c>
      <c r="S20" s="648">
        <f t="shared" si="6"/>
        <v>0</v>
      </c>
      <c r="U20" s="105"/>
      <c r="V20" s="102" t="s">
        <v>16</v>
      </c>
      <c r="W20" s="165">
        <f>SUM(W21:W39)</f>
        <v>25462000</v>
      </c>
    </row>
    <row r="21" spans="1:46" x14ac:dyDescent="0.2">
      <c r="A21" s="882"/>
      <c r="B21" s="885"/>
      <c r="C21" s="47"/>
      <c r="D21" s="81"/>
      <c r="E21" s="82"/>
      <c r="F21" s="83" t="s">
        <v>116</v>
      </c>
      <c r="G21" s="71">
        <v>0</v>
      </c>
      <c r="H21" s="71">
        <v>0</v>
      </c>
      <c r="I21" s="88">
        <v>0</v>
      </c>
      <c r="J21" s="91">
        <f t="shared" si="4"/>
        <v>0</v>
      </c>
      <c r="K21" s="86">
        <f t="shared" si="5"/>
        <v>0</v>
      </c>
      <c r="L21" s="25"/>
      <c r="M21" s="126">
        <v>0</v>
      </c>
      <c r="N21" s="129">
        <f t="shared" si="0"/>
        <v>0</v>
      </c>
      <c r="O21" s="126">
        <v>0</v>
      </c>
      <c r="P21" s="127">
        <f t="shared" si="1"/>
        <v>0</v>
      </c>
      <c r="Q21" s="137">
        <v>0</v>
      </c>
      <c r="R21" s="645">
        <f t="shared" si="2"/>
        <v>0</v>
      </c>
      <c r="S21" s="648">
        <f t="shared" si="6"/>
        <v>0</v>
      </c>
      <c r="U21" s="106">
        <v>53201010100000</v>
      </c>
      <c r="V21" s="103" t="s">
        <v>17</v>
      </c>
      <c r="W21" s="109">
        <v>3412000</v>
      </c>
    </row>
    <row r="22" spans="1:46" x14ac:dyDescent="0.2">
      <c r="A22" s="882"/>
      <c r="B22" s="885"/>
      <c r="C22" s="47"/>
      <c r="D22" s="81"/>
      <c r="E22" s="82"/>
      <c r="F22" s="83" t="s">
        <v>116</v>
      </c>
      <c r="G22" s="71">
        <v>0</v>
      </c>
      <c r="H22" s="71">
        <v>0</v>
      </c>
      <c r="I22" s="88">
        <v>0</v>
      </c>
      <c r="J22" s="91">
        <f t="shared" si="4"/>
        <v>0</v>
      </c>
      <c r="K22" s="86">
        <f t="shared" si="5"/>
        <v>0</v>
      </c>
      <c r="L22" s="25"/>
      <c r="M22" s="126">
        <v>0</v>
      </c>
      <c r="N22" s="129">
        <f t="shared" si="0"/>
        <v>0</v>
      </c>
      <c r="O22" s="126">
        <v>0</v>
      </c>
      <c r="P22" s="127">
        <f t="shared" si="1"/>
        <v>0</v>
      </c>
      <c r="Q22" s="137">
        <v>0</v>
      </c>
      <c r="R22" s="645">
        <f t="shared" si="2"/>
        <v>0</v>
      </c>
      <c r="S22" s="648">
        <f t="shared" si="6"/>
        <v>0</v>
      </c>
      <c r="U22" s="106">
        <v>53202010100000</v>
      </c>
      <c r="V22" s="103" t="s">
        <v>18</v>
      </c>
      <c r="W22" s="109">
        <v>600000</v>
      </c>
    </row>
    <row r="23" spans="1:46" x14ac:dyDescent="0.2">
      <c r="A23" s="882"/>
      <c r="B23" s="885"/>
      <c r="C23" s="47"/>
      <c r="D23" s="81"/>
      <c r="E23" s="82"/>
      <c r="F23" s="83" t="s">
        <v>116</v>
      </c>
      <c r="G23" s="71">
        <v>0</v>
      </c>
      <c r="H23" s="71">
        <v>0</v>
      </c>
      <c r="I23" s="88">
        <v>0</v>
      </c>
      <c r="J23" s="91">
        <f t="shared" si="4"/>
        <v>0</v>
      </c>
      <c r="K23" s="86">
        <f t="shared" si="5"/>
        <v>0</v>
      </c>
      <c r="L23" s="25"/>
      <c r="M23" s="126">
        <v>0</v>
      </c>
      <c r="N23" s="129">
        <f t="shared" si="0"/>
        <v>0</v>
      </c>
      <c r="O23" s="126">
        <v>0</v>
      </c>
      <c r="P23" s="127">
        <f t="shared" si="1"/>
        <v>0</v>
      </c>
      <c r="Q23" s="137">
        <v>0</v>
      </c>
      <c r="R23" s="645">
        <f t="shared" si="2"/>
        <v>0</v>
      </c>
      <c r="S23" s="648">
        <f t="shared" si="6"/>
        <v>0</v>
      </c>
      <c r="U23" s="106">
        <v>53203010100000</v>
      </c>
      <c r="V23" s="103" t="s">
        <v>19</v>
      </c>
      <c r="W23" s="109">
        <v>3500000</v>
      </c>
    </row>
    <row r="24" spans="1:46" ht="13.5" thickBot="1" x14ac:dyDescent="0.25">
      <c r="A24" s="882"/>
      <c r="B24" s="886"/>
      <c r="C24" s="98"/>
      <c r="D24" s="72"/>
      <c r="E24" s="73"/>
      <c r="F24" s="74" t="s">
        <v>116</v>
      </c>
      <c r="G24" s="75">
        <v>0</v>
      </c>
      <c r="H24" s="75">
        <v>0</v>
      </c>
      <c r="I24" s="89">
        <v>0</v>
      </c>
      <c r="J24" s="92">
        <f t="shared" si="4"/>
        <v>0</v>
      </c>
      <c r="K24" s="84">
        <f t="shared" si="5"/>
        <v>0</v>
      </c>
      <c r="L24" s="25"/>
      <c r="M24" s="131">
        <v>0</v>
      </c>
      <c r="N24" s="130">
        <f t="shared" si="0"/>
        <v>0</v>
      </c>
      <c r="O24" s="131">
        <v>0</v>
      </c>
      <c r="P24" s="140">
        <f t="shared" si="1"/>
        <v>0</v>
      </c>
      <c r="Q24" s="138">
        <v>0</v>
      </c>
      <c r="R24" s="646">
        <f t="shared" si="2"/>
        <v>0</v>
      </c>
      <c r="S24" s="649">
        <f t="shared" si="6"/>
        <v>0</v>
      </c>
      <c r="U24" s="106">
        <v>53203030000000</v>
      </c>
      <c r="V24" s="103" t="s">
        <v>20</v>
      </c>
      <c r="W24" s="109">
        <v>0</v>
      </c>
    </row>
    <row r="25" spans="1:46" ht="12.75" customHeight="1" x14ac:dyDescent="0.2">
      <c r="A25" s="882"/>
      <c r="B25" s="887" t="s">
        <v>91</v>
      </c>
      <c r="C25" s="97" t="s">
        <v>281</v>
      </c>
      <c r="D25" s="76" t="s">
        <v>282</v>
      </c>
      <c r="E25" s="77" t="s">
        <v>134</v>
      </c>
      <c r="F25" s="78" t="s">
        <v>116</v>
      </c>
      <c r="G25" s="70">
        <f>25927376-185000</f>
        <v>25742376</v>
      </c>
      <c r="H25" s="70">
        <v>199557</v>
      </c>
      <c r="I25" s="87">
        <v>162000</v>
      </c>
      <c r="J25" s="90">
        <f t="shared" si="4"/>
        <v>26103933</v>
      </c>
      <c r="K25" s="85">
        <f t="shared" si="5"/>
        <v>27278609.984999999</v>
      </c>
      <c r="L25" s="25"/>
      <c r="M25" s="113">
        <v>0.45</v>
      </c>
      <c r="N25" s="128">
        <f t="shared" si="0"/>
        <v>12275374.493249999</v>
      </c>
      <c r="O25" s="113">
        <v>0.45</v>
      </c>
      <c r="P25" s="139">
        <f t="shared" si="1"/>
        <v>12275374.493249999</v>
      </c>
      <c r="Q25" s="136">
        <v>0.1</v>
      </c>
      <c r="R25" s="128">
        <f t="shared" si="2"/>
        <v>2727860.9985000002</v>
      </c>
      <c r="S25" s="650">
        <f t="shared" si="6"/>
        <v>1</v>
      </c>
      <c r="U25" s="106">
        <v>53204030000000</v>
      </c>
      <c r="V25" s="103" t="s">
        <v>21</v>
      </c>
      <c r="W25" s="109">
        <v>0</v>
      </c>
    </row>
    <row r="26" spans="1:46" ht="12.75" customHeight="1" x14ac:dyDescent="0.2">
      <c r="A26" s="882"/>
      <c r="B26" s="885"/>
      <c r="C26" s="47"/>
      <c r="D26" s="81"/>
      <c r="E26" s="82"/>
      <c r="F26" s="83" t="s">
        <v>116</v>
      </c>
      <c r="G26" s="71">
        <v>0</v>
      </c>
      <c r="H26" s="71">
        <v>0</v>
      </c>
      <c r="I26" s="88">
        <v>0</v>
      </c>
      <c r="J26" s="91">
        <f t="shared" si="4"/>
        <v>0</v>
      </c>
      <c r="K26" s="86">
        <f t="shared" si="5"/>
        <v>0</v>
      </c>
      <c r="L26" s="25"/>
      <c r="M26" s="126">
        <v>0</v>
      </c>
      <c r="N26" s="129">
        <f t="shared" si="0"/>
        <v>0</v>
      </c>
      <c r="O26" s="126">
        <v>0</v>
      </c>
      <c r="P26" s="127">
        <f t="shared" si="1"/>
        <v>0</v>
      </c>
      <c r="Q26" s="137">
        <v>0</v>
      </c>
      <c r="R26" s="645">
        <f t="shared" si="2"/>
        <v>0</v>
      </c>
      <c r="S26" s="648">
        <f t="shared" si="6"/>
        <v>0</v>
      </c>
      <c r="U26" s="106">
        <v>53204100100001</v>
      </c>
      <c r="V26" s="103" t="s">
        <v>22</v>
      </c>
      <c r="W26" s="109">
        <v>4800000</v>
      </c>
    </row>
    <row r="27" spans="1:46" ht="12.75" customHeight="1" x14ac:dyDescent="0.2">
      <c r="A27" s="882"/>
      <c r="B27" s="885"/>
      <c r="C27" s="47"/>
      <c r="D27" s="81"/>
      <c r="E27" s="82"/>
      <c r="F27" s="83" t="s">
        <v>116</v>
      </c>
      <c r="G27" s="71">
        <v>0</v>
      </c>
      <c r="H27" s="71">
        <v>0</v>
      </c>
      <c r="I27" s="88">
        <v>0</v>
      </c>
      <c r="J27" s="91">
        <f t="shared" si="4"/>
        <v>0</v>
      </c>
      <c r="K27" s="86">
        <f t="shared" si="5"/>
        <v>0</v>
      </c>
      <c r="L27" s="25"/>
      <c r="M27" s="126">
        <v>0</v>
      </c>
      <c r="N27" s="129">
        <f t="shared" si="0"/>
        <v>0</v>
      </c>
      <c r="O27" s="126">
        <v>0</v>
      </c>
      <c r="P27" s="127">
        <f t="shared" si="1"/>
        <v>0</v>
      </c>
      <c r="Q27" s="137">
        <v>0</v>
      </c>
      <c r="R27" s="645">
        <f t="shared" si="2"/>
        <v>0</v>
      </c>
      <c r="S27" s="648">
        <f t="shared" si="6"/>
        <v>0</v>
      </c>
      <c r="U27" s="106">
        <v>53204130100000</v>
      </c>
      <c r="V27" s="103" t="s">
        <v>23</v>
      </c>
      <c r="W27" s="109">
        <v>0</v>
      </c>
    </row>
    <row r="28" spans="1:46" ht="12.75" customHeight="1" x14ac:dyDescent="0.2">
      <c r="A28" s="882"/>
      <c r="B28" s="885"/>
      <c r="C28" s="47"/>
      <c r="D28" s="81"/>
      <c r="E28" s="82"/>
      <c r="F28" s="83" t="s">
        <v>116</v>
      </c>
      <c r="G28" s="71">
        <v>0</v>
      </c>
      <c r="H28" s="71">
        <v>0</v>
      </c>
      <c r="I28" s="88">
        <v>0</v>
      </c>
      <c r="J28" s="91">
        <f t="shared" si="4"/>
        <v>0</v>
      </c>
      <c r="K28" s="86">
        <f t="shared" si="5"/>
        <v>0</v>
      </c>
      <c r="L28" s="25"/>
      <c r="M28" s="126">
        <v>0</v>
      </c>
      <c r="N28" s="129">
        <f t="shared" si="0"/>
        <v>0</v>
      </c>
      <c r="O28" s="126">
        <v>0</v>
      </c>
      <c r="P28" s="127">
        <f t="shared" si="1"/>
        <v>0</v>
      </c>
      <c r="Q28" s="137">
        <v>0</v>
      </c>
      <c r="R28" s="645">
        <f t="shared" si="2"/>
        <v>0</v>
      </c>
      <c r="S28" s="648">
        <f t="shared" si="6"/>
        <v>0</v>
      </c>
      <c r="U28" s="106">
        <v>53205010100000</v>
      </c>
      <c r="V28" s="103" t="s">
        <v>24</v>
      </c>
      <c r="W28" s="109">
        <v>3180000</v>
      </c>
    </row>
    <row r="29" spans="1:46" ht="12.75" customHeight="1" x14ac:dyDescent="0.2">
      <c r="A29" s="882"/>
      <c r="B29" s="885"/>
      <c r="C29" s="47"/>
      <c r="D29" s="81"/>
      <c r="E29" s="82"/>
      <c r="F29" s="83" t="s">
        <v>116</v>
      </c>
      <c r="G29" s="71">
        <v>0</v>
      </c>
      <c r="H29" s="71">
        <v>0</v>
      </c>
      <c r="I29" s="88">
        <v>0</v>
      </c>
      <c r="J29" s="91">
        <f t="shared" si="4"/>
        <v>0</v>
      </c>
      <c r="K29" s="86">
        <f t="shared" si="5"/>
        <v>0</v>
      </c>
      <c r="L29" s="25"/>
      <c r="M29" s="126">
        <v>0</v>
      </c>
      <c r="N29" s="129">
        <f t="shared" si="0"/>
        <v>0</v>
      </c>
      <c r="O29" s="126">
        <v>0</v>
      </c>
      <c r="P29" s="127">
        <f t="shared" si="1"/>
        <v>0</v>
      </c>
      <c r="Q29" s="137">
        <v>0</v>
      </c>
      <c r="R29" s="645">
        <f t="shared" si="2"/>
        <v>0</v>
      </c>
      <c r="S29" s="648">
        <f t="shared" si="6"/>
        <v>0</v>
      </c>
      <c r="U29" s="106">
        <v>53205020100000</v>
      </c>
      <c r="V29" s="103" t="s">
        <v>25</v>
      </c>
      <c r="W29" s="109">
        <v>1320000</v>
      </c>
    </row>
    <row r="30" spans="1:46" ht="12.75" customHeight="1" x14ac:dyDescent="0.2">
      <c r="A30" s="882"/>
      <c r="B30" s="885"/>
      <c r="C30" s="47"/>
      <c r="D30" s="81"/>
      <c r="E30" s="82"/>
      <c r="F30" s="83" t="s">
        <v>116</v>
      </c>
      <c r="G30" s="71">
        <v>0</v>
      </c>
      <c r="H30" s="71">
        <v>0</v>
      </c>
      <c r="I30" s="88">
        <v>0</v>
      </c>
      <c r="J30" s="91">
        <f t="shared" si="4"/>
        <v>0</v>
      </c>
      <c r="K30" s="86">
        <f t="shared" si="5"/>
        <v>0</v>
      </c>
      <c r="L30" s="25"/>
      <c r="M30" s="126">
        <v>0</v>
      </c>
      <c r="N30" s="129">
        <f t="shared" si="0"/>
        <v>0</v>
      </c>
      <c r="O30" s="126">
        <v>0</v>
      </c>
      <c r="P30" s="127">
        <f t="shared" si="1"/>
        <v>0</v>
      </c>
      <c r="Q30" s="137">
        <v>0</v>
      </c>
      <c r="R30" s="645">
        <f t="shared" si="2"/>
        <v>0</v>
      </c>
      <c r="S30" s="648">
        <f t="shared" si="6"/>
        <v>0</v>
      </c>
      <c r="U30" s="106">
        <v>53205030100000</v>
      </c>
      <c r="V30" s="103" t="s">
        <v>26</v>
      </c>
      <c r="W30" s="109">
        <v>400000</v>
      </c>
    </row>
    <row r="31" spans="1:46" ht="12.75" customHeight="1" x14ac:dyDescent="0.2">
      <c r="A31" s="882"/>
      <c r="B31" s="885"/>
      <c r="C31" s="47"/>
      <c r="D31" s="81"/>
      <c r="E31" s="82"/>
      <c r="F31" s="83" t="s">
        <v>116</v>
      </c>
      <c r="G31" s="71">
        <v>0</v>
      </c>
      <c r="H31" s="71">
        <v>0</v>
      </c>
      <c r="I31" s="88">
        <v>0</v>
      </c>
      <c r="J31" s="91">
        <f t="shared" si="4"/>
        <v>0</v>
      </c>
      <c r="K31" s="86">
        <f t="shared" si="5"/>
        <v>0</v>
      </c>
      <c r="L31" s="25"/>
      <c r="M31" s="126">
        <v>0</v>
      </c>
      <c r="N31" s="129">
        <f t="shared" si="0"/>
        <v>0</v>
      </c>
      <c r="O31" s="126">
        <v>0</v>
      </c>
      <c r="P31" s="127">
        <f t="shared" si="1"/>
        <v>0</v>
      </c>
      <c r="Q31" s="137">
        <v>0</v>
      </c>
      <c r="R31" s="645">
        <f t="shared" si="2"/>
        <v>0</v>
      </c>
      <c r="S31" s="648">
        <f t="shared" si="6"/>
        <v>0</v>
      </c>
      <c r="U31" s="106">
        <v>53205050100000</v>
      </c>
      <c r="V31" s="103" t="s">
        <v>27</v>
      </c>
      <c r="W31" s="109">
        <v>0</v>
      </c>
    </row>
    <row r="32" spans="1:46" ht="12.75" customHeight="1" x14ac:dyDescent="0.2">
      <c r="A32" s="882"/>
      <c r="B32" s="885"/>
      <c r="C32" s="47"/>
      <c r="D32" s="81"/>
      <c r="E32" s="82"/>
      <c r="F32" s="83" t="s">
        <v>116</v>
      </c>
      <c r="G32" s="71">
        <v>0</v>
      </c>
      <c r="H32" s="71">
        <v>0</v>
      </c>
      <c r="I32" s="88">
        <v>0</v>
      </c>
      <c r="J32" s="91">
        <f t="shared" si="4"/>
        <v>0</v>
      </c>
      <c r="K32" s="86">
        <f t="shared" si="5"/>
        <v>0</v>
      </c>
      <c r="L32" s="25"/>
      <c r="M32" s="126">
        <v>0</v>
      </c>
      <c r="N32" s="129">
        <f t="shared" si="0"/>
        <v>0</v>
      </c>
      <c r="O32" s="126">
        <v>0</v>
      </c>
      <c r="P32" s="127">
        <f t="shared" si="1"/>
        <v>0</v>
      </c>
      <c r="Q32" s="137">
        <v>0</v>
      </c>
      <c r="R32" s="645">
        <f t="shared" si="2"/>
        <v>0</v>
      </c>
      <c r="S32" s="648">
        <f t="shared" si="6"/>
        <v>0</v>
      </c>
      <c r="U32" s="106">
        <v>53205060100000</v>
      </c>
      <c r="V32" s="103" t="s">
        <v>28</v>
      </c>
      <c r="W32" s="109">
        <v>0</v>
      </c>
    </row>
    <row r="33" spans="1:23" ht="12.75" customHeight="1" x14ac:dyDescent="0.2">
      <c r="A33" s="882"/>
      <c r="B33" s="885"/>
      <c r="C33" s="47"/>
      <c r="D33" s="81"/>
      <c r="E33" s="82"/>
      <c r="F33" s="83" t="s">
        <v>116</v>
      </c>
      <c r="G33" s="71">
        <v>0</v>
      </c>
      <c r="H33" s="71">
        <v>0</v>
      </c>
      <c r="I33" s="88">
        <v>0</v>
      </c>
      <c r="J33" s="91">
        <f t="shared" si="4"/>
        <v>0</v>
      </c>
      <c r="K33" s="86">
        <f t="shared" si="5"/>
        <v>0</v>
      </c>
      <c r="L33" s="25"/>
      <c r="M33" s="126">
        <v>0</v>
      </c>
      <c r="N33" s="129">
        <f t="shared" si="0"/>
        <v>0</v>
      </c>
      <c r="O33" s="126">
        <v>0</v>
      </c>
      <c r="P33" s="127">
        <f t="shared" si="1"/>
        <v>0</v>
      </c>
      <c r="Q33" s="137">
        <v>0</v>
      </c>
      <c r="R33" s="645">
        <f t="shared" si="2"/>
        <v>0</v>
      </c>
      <c r="S33" s="648">
        <f t="shared" si="6"/>
        <v>0</v>
      </c>
      <c r="U33" s="106">
        <v>53205070100000</v>
      </c>
      <c r="V33" s="103" t="s">
        <v>29</v>
      </c>
      <c r="W33" s="109">
        <v>0</v>
      </c>
    </row>
    <row r="34" spans="1:23" ht="12.75" customHeight="1" thickBot="1" x14ac:dyDescent="0.25">
      <c r="A34" s="882"/>
      <c r="B34" s="886"/>
      <c r="C34" s="98"/>
      <c r="D34" s="72"/>
      <c r="E34" s="73"/>
      <c r="F34" s="74" t="s">
        <v>116</v>
      </c>
      <c r="G34" s="75">
        <v>0</v>
      </c>
      <c r="H34" s="75">
        <v>0</v>
      </c>
      <c r="I34" s="89">
        <v>0</v>
      </c>
      <c r="J34" s="92">
        <f t="shared" si="4"/>
        <v>0</v>
      </c>
      <c r="K34" s="84">
        <f t="shared" si="5"/>
        <v>0</v>
      </c>
      <c r="L34" s="25"/>
      <c r="M34" s="131">
        <v>0</v>
      </c>
      <c r="N34" s="130">
        <f t="shared" si="0"/>
        <v>0</v>
      </c>
      <c r="O34" s="131">
        <v>0</v>
      </c>
      <c r="P34" s="140">
        <f t="shared" si="1"/>
        <v>0</v>
      </c>
      <c r="Q34" s="138">
        <v>0</v>
      </c>
      <c r="R34" s="646">
        <f t="shared" si="2"/>
        <v>0</v>
      </c>
      <c r="S34" s="649">
        <f t="shared" si="6"/>
        <v>0</v>
      </c>
      <c r="U34" s="106">
        <v>53208010100000</v>
      </c>
      <c r="V34" s="103" t="s">
        <v>30</v>
      </c>
      <c r="W34" s="109">
        <v>50000</v>
      </c>
    </row>
    <row r="35" spans="1:23" ht="12.75" customHeight="1" x14ac:dyDescent="0.2">
      <c r="A35" s="882"/>
      <c r="B35" s="887" t="s">
        <v>90</v>
      </c>
      <c r="C35" s="97" t="s">
        <v>283</v>
      </c>
      <c r="D35" s="76" t="s">
        <v>284</v>
      </c>
      <c r="E35" s="77" t="s">
        <v>133</v>
      </c>
      <c r="F35" s="78" t="s">
        <v>116</v>
      </c>
      <c r="G35" s="70">
        <f>17211418-300000</f>
        <v>16911418</v>
      </c>
      <c r="H35" s="70">
        <v>320040</v>
      </c>
      <c r="I35" s="87">
        <v>161212</v>
      </c>
      <c r="J35" s="90">
        <f t="shared" si="4"/>
        <v>17392670</v>
      </c>
      <c r="K35" s="85">
        <f t="shared" si="5"/>
        <v>18175340.149999999</v>
      </c>
      <c r="L35" s="25"/>
      <c r="M35" s="113">
        <v>0.45</v>
      </c>
      <c r="N35" s="128">
        <f t="shared" si="0"/>
        <v>8178903.0674999999</v>
      </c>
      <c r="O35" s="113">
        <v>0.45</v>
      </c>
      <c r="P35" s="139">
        <f t="shared" si="1"/>
        <v>8178903.0674999999</v>
      </c>
      <c r="Q35" s="136">
        <v>0.1</v>
      </c>
      <c r="R35" s="128">
        <f t="shared" si="2"/>
        <v>1817534.0149999999</v>
      </c>
      <c r="S35" s="650">
        <f t="shared" si="6"/>
        <v>1</v>
      </c>
      <c r="U35" s="106">
        <v>53208070100001</v>
      </c>
      <c r="V35" s="103" t="s">
        <v>31</v>
      </c>
      <c r="W35" s="109">
        <v>700000</v>
      </c>
    </row>
    <row r="36" spans="1:23" ht="12.75" customHeight="1" x14ac:dyDescent="0.2">
      <c r="A36" s="882"/>
      <c r="B36" s="885"/>
      <c r="C36" s="47"/>
      <c r="D36" s="81"/>
      <c r="E36" s="82"/>
      <c r="F36" s="83" t="s">
        <v>116</v>
      </c>
      <c r="G36" s="71">
        <v>0</v>
      </c>
      <c r="H36" s="71">
        <v>0</v>
      </c>
      <c r="I36" s="88">
        <v>0</v>
      </c>
      <c r="J36" s="91">
        <f t="shared" si="4"/>
        <v>0</v>
      </c>
      <c r="K36" s="86">
        <f t="shared" si="5"/>
        <v>0</v>
      </c>
      <c r="L36" s="25"/>
      <c r="M36" s="126">
        <v>0</v>
      </c>
      <c r="N36" s="129">
        <f t="shared" si="0"/>
        <v>0</v>
      </c>
      <c r="O36" s="126">
        <v>0</v>
      </c>
      <c r="P36" s="127">
        <f t="shared" si="1"/>
        <v>0</v>
      </c>
      <c r="Q36" s="137">
        <v>0</v>
      </c>
      <c r="R36" s="645">
        <f t="shared" si="2"/>
        <v>0</v>
      </c>
      <c r="S36" s="648">
        <f t="shared" si="6"/>
        <v>0</v>
      </c>
      <c r="U36" s="106">
        <v>53208100100001</v>
      </c>
      <c r="V36" s="103" t="s">
        <v>129</v>
      </c>
      <c r="W36" s="109">
        <v>0</v>
      </c>
    </row>
    <row r="37" spans="1:23" ht="12.75" customHeight="1" x14ac:dyDescent="0.2">
      <c r="A37" s="882"/>
      <c r="B37" s="885"/>
      <c r="C37" s="47"/>
      <c r="D37" s="81"/>
      <c r="E37" s="82"/>
      <c r="F37" s="83" t="s">
        <v>116</v>
      </c>
      <c r="G37" s="71">
        <v>0</v>
      </c>
      <c r="H37" s="71">
        <v>0</v>
      </c>
      <c r="I37" s="88">
        <v>0</v>
      </c>
      <c r="J37" s="91">
        <f t="shared" si="4"/>
        <v>0</v>
      </c>
      <c r="K37" s="86">
        <f t="shared" si="5"/>
        <v>0</v>
      </c>
      <c r="L37" s="25"/>
      <c r="M37" s="126">
        <v>0</v>
      </c>
      <c r="N37" s="129">
        <f t="shared" si="0"/>
        <v>0</v>
      </c>
      <c r="O37" s="126">
        <v>0</v>
      </c>
      <c r="P37" s="127">
        <f t="shared" si="1"/>
        <v>0</v>
      </c>
      <c r="Q37" s="137">
        <v>0</v>
      </c>
      <c r="R37" s="645">
        <f t="shared" si="2"/>
        <v>0</v>
      </c>
      <c r="S37" s="648">
        <f t="shared" si="6"/>
        <v>0</v>
      </c>
      <c r="U37" s="106">
        <v>53211030000000</v>
      </c>
      <c r="V37" s="103" t="s">
        <v>32</v>
      </c>
      <c r="W37" s="109">
        <v>0</v>
      </c>
    </row>
    <row r="38" spans="1:23" ht="12.75" customHeight="1" x14ac:dyDescent="0.2">
      <c r="A38" s="882"/>
      <c r="B38" s="885"/>
      <c r="C38" s="47"/>
      <c r="D38" s="81"/>
      <c r="E38" s="82"/>
      <c r="F38" s="83" t="s">
        <v>116</v>
      </c>
      <c r="G38" s="71">
        <v>0</v>
      </c>
      <c r="H38" s="71">
        <v>0</v>
      </c>
      <c r="I38" s="88">
        <v>0</v>
      </c>
      <c r="J38" s="91">
        <f t="shared" si="4"/>
        <v>0</v>
      </c>
      <c r="K38" s="86">
        <f t="shared" si="5"/>
        <v>0</v>
      </c>
      <c r="L38" s="25"/>
      <c r="M38" s="126">
        <v>0</v>
      </c>
      <c r="N38" s="129">
        <f t="shared" si="0"/>
        <v>0</v>
      </c>
      <c r="O38" s="126">
        <v>0</v>
      </c>
      <c r="P38" s="127">
        <f t="shared" si="1"/>
        <v>0</v>
      </c>
      <c r="Q38" s="137">
        <v>0</v>
      </c>
      <c r="R38" s="645">
        <f t="shared" si="2"/>
        <v>0</v>
      </c>
      <c r="S38" s="648">
        <f t="shared" si="6"/>
        <v>0</v>
      </c>
      <c r="U38" s="106">
        <v>53212020100000</v>
      </c>
      <c r="V38" s="103" t="s">
        <v>97</v>
      </c>
      <c r="W38" s="109">
        <v>7500000</v>
      </c>
    </row>
    <row r="39" spans="1:23" ht="12.75" customHeight="1" thickBot="1" x14ac:dyDescent="0.25">
      <c r="A39" s="882"/>
      <c r="B39" s="886"/>
      <c r="C39" s="98"/>
      <c r="D39" s="72"/>
      <c r="E39" s="73"/>
      <c r="F39" s="74" t="s">
        <v>116</v>
      </c>
      <c r="G39" s="75">
        <v>0</v>
      </c>
      <c r="H39" s="75">
        <v>0</v>
      </c>
      <c r="I39" s="89">
        <v>0</v>
      </c>
      <c r="J39" s="92">
        <f t="shared" si="4"/>
        <v>0</v>
      </c>
      <c r="K39" s="84">
        <f t="shared" si="5"/>
        <v>0</v>
      </c>
      <c r="L39" s="25"/>
      <c r="M39" s="131">
        <v>0</v>
      </c>
      <c r="N39" s="130">
        <f t="shared" si="0"/>
        <v>0</v>
      </c>
      <c r="O39" s="131">
        <v>0</v>
      </c>
      <c r="P39" s="140">
        <f t="shared" si="1"/>
        <v>0</v>
      </c>
      <c r="Q39" s="138">
        <v>0</v>
      </c>
      <c r="R39" s="646">
        <f t="shared" si="2"/>
        <v>0</v>
      </c>
      <c r="S39" s="649">
        <f t="shared" si="6"/>
        <v>0</v>
      </c>
      <c r="U39" s="106">
        <v>53214020000000</v>
      </c>
      <c r="V39" s="103" t="s">
        <v>33</v>
      </c>
      <c r="W39" s="109">
        <v>0</v>
      </c>
    </row>
    <row r="40" spans="1:23" ht="12.75" customHeight="1" x14ac:dyDescent="0.2">
      <c r="A40" s="882"/>
      <c r="B40" s="888" t="s">
        <v>117</v>
      </c>
      <c r="C40" s="99" t="s">
        <v>285</v>
      </c>
      <c r="D40" s="67" t="s">
        <v>286</v>
      </c>
      <c r="E40" s="68" t="s">
        <v>287</v>
      </c>
      <c r="F40" s="69" t="s">
        <v>116</v>
      </c>
      <c r="G40" s="70">
        <v>545160</v>
      </c>
      <c r="H40" s="70">
        <v>0</v>
      </c>
      <c r="I40" s="87">
        <v>0</v>
      </c>
      <c r="J40" s="93">
        <f t="shared" ref="J40:J61" si="7">SUM(G40:I40)</f>
        <v>545160</v>
      </c>
      <c r="K40" s="95">
        <f t="shared" si="5"/>
        <v>569692.19999999995</v>
      </c>
      <c r="L40" s="25"/>
      <c r="M40" s="113">
        <v>0.45</v>
      </c>
      <c r="N40" s="128">
        <f t="shared" si="0"/>
        <v>256361.49</v>
      </c>
      <c r="O40" s="113">
        <v>0.45</v>
      </c>
      <c r="P40" s="139">
        <f t="shared" si="1"/>
        <v>256361.49</v>
      </c>
      <c r="Q40" s="136">
        <v>0.1</v>
      </c>
      <c r="R40" s="128">
        <f t="shared" si="2"/>
        <v>56969.22</v>
      </c>
      <c r="S40" s="650">
        <f t="shared" si="6"/>
        <v>1</v>
      </c>
      <c r="U40" s="104"/>
      <c r="V40" s="101" t="s">
        <v>34</v>
      </c>
      <c r="W40" s="107">
        <f>SUM(W41,W46,W49,W60,W70,W78)</f>
        <v>21060000</v>
      </c>
    </row>
    <row r="41" spans="1:23" ht="12.75" customHeight="1" x14ac:dyDescent="0.2">
      <c r="A41" s="882"/>
      <c r="B41" s="889"/>
      <c r="C41" s="48" t="s">
        <v>288</v>
      </c>
      <c r="D41" s="50" t="s">
        <v>289</v>
      </c>
      <c r="E41" s="51" t="s">
        <v>290</v>
      </c>
      <c r="F41" s="59" t="s">
        <v>116</v>
      </c>
      <c r="G41" s="71">
        <v>545160</v>
      </c>
      <c r="H41" s="71">
        <v>0</v>
      </c>
      <c r="I41" s="88">
        <v>0</v>
      </c>
      <c r="J41" s="94">
        <f t="shared" ref="J41:J48" si="8">SUM(G41:I41)</f>
        <v>545160</v>
      </c>
      <c r="K41" s="96">
        <f t="shared" si="5"/>
        <v>569692.19999999995</v>
      </c>
      <c r="L41" s="25"/>
      <c r="M41" s="126">
        <v>0.45</v>
      </c>
      <c r="N41" s="129">
        <f t="shared" si="0"/>
        <v>256361.49</v>
      </c>
      <c r="O41" s="126">
        <v>0.45</v>
      </c>
      <c r="P41" s="127">
        <f t="shared" si="1"/>
        <v>256361.49</v>
      </c>
      <c r="Q41" s="137">
        <v>0.1</v>
      </c>
      <c r="R41" s="645">
        <f t="shared" si="2"/>
        <v>56969.22</v>
      </c>
      <c r="S41" s="648">
        <f t="shared" si="6"/>
        <v>1</v>
      </c>
      <c r="U41" s="105"/>
      <c r="V41" s="102" t="s">
        <v>35</v>
      </c>
      <c r="W41" s="108">
        <f>SUM(W42:W45)</f>
        <v>600000</v>
      </c>
    </row>
    <row r="42" spans="1:23" ht="12.75" customHeight="1" x14ac:dyDescent="0.2">
      <c r="A42" s="882"/>
      <c r="B42" s="889"/>
      <c r="C42" s="48" t="s">
        <v>291</v>
      </c>
      <c r="D42" s="50" t="s">
        <v>292</v>
      </c>
      <c r="E42" s="51" t="s">
        <v>293</v>
      </c>
      <c r="F42" s="59" t="s">
        <v>116</v>
      </c>
      <c r="G42" s="71">
        <v>545160</v>
      </c>
      <c r="H42" s="71">
        <v>0</v>
      </c>
      <c r="I42" s="88">
        <v>0</v>
      </c>
      <c r="J42" s="94">
        <f t="shared" si="8"/>
        <v>545160</v>
      </c>
      <c r="K42" s="96">
        <f t="shared" si="5"/>
        <v>569692.19999999995</v>
      </c>
      <c r="L42" s="25"/>
      <c r="M42" s="126">
        <v>0</v>
      </c>
      <c r="N42" s="129">
        <f t="shared" si="0"/>
        <v>0</v>
      </c>
      <c r="O42" s="126">
        <v>0</v>
      </c>
      <c r="P42" s="127">
        <f t="shared" si="1"/>
        <v>0</v>
      </c>
      <c r="Q42" s="137">
        <v>0</v>
      </c>
      <c r="R42" s="645">
        <f t="shared" si="2"/>
        <v>0</v>
      </c>
      <c r="S42" s="648">
        <f t="shared" si="6"/>
        <v>0</v>
      </c>
      <c r="U42" s="106">
        <v>53202020100000</v>
      </c>
      <c r="V42" s="103" t="s">
        <v>39</v>
      </c>
      <c r="W42" s="109">
        <v>300000</v>
      </c>
    </row>
    <row r="43" spans="1:23" ht="12.75" customHeight="1" x14ac:dyDescent="0.2">
      <c r="A43" s="882"/>
      <c r="B43" s="889"/>
      <c r="C43" s="48"/>
      <c r="D43" s="50"/>
      <c r="E43" s="51"/>
      <c r="F43" s="59" t="s">
        <v>116</v>
      </c>
      <c r="G43" s="71">
        <v>0</v>
      </c>
      <c r="H43" s="71">
        <v>0</v>
      </c>
      <c r="I43" s="88">
        <v>0</v>
      </c>
      <c r="J43" s="94">
        <f t="shared" si="8"/>
        <v>0</v>
      </c>
      <c r="K43" s="96">
        <f t="shared" si="5"/>
        <v>0</v>
      </c>
      <c r="L43" s="25"/>
      <c r="M43" s="126">
        <v>0</v>
      </c>
      <c r="N43" s="129">
        <f t="shared" si="0"/>
        <v>0</v>
      </c>
      <c r="O43" s="126">
        <v>0</v>
      </c>
      <c r="P43" s="127">
        <f t="shared" si="1"/>
        <v>0</v>
      </c>
      <c r="Q43" s="137">
        <v>0</v>
      </c>
      <c r="R43" s="645">
        <f t="shared" si="2"/>
        <v>0</v>
      </c>
      <c r="S43" s="648">
        <f t="shared" si="6"/>
        <v>0</v>
      </c>
      <c r="U43" s="106">
        <v>53202030000000</v>
      </c>
      <c r="V43" s="103" t="s">
        <v>40</v>
      </c>
      <c r="W43" s="109">
        <v>0</v>
      </c>
    </row>
    <row r="44" spans="1:23" ht="12.75" customHeight="1" x14ac:dyDescent="0.2">
      <c r="A44" s="882"/>
      <c r="B44" s="889"/>
      <c r="C44" s="48"/>
      <c r="D44" s="50"/>
      <c r="E44" s="51"/>
      <c r="F44" s="59" t="s">
        <v>116</v>
      </c>
      <c r="G44" s="71">
        <v>0</v>
      </c>
      <c r="H44" s="71">
        <v>0</v>
      </c>
      <c r="I44" s="88">
        <v>0</v>
      </c>
      <c r="J44" s="94">
        <f t="shared" si="8"/>
        <v>0</v>
      </c>
      <c r="K44" s="96">
        <f t="shared" si="5"/>
        <v>0</v>
      </c>
      <c r="L44" s="25"/>
      <c r="M44" s="126">
        <v>0</v>
      </c>
      <c r="N44" s="129">
        <f t="shared" si="0"/>
        <v>0</v>
      </c>
      <c r="O44" s="126">
        <v>0</v>
      </c>
      <c r="P44" s="127">
        <f t="shared" si="1"/>
        <v>0</v>
      </c>
      <c r="Q44" s="137">
        <v>0</v>
      </c>
      <c r="R44" s="645">
        <f t="shared" si="2"/>
        <v>0</v>
      </c>
      <c r="S44" s="648">
        <f t="shared" si="6"/>
        <v>0</v>
      </c>
      <c r="U44" s="106">
        <v>53211020000000</v>
      </c>
      <c r="V44" s="103" t="s">
        <v>41</v>
      </c>
      <c r="W44" s="109">
        <v>0</v>
      </c>
    </row>
    <row r="45" spans="1:23" ht="12.75" customHeight="1" x14ac:dyDescent="0.2">
      <c r="A45" s="882"/>
      <c r="B45" s="889"/>
      <c r="C45" s="48"/>
      <c r="D45" s="50"/>
      <c r="E45" s="51"/>
      <c r="F45" s="59" t="s">
        <v>116</v>
      </c>
      <c r="G45" s="71">
        <v>0</v>
      </c>
      <c r="H45" s="71">
        <v>0</v>
      </c>
      <c r="I45" s="88">
        <v>0</v>
      </c>
      <c r="J45" s="94">
        <f t="shared" si="8"/>
        <v>0</v>
      </c>
      <c r="K45" s="96">
        <f t="shared" si="5"/>
        <v>0</v>
      </c>
      <c r="L45" s="25"/>
      <c r="M45" s="126">
        <v>0</v>
      </c>
      <c r="N45" s="129">
        <f t="shared" si="0"/>
        <v>0</v>
      </c>
      <c r="O45" s="126">
        <v>0</v>
      </c>
      <c r="P45" s="127">
        <f t="shared" si="1"/>
        <v>0</v>
      </c>
      <c r="Q45" s="137">
        <v>0</v>
      </c>
      <c r="R45" s="645">
        <f t="shared" si="2"/>
        <v>0</v>
      </c>
      <c r="S45" s="648">
        <f t="shared" si="6"/>
        <v>0</v>
      </c>
      <c r="U45" s="106">
        <v>53101004030000</v>
      </c>
      <c r="V45" s="103" t="s">
        <v>38</v>
      </c>
      <c r="W45" s="109">
        <v>300000</v>
      </c>
    </row>
    <row r="46" spans="1:23" ht="12.75" customHeight="1" x14ac:dyDescent="0.2">
      <c r="A46" s="882"/>
      <c r="B46" s="889"/>
      <c r="C46" s="48"/>
      <c r="D46" s="50"/>
      <c r="E46" s="51"/>
      <c r="F46" s="59" t="s">
        <v>116</v>
      </c>
      <c r="G46" s="71">
        <v>0</v>
      </c>
      <c r="H46" s="71">
        <v>0</v>
      </c>
      <c r="I46" s="88">
        <v>0</v>
      </c>
      <c r="J46" s="94">
        <f t="shared" si="8"/>
        <v>0</v>
      </c>
      <c r="K46" s="96">
        <f t="shared" si="5"/>
        <v>0</v>
      </c>
      <c r="L46" s="25"/>
      <c r="M46" s="126">
        <v>0</v>
      </c>
      <c r="N46" s="129">
        <f t="shared" si="0"/>
        <v>0</v>
      </c>
      <c r="O46" s="126">
        <v>0</v>
      </c>
      <c r="P46" s="127">
        <f t="shared" si="1"/>
        <v>0</v>
      </c>
      <c r="Q46" s="137">
        <v>0</v>
      </c>
      <c r="R46" s="645">
        <f t="shared" si="2"/>
        <v>0</v>
      </c>
      <c r="S46" s="648">
        <f t="shared" si="6"/>
        <v>0</v>
      </c>
      <c r="U46" s="105"/>
      <c r="V46" s="102" t="s">
        <v>42</v>
      </c>
      <c r="W46" s="108">
        <f>SUM(W47:W48)</f>
        <v>0</v>
      </c>
    </row>
    <row r="47" spans="1:23" ht="12.75" customHeight="1" x14ac:dyDescent="0.2">
      <c r="A47" s="882"/>
      <c r="B47" s="889"/>
      <c r="C47" s="48"/>
      <c r="D47" s="50"/>
      <c r="E47" s="51"/>
      <c r="F47" s="59" t="s">
        <v>116</v>
      </c>
      <c r="G47" s="71">
        <v>0</v>
      </c>
      <c r="H47" s="71">
        <v>0</v>
      </c>
      <c r="I47" s="88">
        <v>0</v>
      </c>
      <c r="J47" s="94">
        <f t="shared" si="8"/>
        <v>0</v>
      </c>
      <c r="K47" s="96">
        <f t="shared" si="5"/>
        <v>0</v>
      </c>
      <c r="L47" s="25"/>
      <c r="M47" s="126">
        <v>0</v>
      </c>
      <c r="N47" s="129">
        <f t="shared" si="0"/>
        <v>0</v>
      </c>
      <c r="O47" s="126">
        <v>0</v>
      </c>
      <c r="P47" s="127">
        <f t="shared" si="1"/>
        <v>0</v>
      </c>
      <c r="Q47" s="137">
        <v>0</v>
      </c>
      <c r="R47" s="645">
        <f t="shared" si="2"/>
        <v>0</v>
      </c>
      <c r="S47" s="648">
        <f t="shared" si="6"/>
        <v>0</v>
      </c>
      <c r="U47" s="106">
        <v>53205080000000</v>
      </c>
      <c r="V47" s="103" t="s">
        <v>43</v>
      </c>
      <c r="W47" s="109">
        <v>0</v>
      </c>
    </row>
    <row r="48" spans="1:23" ht="12.75" customHeight="1" x14ac:dyDescent="0.2">
      <c r="A48" s="882"/>
      <c r="B48" s="889"/>
      <c r="C48" s="48"/>
      <c r="D48" s="50"/>
      <c r="E48" s="51"/>
      <c r="F48" s="59" t="s">
        <v>116</v>
      </c>
      <c r="G48" s="71">
        <v>0</v>
      </c>
      <c r="H48" s="71">
        <v>0</v>
      </c>
      <c r="I48" s="88">
        <v>0</v>
      </c>
      <c r="J48" s="94">
        <f t="shared" si="8"/>
        <v>0</v>
      </c>
      <c r="K48" s="96">
        <f t="shared" si="5"/>
        <v>0</v>
      </c>
      <c r="L48" s="25"/>
      <c r="M48" s="126">
        <v>0</v>
      </c>
      <c r="N48" s="129">
        <f t="shared" si="0"/>
        <v>0</v>
      </c>
      <c r="O48" s="126">
        <v>0</v>
      </c>
      <c r="P48" s="127">
        <f t="shared" si="1"/>
        <v>0</v>
      </c>
      <c r="Q48" s="137">
        <v>0</v>
      </c>
      <c r="R48" s="645">
        <f t="shared" si="2"/>
        <v>0</v>
      </c>
      <c r="S48" s="648">
        <f t="shared" si="6"/>
        <v>0</v>
      </c>
      <c r="U48" s="106">
        <v>53205990000000</v>
      </c>
      <c r="V48" s="103" t="s">
        <v>44</v>
      </c>
      <c r="W48" s="109">
        <v>0</v>
      </c>
    </row>
    <row r="49" spans="1:23" ht="12.75" customHeight="1" x14ac:dyDescent="0.2">
      <c r="A49" s="882"/>
      <c r="B49" s="890"/>
      <c r="C49" s="48"/>
      <c r="D49" s="50"/>
      <c r="E49" s="51"/>
      <c r="F49" s="59" t="s">
        <v>116</v>
      </c>
      <c r="G49" s="71">
        <v>0</v>
      </c>
      <c r="H49" s="71">
        <v>0</v>
      </c>
      <c r="I49" s="88">
        <v>0</v>
      </c>
      <c r="J49" s="94">
        <f t="shared" si="7"/>
        <v>0</v>
      </c>
      <c r="K49" s="96">
        <f t="shared" si="5"/>
        <v>0</v>
      </c>
      <c r="L49" s="25"/>
      <c r="M49" s="126">
        <v>0</v>
      </c>
      <c r="N49" s="129">
        <f t="shared" si="0"/>
        <v>0</v>
      </c>
      <c r="O49" s="126">
        <v>0</v>
      </c>
      <c r="P49" s="127">
        <f t="shared" si="1"/>
        <v>0</v>
      </c>
      <c r="Q49" s="137">
        <v>0</v>
      </c>
      <c r="R49" s="645">
        <f t="shared" si="2"/>
        <v>0</v>
      </c>
      <c r="S49" s="648">
        <f t="shared" si="6"/>
        <v>0</v>
      </c>
      <c r="U49" s="105"/>
      <c r="V49" s="102" t="s">
        <v>45</v>
      </c>
      <c r="W49" s="108">
        <f>SUM(W50:W59)</f>
        <v>8700000</v>
      </c>
    </row>
    <row r="50" spans="1:23" ht="12.75" customHeight="1" x14ac:dyDescent="0.2">
      <c r="A50" s="882"/>
      <c r="B50" s="889"/>
      <c r="C50" s="48"/>
      <c r="D50" s="50"/>
      <c r="E50" s="51"/>
      <c r="F50" s="59" t="s">
        <v>116</v>
      </c>
      <c r="G50" s="71">
        <v>0</v>
      </c>
      <c r="H50" s="71">
        <v>0</v>
      </c>
      <c r="I50" s="88">
        <v>0</v>
      </c>
      <c r="J50" s="94">
        <f t="shared" ref="J50:J53" si="9">SUM(G50:I50)</f>
        <v>0</v>
      </c>
      <c r="K50" s="96">
        <f t="shared" si="5"/>
        <v>0</v>
      </c>
      <c r="L50" s="25"/>
      <c r="M50" s="126">
        <v>0</v>
      </c>
      <c r="N50" s="129">
        <f t="shared" si="0"/>
        <v>0</v>
      </c>
      <c r="O50" s="126">
        <v>0</v>
      </c>
      <c r="P50" s="127">
        <f t="shared" si="1"/>
        <v>0</v>
      </c>
      <c r="Q50" s="137">
        <v>0</v>
      </c>
      <c r="R50" s="645">
        <f t="shared" si="2"/>
        <v>0</v>
      </c>
      <c r="S50" s="648">
        <f t="shared" si="6"/>
        <v>0</v>
      </c>
      <c r="U50" s="106">
        <v>53203010200000</v>
      </c>
      <c r="V50" s="103" t="s">
        <v>46</v>
      </c>
      <c r="W50" s="109">
        <v>0</v>
      </c>
    </row>
    <row r="51" spans="1:23" ht="12.75" customHeight="1" x14ac:dyDescent="0.2">
      <c r="A51" s="882"/>
      <c r="B51" s="889"/>
      <c r="C51" s="48"/>
      <c r="D51" s="50"/>
      <c r="E51" s="51"/>
      <c r="F51" s="59" t="s">
        <v>116</v>
      </c>
      <c r="G51" s="71">
        <v>0</v>
      </c>
      <c r="H51" s="71">
        <v>0</v>
      </c>
      <c r="I51" s="88">
        <v>0</v>
      </c>
      <c r="J51" s="94">
        <f t="shared" si="9"/>
        <v>0</v>
      </c>
      <c r="K51" s="96">
        <f t="shared" si="5"/>
        <v>0</v>
      </c>
      <c r="L51" s="25"/>
      <c r="M51" s="126">
        <v>0</v>
      </c>
      <c r="N51" s="129">
        <f t="shared" si="0"/>
        <v>0</v>
      </c>
      <c r="O51" s="126">
        <v>0</v>
      </c>
      <c r="P51" s="127">
        <f t="shared" si="1"/>
        <v>0</v>
      </c>
      <c r="Q51" s="137">
        <v>0</v>
      </c>
      <c r="R51" s="645">
        <f t="shared" si="2"/>
        <v>0</v>
      </c>
      <c r="S51" s="648">
        <f t="shared" si="6"/>
        <v>0</v>
      </c>
      <c r="U51" s="106">
        <v>53204010000000</v>
      </c>
      <c r="V51" s="103" t="s">
        <v>47</v>
      </c>
      <c r="W51" s="109">
        <v>2800000</v>
      </c>
    </row>
    <row r="52" spans="1:23" ht="12.75" customHeight="1" x14ac:dyDescent="0.2">
      <c r="A52" s="882"/>
      <c r="B52" s="889"/>
      <c r="C52" s="48"/>
      <c r="D52" s="50"/>
      <c r="E52" s="51"/>
      <c r="F52" s="59" t="s">
        <v>116</v>
      </c>
      <c r="G52" s="71">
        <v>0</v>
      </c>
      <c r="H52" s="71">
        <v>0</v>
      </c>
      <c r="I52" s="88">
        <v>0</v>
      </c>
      <c r="J52" s="94">
        <f t="shared" si="9"/>
        <v>0</v>
      </c>
      <c r="K52" s="96">
        <f t="shared" si="5"/>
        <v>0</v>
      </c>
      <c r="L52" s="25"/>
      <c r="M52" s="126">
        <v>0</v>
      </c>
      <c r="N52" s="129">
        <f t="shared" si="0"/>
        <v>0</v>
      </c>
      <c r="O52" s="126">
        <v>0</v>
      </c>
      <c r="P52" s="127">
        <f t="shared" si="1"/>
        <v>0</v>
      </c>
      <c r="Q52" s="137">
        <v>0</v>
      </c>
      <c r="R52" s="645">
        <f t="shared" si="2"/>
        <v>0</v>
      </c>
      <c r="S52" s="648">
        <f t="shared" si="6"/>
        <v>0</v>
      </c>
      <c r="U52" s="106">
        <v>53204040200000</v>
      </c>
      <c r="V52" s="103" t="s">
        <v>48</v>
      </c>
      <c r="W52" s="109">
        <v>0</v>
      </c>
    </row>
    <row r="53" spans="1:23" ht="12.75" customHeight="1" x14ac:dyDescent="0.2">
      <c r="A53" s="882"/>
      <c r="B53" s="889"/>
      <c r="C53" s="48"/>
      <c r="D53" s="50"/>
      <c r="E53" s="51"/>
      <c r="F53" s="59" t="s">
        <v>116</v>
      </c>
      <c r="G53" s="71">
        <v>0</v>
      </c>
      <c r="H53" s="71">
        <v>0</v>
      </c>
      <c r="I53" s="88">
        <v>0</v>
      </c>
      <c r="J53" s="94">
        <f t="shared" si="9"/>
        <v>0</v>
      </c>
      <c r="K53" s="96">
        <f t="shared" si="5"/>
        <v>0</v>
      </c>
      <c r="L53" s="25"/>
      <c r="M53" s="126">
        <v>0</v>
      </c>
      <c r="N53" s="129">
        <f t="shared" si="0"/>
        <v>0</v>
      </c>
      <c r="O53" s="126">
        <v>0</v>
      </c>
      <c r="P53" s="127">
        <f t="shared" si="1"/>
        <v>0</v>
      </c>
      <c r="Q53" s="137">
        <v>0</v>
      </c>
      <c r="R53" s="645">
        <f t="shared" si="2"/>
        <v>0</v>
      </c>
      <c r="S53" s="648">
        <f t="shared" si="6"/>
        <v>0</v>
      </c>
      <c r="U53" s="106">
        <v>53204060000000</v>
      </c>
      <c r="V53" s="103" t="s">
        <v>49</v>
      </c>
      <c r="W53" s="109">
        <v>0</v>
      </c>
    </row>
    <row r="54" spans="1:23" ht="12.75" customHeight="1" x14ac:dyDescent="0.2">
      <c r="A54" s="882"/>
      <c r="B54" s="890"/>
      <c r="C54" s="48"/>
      <c r="D54" s="50"/>
      <c r="E54" s="51"/>
      <c r="F54" s="59" t="s">
        <v>116</v>
      </c>
      <c r="G54" s="71">
        <v>0</v>
      </c>
      <c r="H54" s="71">
        <v>0</v>
      </c>
      <c r="I54" s="88">
        <v>0</v>
      </c>
      <c r="J54" s="94">
        <f t="shared" si="7"/>
        <v>0</v>
      </c>
      <c r="K54" s="96">
        <f t="shared" si="5"/>
        <v>0</v>
      </c>
      <c r="L54" s="25"/>
      <c r="M54" s="126">
        <v>0</v>
      </c>
      <c r="N54" s="129">
        <f t="shared" si="0"/>
        <v>0</v>
      </c>
      <c r="O54" s="126">
        <v>0</v>
      </c>
      <c r="P54" s="127">
        <f t="shared" si="1"/>
        <v>0</v>
      </c>
      <c r="Q54" s="137">
        <v>0</v>
      </c>
      <c r="R54" s="645">
        <f t="shared" si="2"/>
        <v>0</v>
      </c>
      <c r="S54" s="648">
        <f t="shared" si="6"/>
        <v>0</v>
      </c>
      <c r="U54" s="106">
        <v>53204070000000</v>
      </c>
      <c r="V54" s="103" t="s">
        <v>50</v>
      </c>
      <c r="W54" s="109">
        <v>4200000</v>
      </c>
    </row>
    <row r="55" spans="1:23" ht="12.75" customHeight="1" x14ac:dyDescent="0.2">
      <c r="A55" s="882"/>
      <c r="B55" s="890"/>
      <c r="C55" s="48"/>
      <c r="D55" s="50"/>
      <c r="E55" s="51"/>
      <c r="F55" s="59" t="s">
        <v>116</v>
      </c>
      <c r="G55" s="71">
        <v>0</v>
      </c>
      <c r="H55" s="71">
        <v>0</v>
      </c>
      <c r="I55" s="88">
        <v>0</v>
      </c>
      <c r="J55" s="94">
        <f t="shared" si="7"/>
        <v>0</v>
      </c>
      <c r="K55" s="96">
        <f t="shared" si="5"/>
        <v>0</v>
      </c>
      <c r="L55" s="25"/>
      <c r="M55" s="126">
        <v>0</v>
      </c>
      <c r="N55" s="129">
        <f t="shared" si="0"/>
        <v>0</v>
      </c>
      <c r="O55" s="126">
        <v>0</v>
      </c>
      <c r="P55" s="127">
        <f t="shared" si="1"/>
        <v>0</v>
      </c>
      <c r="Q55" s="137">
        <v>0</v>
      </c>
      <c r="R55" s="645">
        <f t="shared" si="2"/>
        <v>0</v>
      </c>
      <c r="S55" s="648">
        <f t="shared" si="6"/>
        <v>0</v>
      </c>
      <c r="U55" s="106">
        <v>53204080000000</v>
      </c>
      <c r="V55" s="103" t="s">
        <v>51</v>
      </c>
      <c r="W55" s="109">
        <v>300000</v>
      </c>
    </row>
    <row r="56" spans="1:23" ht="12.75" customHeight="1" x14ac:dyDescent="0.2">
      <c r="A56" s="882"/>
      <c r="B56" s="890"/>
      <c r="C56" s="48"/>
      <c r="D56" s="50"/>
      <c r="E56" s="51"/>
      <c r="F56" s="59" t="s">
        <v>116</v>
      </c>
      <c r="G56" s="71">
        <v>0</v>
      </c>
      <c r="H56" s="71">
        <v>0</v>
      </c>
      <c r="I56" s="88">
        <v>0</v>
      </c>
      <c r="J56" s="94">
        <f t="shared" si="7"/>
        <v>0</v>
      </c>
      <c r="K56" s="96">
        <f t="shared" si="5"/>
        <v>0</v>
      </c>
      <c r="L56" s="25"/>
      <c r="M56" s="126">
        <v>0</v>
      </c>
      <c r="N56" s="129">
        <f t="shared" si="0"/>
        <v>0</v>
      </c>
      <c r="O56" s="126">
        <v>0</v>
      </c>
      <c r="P56" s="127">
        <f t="shared" si="1"/>
        <v>0</v>
      </c>
      <c r="Q56" s="137">
        <v>0</v>
      </c>
      <c r="R56" s="645">
        <f t="shared" si="2"/>
        <v>0</v>
      </c>
      <c r="S56" s="648">
        <f t="shared" si="6"/>
        <v>0</v>
      </c>
      <c r="U56" s="106">
        <v>53214010000000</v>
      </c>
      <c r="V56" s="103" t="s">
        <v>52</v>
      </c>
      <c r="W56" s="109">
        <v>1400000</v>
      </c>
    </row>
    <row r="57" spans="1:23" ht="12.75" customHeight="1" x14ac:dyDescent="0.2">
      <c r="A57" s="882"/>
      <c r="B57" s="890"/>
      <c r="C57" s="48"/>
      <c r="D57" s="50"/>
      <c r="E57" s="51"/>
      <c r="F57" s="59" t="s">
        <v>116</v>
      </c>
      <c r="G57" s="71">
        <v>0</v>
      </c>
      <c r="H57" s="71">
        <v>0</v>
      </c>
      <c r="I57" s="88">
        <v>0</v>
      </c>
      <c r="J57" s="94">
        <f t="shared" si="7"/>
        <v>0</v>
      </c>
      <c r="K57" s="96">
        <f t="shared" si="5"/>
        <v>0</v>
      </c>
      <c r="L57" s="25"/>
      <c r="M57" s="126">
        <v>0</v>
      </c>
      <c r="N57" s="129">
        <f t="shared" si="0"/>
        <v>0</v>
      </c>
      <c r="O57" s="126">
        <v>0</v>
      </c>
      <c r="P57" s="127">
        <f t="shared" si="1"/>
        <v>0</v>
      </c>
      <c r="Q57" s="137">
        <v>0</v>
      </c>
      <c r="R57" s="645">
        <f t="shared" si="2"/>
        <v>0</v>
      </c>
      <c r="S57" s="648">
        <f t="shared" si="6"/>
        <v>0</v>
      </c>
      <c r="U57" s="106">
        <v>53214040000000</v>
      </c>
      <c r="V57" s="103" t="s">
        <v>130</v>
      </c>
      <c r="W57" s="109">
        <v>0</v>
      </c>
    </row>
    <row r="58" spans="1:23" ht="12.75" customHeight="1" x14ac:dyDescent="0.2">
      <c r="A58" s="882"/>
      <c r="B58" s="890"/>
      <c r="C58" s="48"/>
      <c r="D58" s="50"/>
      <c r="E58" s="51"/>
      <c r="F58" s="59" t="s">
        <v>116</v>
      </c>
      <c r="G58" s="71">
        <v>0</v>
      </c>
      <c r="H58" s="71">
        <v>0</v>
      </c>
      <c r="I58" s="88">
        <v>0</v>
      </c>
      <c r="J58" s="94">
        <f t="shared" si="7"/>
        <v>0</v>
      </c>
      <c r="K58" s="96">
        <f t="shared" si="5"/>
        <v>0</v>
      </c>
      <c r="L58" s="25"/>
      <c r="M58" s="126">
        <v>0</v>
      </c>
      <c r="N58" s="129">
        <f t="shared" si="0"/>
        <v>0</v>
      </c>
      <c r="O58" s="126">
        <v>0</v>
      </c>
      <c r="P58" s="127">
        <f t="shared" si="1"/>
        <v>0</v>
      </c>
      <c r="Q58" s="137">
        <v>0</v>
      </c>
      <c r="R58" s="645">
        <f t="shared" si="2"/>
        <v>0</v>
      </c>
      <c r="S58" s="648">
        <f t="shared" si="6"/>
        <v>0</v>
      </c>
      <c r="U58" s="106">
        <v>55201010100004</v>
      </c>
      <c r="V58" s="103" t="s">
        <v>53</v>
      </c>
      <c r="W58" s="109">
        <v>0</v>
      </c>
    </row>
    <row r="59" spans="1:23" ht="12.75" customHeight="1" x14ac:dyDescent="0.2">
      <c r="A59" s="882"/>
      <c r="B59" s="890"/>
      <c r="C59" s="48"/>
      <c r="D59" s="50"/>
      <c r="E59" s="51"/>
      <c r="F59" s="59" t="s">
        <v>116</v>
      </c>
      <c r="G59" s="71">
        <v>0</v>
      </c>
      <c r="H59" s="71">
        <v>0</v>
      </c>
      <c r="I59" s="88">
        <v>0</v>
      </c>
      <c r="J59" s="94">
        <f t="shared" si="7"/>
        <v>0</v>
      </c>
      <c r="K59" s="96">
        <f t="shared" si="5"/>
        <v>0</v>
      </c>
      <c r="L59" s="25"/>
      <c r="M59" s="126">
        <v>0</v>
      </c>
      <c r="N59" s="129">
        <f t="shared" si="0"/>
        <v>0</v>
      </c>
      <c r="O59" s="126">
        <v>0</v>
      </c>
      <c r="P59" s="127">
        <f t="shared" si="1"/>
        <v>0</v>
      </c>
      <c r="Q59" s="137">
        <v>0</v>
      </c>
      <c r="R59" s="645">
        <f t="shared" si="2"/>
        <v>0</v>
      </c>
      <c r="S59" s="648">
        <f t="shared" si="6"/>
        <v>0</v>
      </c>
      <c r="U59" s="106">
        <v>55201010100005</v>
      </c>
      <c r="V59" s="103" t="s">
        <v>54</v>
      </c>
      <c r="W59" s="109">
        <v>0</v>
      </c>
    </row>
    <row r="60" spans="1:23" ht="12.75" customHeight="1" x14ac:dyDescent="0.2">
      <c r="A60" s="882"/>
      <c r="B60" s="890"/>
      <c r="C60" s="48"/>
      <c r="D60" s="50"/>
      <c r="E60" s="51"/>
      <c r="F60" s="59" t="s">
        <v>116</v>
      </c>
      <c r="G60" s="71">
        <v>0</v>
      </c>
      <c r="H60" s="71">
        <v>0</v>
      </c>
      <c r="I60" s="88">
        <v>0</v>
      </c>
      <c r="J60" s="94">
        <f t="shared" si="7"/>
        <v>0</v>
      </c>
      <c r="K60" s="96">
        <f t="shared" si="5"/>
        <v>0</v>
      </c>
      <c r="L60" s="25"/>
      <c r="M60" s="126">
        <v>0</v>
      </c>
      <c r="N60" s="129">
        <f t="shared" si="0"/>
        <v>0</v>
      </c>
      <c r="O60" s="126">
        <v>0</v>
      </c>
      <c r="P60" s="127">
        <f t="shared" si="1"/>
        <v>0</v>
      </c>
      <c r="Q60" s="137">
        <v>0</v>
      </c>
      <c r="R60" s="645">
        <f t="shared" si="2"/>
        <v>0</v>
      </c>
      <c r="S60" s="648">
        <f t="shared" si="6"/>
        <v>0</v>
      </c>
      <c r="U60" s="105"/>
      <c r="V60" s="102" t="s">
        <v>55</v>
      </c>
      <c r="W60" s="108">
        <f>SUM(W61:W69)</f>
        <v>8960000</v>
      </c>
    </row>
    <row r="61" spans="1:23" ht="12.75" customHeight="1" thickBot="1" x14ac:dyDescent="0.25">
      <c r="A61" s="883"/>
      <c r="B61" s="891"/>
      <c r="C61" s="98"/>
      <c r="D61" s="72"/>
      <c r="E61" s="73"/>
      <c r="F61" s="74" t="s">
        <v>116</v>
      </c>
      <c r="G61" s="75">
        <v>0</v>
      </c>
      <c r="H61" s="75">
        <v>0</v>
      </c>
      <c r="I61" s="89">
        <v>0</v>
      </c>
      <c r="J61" s="92">
        <f t="shared" si="7"/>
        <v>0</v>
      </c>
      <c r="K61" s="84">
        <f t="shared" si="5"/>
        <v>0</v>
      </c>
      <c r="L61" s="25"/>
      <c r="M61" s="259">
        <v>0</v>
      </c>
      <c r="N61" s="260">
        <f t="shared" si="0"/>
        <v>0</v>
      </c>
      <c r="O61" s="259">
        <v>0</v>
      </c>
      <c r="P61" s="261">
        <f t="shared" si="1"/>
        <v>0</v>
      </c>
      <c r="Q61" s="262">
        <v>0</v>
      </c>
      <c r="R61" s="647">
        <f t="shared" si="2"/>
        <v>0</v>
      </c>
      <c r="S61" s="649">
        <f t="shared" si="6"/>
        <v>0</v>
      </c>
      <c r="U61" s="106">
        <v>53207010000000</v>
      </c>
      <c r="V61" s="103" t="s">
        <v>56</v>
      </c>
      <c r="W61" s="109">
        <v>0</v>
      </c>
    </row>
    <row r="62" spans="1:23" ht="12.75" customHeight="1" thickBot="1" x14ac:dyDescent="0.25">
      <c r="K62" s="258">
        <f>SUM(K15:K61)</f>
        <v>122517942.24999999</v>
      </c>
      <c r="M62" s="263">
        <v>0.46823153467548551</v>
      </c>
      <c r="N62" s="264">
        <f>SUM(N15:N61)</f>
        <v>57366764.125</v>
      </c>
      <c r="O62" s="263">
        <v>0.42758358455861195</v>
      </c>
      <c r="P62" s="264">
        <f>SUM(P15:P61)</f>
        <v>52386660.920000002</v>
      </c>
      <c r="Q62" s="263">
        <v>9.9535013248233051E-2</v>
      </c>
      <c r="R62" s="264">
        <f>SUM(R15:R61)</f>
        <v>12194825.005000001</v>
      </c>
      <c r="U62" s="106">
        <v>53207020000000</v>
      </c>
      <c r="V62" s="103" t="s">
        <v>57</v>
      </c>
      <c r="W62" s="109">
        <v>2500000</v>
      </c>
    </row>
    <row r="63" spans="1:23" ht="12.75" customHeight="1" x14ac:dyDescent="0.2">
      <c r="K63" s="45">
        <v>1</v>
      </c>
      <c r="U63" s="106">
        <v>53208020000000</v>
      </c>
      <c r="V63" s="103" t="s">
        <v>58</v>
      </c>
      <c r="W63" s="109">
        <v>0</v>
      </c>
    </row>
    <row r="64" spans="1:23" ht="12.75" customHeight="1" thickBot="1" x14ac:dyDescent="0.25">
      <c r="U64" s="106">
        <v>53208990000000</v>
      </c>
      <c r="V64" s="103" t="s">
        <v>59</v>
      </c>
      <c r="W64" s="109">
        <v>300000</v>
      </c>
    </row>
    <row r="65" spans="1:23" ht="12.75" customHeight="1" x14ac:dyDescent="0.2">
      <c r="A65" s="876" t="s">
        <v>137</v>
      </c>
      <c r="B65" s="879" t="s">
        <v>119</v>
      </c>
      <c r="C65" s="97"/>
      <c r="D65" s="76"/>
      <c r="E65" s="77"/>
      <c r="F65" s="78" t="s">
        <v>118</v>
      </c>
      <c r="G65" s="70">
        <v>0</v>
      </c>
      <c r="H65" s="70">
        <v>0</v>
      </c>
      <c r="I65" s="87">
        <v>0</v>
      </c>
      <c r="J65" s="90">
        <f t="shared" si="4"/>
        <v>0</v>
      </c>
      <c r="K65" s="85">
        <f t="shared" si="5"/>
        <v>0</v>
      </c>
      <c r="L65" s="25"/>
      <c r="U65" s="106">
        <v>53209010000000</v>
      </c>
      <c r="V65" s="103" t="s">
        <v>60</v>
      </c>
      <c r="W65" s="109">
        <v>0</v>
      </c>
    </row>
    <row r="66" spans="1:23" ht="12.75" customHeight="1" x14ac:dyDescent="0.2">
      <c r="A66" s="877"/>
      <c r="B66" s="880"/>
      <c r="C66" s="49"/>
      <c r="D66" s="79"/>
      <c r="E66" s="80"/>
      <c r="F66" s="52" t="s">
        <v>118</v>
      </c>
      <c r="G66" s="71">
        <v>0</v>
      </c>
      <c r="H66" s="71">
        <v>0</v>
      </c>
      <c r="I66" s="88">
        <v>0</v>
      </c>
      <c r="J66" s="91">
        <f t="shared" si="4"/>
        <v>0</v>
      </c>
      <c r="K66" s="86">
        <f t="shared" si="5"/>
        <v>0</v>
      </c>
      <c r="L66" s="25"/>
      <c r="O66" s="28"/>
      <c r="U66" s="106">
        <v>53209040000000</v>
      </c>
      <c r="V66" s="103" t="s">
        <v>61</v>
      </c>
      <c r="W66" s="109">
        <v>0</v>
      </c>
    </row>
    <row r="67" spans="1:23" ht="12.75" customHeight="1" x14ac:dyDescent="0.2">
      <c r="A67" s="877"/>
      <c r="B67" s="880"/>
      <c r="C67" s="49"/>
      <c r="D67" s="79"/>
      <c r="E67" s="80"/>
      <c r="F67" s="52" t="s">
        <v>118</v>
      </c>
      <c r="G67" s="71">
        <v>0</v>
      </c>
      <c r="H67" s="71">
        <v>0</v>
      </c>
      <c r="I67" s="88">
        <v>0</v>
      </c>
      <c r="J67" s="91">
        <f t="shared" si="4"/>
        <v>0</v>
      </c>
      <c r="K67" s="86">
        <f t="shared" si="5"/>
        <v>0</v>
      </c>
      <c r="L67" s="25"/>
      <c r="U67" s="106">
        <v>53209050000000</v>
      </c>
      <c r="V67" s="103" t="s">
        <v>62</v>
      </c>
      <c r="W67" s="109">
        <v>5160000</v>
      </c>
    </row>
    <row r="68" spans="1:23" ht="12.75" customHeight="1" x14ac:dyDescent="0.2">
      <c r="A68" s="877"/>
      <c r="B68" s="880"/>
      <c r="C68" s="47"/>
      <c r="D68" s="81"/>
      <c r="E68" s="82"/>
      <c r="F68" s="83" t="s">
        <v>118</v>
      </c>
      <c r="G68" s="71">
        <v>0</v>
      </c>
      <c r="H68" s="71">
        <v>0</v>
      </c>
      <c r="I68" s="88">
        <v>0</v>
      </c>
      <c r="J68" s="91">
        <f t="shared" si="4"/>
        <v>0</v>
      </c>
      <c r="K68" s="86">
        <f t="shared" si="5"/>
        <v>0</v>
      </c>
      <c r="L68" s="25"/>
      <c r="U68" s="106">
        <v>53209990000000</v>
      </c>
      <c r="V68" s="103" t="s">
        <v>63</v>
      </c>
      <c r="W68" s="109">
        <v>0</v>
      </c>
    </row>
    <row r="69" spans="1:23" ht="12.75" customHeight="1" thickBot="1" x14ac:dyDescent="0.25">
      <c r="A69" s="878"/>
      <c r="B69" s="881"/>
      <c r="C69" s="98"/>
      <c r="D69" s="72"/>
      <c r="E69" s="73"/>
      <c r="F69" s="74" t="s">
        <v>118</v>
      </c>
      <c r="G69" s="75">
        <v>0</v>
      </c>
      <c r="H69" s="75">
        <v>0</v>
      </c>
      <c r="I69" s="89">
        <v>0</v>
      </c>
      <c r="J69" s="92">
        <f t="shared" si="4"/>
        <v>0</v>
      </c>
      <c r="K69" s="84">
        <f t="shared" si="5"/>
        <v>0</v>
      </c>
      <c r="L69" s="25"/>
      <c r="U69" s="106">
        <v>53210020100000</v>
      </c>
      <c r="V69" s="103" t="s">
        <v>64</v>
      </c>
      <c r="W69" s="109">
        <v>1000000</v>
      </c>
    </row>
    <row r="70" spans="1:23" ht="15.75" x14ac:dyDescent="0.2">
      <c r="C70" s="18"/>
      <c r="D70" s="18"/>
      <c r="E70" s="28"/>
      <c r="F70" s="28"/>
      <c r="G70" s="28"/>
      <c r="H70" s="28"/>
      <c r="I70" s="28"/>
      <c r="K70" s="44">
        <f>SUM(K65:K69)</f>
        <v>0</v>
      </c>
      <c r="L70" s="25"/>
      <c r="U70" s="105"/>
      <c r="V70" s="102" t="s">
        <v>65</v>
      </c>
      <c r="W70" s="108">
        <f>SUM(W71:W77)</f>
        <v>2800000</v>
      </c>
    </row>
    <row r="71" spans="1:23" x14ac:dyDescent="0.2">
      <c r="K71" s="45">
        <v>1</v>
      </c>
      <c r="L71" s="25"/>
      <c r="M71" s="29"/>
      <c r="O71" s="29"/>
      <c r="Q71" s="29"/>
      <c r="U71" s="106">
        <v>53206030000000</v>
      </c>
      <c r="V71" s="103" t="s">
        <v>98</v>
      </c>
      <c r="W71" s="109">
        <v>0</v>
      </c>
    </row>
    <row r="72" spans="1:23" x14ac:dyDescent="0.2">
      <c r="L72" s="25"/>
      <c r="U72" s="106">
        <v>53206040000000</v>
      </c>
      <c r="V72" s="103" t="s">
        <v>99</v>
      </c>
      <c r="W72" s="109">
        <v>0</v>
      </c>
    </row>
    <row r="73" spans="1:23" x14ac:dyDescent="0.2">
      <c r="U73" s="106">
        <v>53206060000000</v>
      </c>
      <c r="V73" s="103" t="s">
        <v>100</v>
      </c>
      <c r="W73" s="109">
        <v>600000</v>
      </c>
    </row>
    <row r="74" spans="1:23" x14ac:dyDescent="0.2">
      <c r="U74" s="106">
        <v>53206070000000</v>
      </c>
      <c r="V74" s="103" t="s">
        <v>101</v>
      </c>
      <c r="W74" s="109">
        <v>0</v>
      </c>
    </row>
    <row r="75" spans="1:23" ht="15.75" customHeight="1" x14ac:dyDescent="0.2">
      <c r="H75" s="100"/>
      <c r="U75" s="106">
        <v>53206990000000</v>
      </c>
      <c r="V75" s="103" t="s">
        <v>102</v>
      </c>
      <c r="W75" s="109">
        <v>2200000</v>
      </c>
    </row>
    <row r="76" spans="1:23" x14ac:dyDescent="0.2">
      <c r="U76" s="106">
        <v>53208030000000</v>
      </c>
      <c r="V76" s="103" t="s">
        <v>103</v>
      </c>
      <c r="W76" s="109">
        <v>0</v>
      </c>
    </row>
    <row r="77" spans="1:23" x14ac:dyDescent="0.2">
      <c r="U77" s="106">
        <v>53212060000000</v>
      </c>
      <c r="V77" s="103" t="s">
        <v>96</v>
      </c>
      <c r="W77" s="109">
        <v>0</v>
      </c>
    </row>
    <row r="78" spans="1:23" x14ac:dyDescent="0.2">
      <c r="U78" s="105"/>
      <c r="V78" s="102" t="s">
        <v>66</v>
      </c>
      <c r="W78" s="108">
        <f>SUM(W79:W79)</f>
        <v>0</v>
      </c>
    </row>
    <row r="79" spans="1:23" x14ac:dyDescent="0.2">
      <c r="U79" s="106">
        <v>53204999000000</v>
      </c>
      <c r="V79" s="103" t="s">
        <v>95</v>
      </c>
      <c r="W79" s="109">
        <v>0</v>
      </c>
    </row>
    <row r="80" spans="1:23" x14ac:dyDescent="0.2">
      <c r="U80" s="110"/>
      <c r="V80" s="111" t="s">
        <v>139</v>
      </c>
      <c r="W80" s="112">
        <f>+W40+W15</f>
        <v>47322000</v>
      </c>
    </row>
    <row r="83" ht="15.75" customHeight="1" x14ac:dyDescent="0.2"/>
    <row r="97" spans="11:12" x14ac:dyDescent="0.2">
      <c r="L97" s="114"/>
    </row>
    <row r="99" spans="11:12" x14ac:dyDescent="0.2">
      <c r="K99" s="123"/>
    </row>
    <row r="101" spans="11:12" x14ac:dyDescent="0.2">
      <c r="K101" s="115"/>
    </row>
  </sheetData>
  <sheetProtection algorithmName="SHA-512" hashValue="LUG5MrYqHa6GXxZqsq7cAIz59QXA0NNo89hyYciDeh92QV7HoeJQMsi8IGs6bGDadmi8zXVOb7kAsGz6gVtjBg==" saltValue="9HvhGxmhSSG5TQERiJrW2Q==" spinCount="100000" sheet="1" objects="1" scenarios="1"/>
  <mergeCells count="43">
    <mergeCell ref="A9:H9"/>
    <mergeCell ref="U9:W10"/>
    <mergeCell ref="U13:U14"/>
    <mergeCell ref="V13:V14"/>
    <mergeCell ref="AG13:AH13"/>
    <mergeCell ref="K13:K14"/>
    <mergeCell ref="M13:N13"/>
    <mergeCell ref="O13:P13"/>
    <mergeCell ref="Q13:R13"/>
    <mergeCell ref="A13:B14"/>
    <mergeCell ref="C13:C14"/>
    <mergeCell ref="D13:D14"/>
    <mergeCell ref="E13:E14"/>
    <mergeCell ref="F13:F14"/>
    <mergeCell ref="G13:J13"/>
    <mergeCell ref="M12:R12"/>
    <mergeCell ref="A65:A69"/>
    <mergeCell ref="B65:B69"/>
    <mergeCell ref="A15:A61"/>
    <mergeCell ref="B15:B24"/>
    <mergeCell ref="B25:B34"/>
    <mergeCell ref="B35:B39"/>
    <mergeCell ref="B40:B61"/>
    <mergeCell ref="S13:S14"/>
    <mergeCell ref="AN9:AS10"/>
    <mergeCell ref="M9:S10"/>
    <mergeCell ref="AG9:AL10"/>
    <mergeCell ref="Z9:AE10"/>
    <mergeCell ref="W13:W14"/>
    <mergeCell ref="AI13:AJ13"/>
    <mergeCell ref="AK13:AL13"/>
    <mergeCell ref="AN14:AO14"/>
    <mergeCell ref="Z13:AA13"/>
    <mergeCell ref="AB13:AC13"/>
    <mergeCell ref="AD13:AE13"/>
    <mergeCell ref="AR13:AS13"/>
    <mergeCell ref="AP13:AQ13"/>
    <mergeCell ref="AN13:AO13"/>
    <mergeCell ref="AN15:AO15"/>
    <mergeCell ref="AP14:AQ14"/>
    <mergeCell ref="AP15:AQ15"/>
    <mergeCell ref="AR14:AS14"/>
    <mergeCell ref="AR15:AS15"/>
  </mergeCells>
  <conditionalFormatting sqref="S15:S61">
    <cfRule type="cellIs" dxfId="3" priority="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2060"/>
    <pageSetUpPr fitToPage="1"/>
  </sheetPr>
  <dimension ref="A1:IK15"/>
  <sheetViews>
    <sheetView showGridLines="0" zoomScale="70" zoomScaleNormal="70" workbookViewId="0">
      <selection activeCell="A8" sqref="A8:V15"/>
    </sheetView>
  </sheetViews>
  <sheetFormatPr baseColWidth="10" defaultColWidth="11.42578125" defaultRowHeight="12.75" x14ac:dyDescent="0.2"/>
  <cols>
    <col min="1" max="1" width="42.140625" style="2" bestFit="1" customWidth="1"/>
    <col min="2" max="2" width="33" style="2" bestFit="1" customWidth="1"/>
    <col min="3" max="3" width="14.140625" style="2" customWidth="1"/>
    <col min="4" max="4" width="14.140625" style="2" bestFit="1" customWidth="1"/>
    <col min="5" max="9" width="14.140625" style="2" customWidth="1"/>
    <col min="10" max="10" width="15.28515625" style="2" customWidth="1"/>
    <col min="11" max="14" width="14.140625" style="2" customWidth="1"/>
    <col min="15" max="15" width="15.42578125" style="2" customWidth="1"/>
    <col min="16" max="17" width="14.140625" style="2" customWidth="1"/>
    <col min="18" max="18" width="13.28515625" style="2" customWidth="1"/>
    <col min="19" max="19" width="14.140625" style="2" bestFit="1" customWidth="1"/>
    <col min="20" max="20" width="16" style="2" customWidth="1"/>
    <col min="21" max="21" width="12.28515625" style="2" customWidth="1"/>
    <col min="22" max="16384" width="11.42578125" style="2"/>
  </cols>
  <sheetData>
    <row r="1" spans="1:245" s="4" customFormat="1" x14ac:dyDescent="0.2">
      <c r="B1" s="3"/>
      <c r="G1" s="30" t="s">
        <v>203</v>
      </c>
      <c r="IJ1" s="2"/>
      <c r="IK1" s="2"/>
    </row>
    <row r="2" spans="1:245" s="4" customFormat="1" x14ac:dyDescent="0.2">
      <c r="B2" s="5"/>
      <c r="G2" s="30" t="s">
        <v>195</v>
      </c>
      <c r="IJ2" s="2"/>
      <c r="IK2" s="2"/>
    </row>
    <row r="3" spans="1:245" s="4" customFormat="1" x14ac:dyDescent="0.2">
      <c r="B3" s="2"/>
      <c r="IJ3" s="2"/>
      <c r="IK3" s="2"/>
    </row>
    <row r="4" spans="1:245" s="4" customFormat="1" ht="17.25" customHeight="1" x14ac:dyDescent="0.2">
      <c r="B4" s="2"/>
      <c r="C4" s="6"/>
      <c r="F4" s="6" t="s">
        <v>0</v>
      </c>
      <c r="G4" s="922" t="str">
        <f>+'B) Reajuste Tarifas y Ocupación'!F5</f>
        <v>(DEPTO./DELEG.)</v>
      </c>
      <c r="H4" s="923"/>
      <c r="I4" s="6"/>
      <c r="J4" s="6"/>
      <c r="K4" s="6"/>
      <c r="L4" s="6"/>
      <c r="M4" s="6"/>
      <c r="N4" s="6"/>
      <c r="O4" s="6"/>
      <c r="P4" s="6"/>
      <c r="Q4" s="6"/>
      <c r="IA4" s="2"/>
      <c r="IB4" s="2"/>
      <c r="IC4" s="2"/>
      <c r="ID4" s="2"/>
      <c r="IE4" s="2"/>
      <c r="IF4" s="2"/>
    </row>
    <row r="5" spans="1:245" s="4" customFormat="1" x14ac:dyDescent="0.2">
      <c r="B5" s="2"/>
      <c r="C5" s="6"/>
      <c r="F5" s="6"/>
      <c r="G5" s="30"/>
      <c r="H5" s="30"/>
      <c r="I5" s="6"/>
      <c r="J5" s="6"/>
      <c r="K5" s="6"/>
      <c r="L5" s="6"/>
      <c r="M5" s="6"/>
      <c r="N5" s="6"/>
      <c r="O5" s="6"/>
      <c r="P5" s="6"/>
      <c r="Q5" s="6"/>
      <c r="IA5" s="2"/>
      <c r="IB5" s="2"/>
      <c r="IC5" s="2"/>
      <c r="ID5" s="2"/>
      <c r="IE5" s="2"/>
      <c r="IF5" s="2"/>
    </row>
    <row r="6" spans="1:245" s="4" customFormat="1" ht="15.75" x14ac:dyDescent="0.2">
      <c r="A6" s="793" t="s">
        <v>157</v>
      </c>
      <c r="B6" s="793"/>
      <c r="C6" s="793"/>
      <c r="D6" s="793"/>
      <c r="E6" s="66"/>
      <c r="F6" s="6"/>
      <c r="G6" s="30"/>
      <c r="H6" s="30"/>
      <c r="I6" s="6"/>
      <c r="J6" s="6"/>
      <c r="K6" s="6"/>
      <c r="L6" s="6"/>
      <c r="M6" s="6"/>
      <c r="N6" s="6"/>
      <c r="O6" s="6"/>
      <c r="P6" s="6"/>
      <c r="Q6" s="6"/>
      <c r="IA6" s="2"/>
      <c r="IB6" s="2"/>
      <c r="IC6" s="2"/>
      <c r="ID6" s="2"/>
      <c r="IE6" s="2"/>
      <c r="IF6" s="2"/>
    </row>
    <row r="7" spans="1:245" s="4" customFormat="1" ht="13.5" thickBot="1" x14ac:dyDescent="0.25"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HX7" s="2"/>
      <c r="HY7" s="2"/>
      <c r="HZ7" s="2"/>
      <c r="IA7" s="2"/>
      <c r="IB7" s="2"/>
      <c r="IC7" s="2"/>
      <c r="ID7" s="2"/>
      <c r="IE7" s="2"/>
      <c r="IF7" s="2"/>
    </row>
    <row r="8" spans="1:245" ht="16.5" customHeight="1" x14ac:dyDescent="0.2">
      <c r="A8" s="930" t="s">
        <v>112</v>
      </c>
      <c r="B8" s="932" t="s">
        <v>5</v>
      </c>
      <c r="C8" s="927" t="s">
        <v>260</v>
      </c>
      <c r="D8" s="928"/>
      <c r="E8" s="928"/>
      <c r="F8" s="928"/>
      <c r="G8" s="929"/>
      <c r="H8" s="924" t="s">
        <v>256</v>
      </c>
      <c r="I8" s="925"/>
      <c r="J8" s="925"/>
      <c r="K8" s="925"/>
      <c r="L8" s="926"/>
      <c r="M8" s="919" t="s">
        <v>122</v>
      </c>
      <c r="N8" s="920"/>
      <c r="O8" s="920"/>
      <c r="P8" s="920"/>
      <c r="Q8" s="921"/>
      <c r="R8" s="919" t="s">
        <v>123</v>
      </c>
      <c r="S8" s="920"/>
      <c r="T8" s="920"/>
      <c r="U8" s="920"/>
      <c r="V8" s="921"/>
    </row>
    <row r="9" spans="1:245" ht="64.5" thickBot="1" x14ac:dyDescent="0.25">
      <c r="A9" s="931" t="e">
        <f>NA()</f>
        <v>#N/A</v>
      </c>
      <c r="B9" s="933" t="e">
        <f>NA()</f>
        <v>#N/A</v>
      </c>
      <c r="C9" s="58" t="s">
        <v>85</v>
      </c>
      <c r="D9" s="57" t="s">
        <v>135</v>
      </c>
      <c r="E9" s="57" t="s">
        <v>136</v>
      </c>
      <c r="F9" s="57" t="s">
        <v>86</v>
      </c>
      <c r="G9" s="422" t="s">
        <v>87</v>
      </c>
      <c r="H9" s="442" t="s">
        <v>85</v>
      </c>
      <c r="I9" s="443" t="s">
        <v>135</v>
      </c>
      <c r="J9" s="443" t="s">
        <v>136</v>
      </c>
      <c r="K9" s="443" t="s">
        <v>86</v>
      </c>
      <c r="L9" s="425" t="s">
        <v>87</v>
      </c>
      <c r="M9" s="442" t="s">
        <v>85</v>
      </c>
      <c r="N9" s="443" t="s">
        <v>135</v>
      </c>
      <c r="O9" s="443" t="s">
        <v>136</v>
      </c>
      <c r="P9" s="443" t="s">
        <v>86</v>
      </c>
      <c r="Q9" s="425" t="s">
        <v>87</v>
      </c>
      <c r="R9" s="442" t="s">
        <v>85</v>
      </c>
      <c r="S9" s="443" t="s">
        <v>135</v>
      </c>
      <c r="T9" s="443" t="s">
        <v>136</v>
      </c>
      <c r="U9" s="443" t="s">
        <v>86</v>
      </c>
      <c r="V9" s="425" t="s">
        <v>87</v>
      </c>
    </row>
    <row r="10" spans="1:245" x14ac:dyDescent="0.2">
      <c r="A10" s="916" t="str">
        <f>+'B) Reajuste Tarifas y Ocupación'!A12</f>
        <v>Jardín Infantil Pequeños Héroes</v>
      </c>
      <c r="B10" s="229" t="str">
        <f>+'B) Reajuste Tarifas y Ocupación'!B12</f>
        <v>Media jornada</v>
      </c>
      <c r="C10" s="529">
        <f>+'B) Reajuste Tarifas y Ocupación'!M12</f>
        <v>113600</v>
      </c>
      <c r="D10" s="530">
        <f>+'B) Reajuste Tarifas y Ocupación'!N12</f>
        <v>153400</v>
      </c>
      <c r="E10" s="530">
        <f>+'B) Reajuste Tarifas y Ocupación'!O12</f>
        <v>159100</v>
      </c>
      <c r="F10" s="530">
        <f>+'B) Reajuste Tarifas y Ocupación'!P12</f>
        <v>194700</v>
      </c>
      <c r="G10" s="238">
        <f>+'B) Reajuste Tarifas y Ocupación'!Q12</f>
        <v>286100</v>
      </c>
      <c r="H10" s="546">
        <f>+'B) Reajuste Tarifas y Ocupación'!C12</f>
        <v>108700</v>
      </c>
      <c r="I10" s="547">
        <f>+'B) Reajuste Tarifas y Ocupación'!D12</f>
        <v>146700</v>
      </c>
      <c r="J10" s="547">
        <f>+'B) Reajuste Tarifas y Ocupación'!E12</f>
        <v>152100</v>
      </c>
      <c r="K10" s="547">
        <f>+'B) Reajuste Tarifas y Ocupación'!F12</f>
        <v>186300</v>
      </c>
      <c r="L10" s="548">
        <f>+'B) Reajuste Tarifas y Ocupación'!G12</f>
        <v>273700</v>
      </c>
      <c r="M10" s="364">
        <f t="shared" ref="M10:Q11" si="0">C10-H10</f>
        <v>4900</v>
      </c>
      <c r="N10" s="369">
        <f t="shared" si="0"/>
        <v>6700</v>
      </c>
      <c r="O10" s="369">
        <f t="shared" si="0"/>
        <v>7000</v>
      </c>
      <c r="P10" s="369">
        <f t="shared" si="0"/>
        <v>8400</v>
      </c>
      <c r="Q10" s="370">
        <f t="shared" si="0"/>
        <v>12400</v>
      </c>
      <c r="R10" s="444">
        <f>+'B) Reajuste Tarifas y Ocupación'!H12</f>
        <v>4.4999999999999998E-2</v>
      </c>
      <c r="S10" s="445">
        <f>+'B) Reajuste Tarifas y Ocupación'!I12</f>
        <v>4.4999999999999998E-2</v>
      </c>
      <c r="T10" s="445">
        <f>+'B) Reajuste Tarifas y Ocupación'!J12</f>
        <v>4.4999999999999998E-2</v>
      </c>
      <c r="U10" s="445">
        <f>+'B) Reajuste Tarifas y Ocupación'!K12</f>
        <v>4.4999999999999998E-2</v>
      </c>
      <c r="V10" s="446">
        <f>+'B) Reajuste Tarifas y Ocupación'!L12</f>
        <v>4.4999999999999998E-2</v>
      </c>
    </row>
    <row r="11" spans="1:245" x14ac:dyDescent="0.2">
      <c r="A11" s="917"/>
      <c r="B11" s="531" t="str">
        <f>+'B) Reajuste Tarifas y Ocupación'!B13</f>
        <v>Media jornada Extendida</v>
      </c>
      <c r="C11" s="532">
        <f>+'B) Reajuste Tarifas y Ocupación'!M13</f>
        <v>162400</v>
      </c>
      <c r="D11" s="533">
        <f>+'B) Reajuste Tarifas y Ocupación'!N13</f>
        <v>219300</v>
      </c>
      <c r="E11" s="533">
        <f>+'B) Reajuste Tarifas y Ocupación'!O13</f>
        <v>227400</v>
      </c>
      <c r="F11" s="533">
        <f>+'B) Reajuste Tarifas y Ocupación'!P13</f>
        <v>264600</v>
      </c>
      <c r="G11" s="522">
        <f>+'B) Reajuste Tarifas y Ocupación'!Q13</f>
        <v>412500</v>
      </c>
      <c r="H11" s="549">
        <f>+'B) Reajuste Tarifas y Ocupación'!C13</f>
        <v>155400</v>
      </c>
      <c r="I11" s="550">
        <f>+'B) Reajuste Tarifas y Ocupación'!D13</f>
        <v>209800</v>
      </c>
      <c r="J11" s="550">
        <f>+'B) Reajuste Tarifas y Ocupación'!E13</f>
        <v>217500</v>
      </c>
      <c r="K11" s="550">
        <f>+'B) Reajuste Tarifas y Ocupación'!F13</f>
        <v>253200</v>
      </c>
      <c r="L11" s="551">
        <f>+'B) Reajuste Tarifas y Ocupación'!G13</f>
        <v>394700</v>
      </c>
      <c r="M11" s="447">
        <f t="shared" si="0"/>
        <v>7000</v>
      </c>
      <c r="N11" s="448">
        <f t="shared" si="0"/>
        <v>9500</v>
      </c>
      <c r="O11" s="448">
        <f t="shared" si="0"/>
        <v>9900</v>
      </c>
      <c r="P11" s="448">
        <f t="shared" si="0"/>
        <v>11400</v>
      </c>
      <c r="Q11" s="535">
        <f t="shared" si="0"/>
        <v>17800</v>
      </c>
      <c r="R11" s="449">
        <f>+'B) Reajuste Tarifas y Ocupación'!H13</f>
        <v>4.4999999999999998E-2</v>
      </c>
      <c r="S11" s="450">
        <f>+'B) Reajuste Tarifas y Ocupación'!I13</f>
        <v>4.4999999999999998E-2</v>
      </c>
      <c r="T11" s="450">
        <f>+'B) Reajuste Tarifas y Ocupación'!J13</f>
        <v>4.4999999999999998E-2</v>
      </c>
      <c r="U11" s="450">
        <f>+'B) Reajuste Tarifas y Ocupación'!K13</f>
        <v>4.4999999999999998E-2</v>
      </c>
      <c r="V11" s="451">
        <f>+'B) Reajuste Tarifas y Ocupación'!L13</f>
        <v>4.4999999999999998E-2</v>
      </c>
    </row>
    <row r="12" spans="1:245" ht="13.5" thickBot="1" x14ac:dyDescent="0.25">
      <c r="A12" s="918"/>
      <c r="B12" s="231" t="str">
        <f>+'B) Reajuste Tarifas y Ocupación'!B14</f>
        <v>Jornada Completa</v>
      </c>
      <c r="C12" s="308">
        <f>+'B) Reajuste Tarifas y Ocupación'!M14</f>
        <v>189400</v>
      </c>
      <c r="D12" s="534">
        <f>+'B) Reajuste Tarifas y Ocupación'!N14</f>
        <v>255700</v>
      </c>
      <c r="E12" s="534">
        <f>+'B) Reajuste Tarifas y Ocupación'!O14</f>
        <v>265100</v>
      </c>
      <c r="F12" s="534">
        <f>+'B) Reajuste Tarifas y Ocupación'!P14</f>
        <v>318400</v>
      </c>
      <c r="G12" s="523">
        <f>+'B) Reajuste Tarifas y Ocupación'!Q14</f>
        <v>505700</v>
      </c>
      <c r="H12" s="543">
        <f>+'B) Reajuste Tarifas y Ocupación'!C14</f>
        <v>181200</v>
      </c>
      <c r="I12" s="544">
        <f>+'B) Reajuste Tarifas y Ocupación'!D14</f>
        <v>244500</v>
      </c>
      <c r="J12" s="544">
        <f>+'B) Reajuste Tarifas y Ocupación'!E14</f>
        <v>253600</v>
      </c>
      <c r="K12" s="544">
        <f>+'B) Reajuste Tarifas y Ocupación'!F14</f>
        <v>304600</v>
      </c>
      <c r="L12" s="545">
        <f>+'B) Reajuste Tarifas y Ocupación'!G14</f>
        <v>483900</v>
      </c>
      <c r="M12" s="239">
        <f t="shared" ref="M12:M13" si="1">C12-H12</f>
        <v>8200</v>
      </c>
      <c r="N12" s="452">
        <f t="shared" ref="N12:N13" si="2">D12-I12</f>
        <v>11200</v>
      </c>
      <c r="O12" s="452">
        <f t="shared" ref="O12:O13" si="3">E12-J12</f>
        <v>11500</v>
      </c>
      <c r="P12" s="452">
        <f t="shared" ref="P12:P13" si="4">F12-K12</f>
        <v>13800</v>
      </c>
      <c r="Q12" s="536">
        <f t="shared" ref="Q12:Q13" si="5">G12-L12</f>
        <v>21800</v>
      </c>
      <c r="R12" s="240">
        <f>+'B) Reajuste Tarifas y Ocupación'!H14</f>
        <v>4.4999999999999998E-2</v>
      </c>
      <c r="S12" s="453">
        <f>+'B) Reajuste Tarifas y Ocupación'!I14</f>
        <v>4.4999999999999998E-2</v>
      </c>
      <c r="T12" s="453">
        <f>+'B) Reajuste Tarifas y Ocupación'!J14</f>
        <v>4.4999999999999998E-2</v>
      </c>
      <c r="U12" s="453">
        <f>+'B) Reajuste Tarifas y Ocupación'!K14</f>
        <v>4.4999999999999998E-2</v>
      </c>
      <c r="V12" s="241">
        <f>+'B) Reajuste Tarifas y Ocupación'!L14</f>
        <v>4.4999999999999998E-2</v>
      </c>
    </row>
    <row r="13" spans="1:245" x14ac:dyDescent="0.2">
      <c r="A13" s="914" t="str">
        <f>+'B) Reajuste Tarifas y Ocupación'!A15</f>
        <v>Sala Cuna Pequeños Héroes</v>
      </c>
      <c r="B13" s="525" t="str">
        <f>+'B) Reajuste Tarifas y Ocupación'!B15</f>
        <v>Diurna</v>
      </c>
      <c r="C13" s="526">
        <f>+'B) Reajuste Tarifas y Ocupación'!M15</f>
        <v>437600</v>
      </c>
      <c r="D13" s="527">
        <f>+'B) Reajuste Tarifas y Ocupación'!N15</f>
        <v>590800</v>
      </c>
      <c r="E13" s="527">
        <f>+'B) Reajuste Tarifas y Ocupación'!O15</f>
        <v>612700</v>
      </c>
      <c r="F13" s="527">
        <f>+'B) Reajuste Tarifas y Ocupación'!P15</f>
        <v>547000</v>
      </c>
      <c r="G13" s="528">
        <f>+'B) Reajuste Tarifas y Ocupación'!Q15</f>
        <v>656300</v>
      </c>
      <c r="H13" s="537">
        <f>+'B) Reajuste Tarifas y Ocupación'!C15</f>
        <v>397800</v>
      </c>
      <c r="I13" s="538">
        <f>+'B) Reajuste Tarifas y Ocupación'!D15</f>
        <v>537000</v>
      </c>
      <c r="J13" s="538">
        <f>+'B) Reajuste Tarifas y Ocupación'!E15</f>
        <v>556900</v>
      </c>
      <c r="K13" s="538">
        <f>+'B) Reajuste Tarifas y Ocupación'!F15</f>
        <v>497200</v>
      </c>
      <c r="L13" s="539">
        <f>+'B) Reajuste Tarifas y Ocupación'!G15</f>
        <v>596600</v>
      </c>
      <c r="M13" s="364">
        <f t="shared" si="1"/>
        <v>39800</v>
      </c>
      <c r="N13" s="369">
        <f t="shared" si="2"/>
        <v>53800</v>
      </c>
      <c r="O13" s="369">
        <f t="shared" si="3"/>
        <v>55800</v>
      </c>
      <c r="P13" s="369">
        <f t="shared" si="4"/>
        <v>49800</v>
      </c>
      <c r="Q13" s="370">
        <f t="shared" si="5"/>
        <v>59700</v>
      </c>
      <c r="R13" s="444">
        <f>+'B) Reajuste Tarifas y Ocupación'!H15</f>
        <v>0.1</v>
      </c>
      <c r="S13" s="445">
        <f>+'B) Reajuste Tarifas y Ocupación'!I15</f>
        <v>0.1</v>
      </c>
      <c r="T13" s="445">
        <f>+'B) Reajuste Tarifas y Ocupación'!J15</f>
        <v>0.1</v>
      </c>
      <c r="U13" s="445">
        <f>+'B) Reajuste Tarifas y Ocupación'!K15</f>
        <v>0.1</v>
      </c>
      <c r="V13" s="446">
        <f>+'B) Reajuste Tarifas y Ocupación'!L15</f>
        <v>0.1</v>
      </c>
    </row>
    <row r="14" spans="1:245" x14ac:dyDescent="0.2">
      <c r="A14" s="914"/>
      <c r="B14" s="230" t="str">
        <f>+'B) Reajuste Tarifas y Ocupación'!B16</f>
        <v>Nocturna</v>
      </c>
      <c r="C14" s="429"/>
      <c r="D14" s="430"/>
      <c r="E14" s="430"/>
      <c r="F14" s="430"/>
      <c r="G14" s="524"/>
      <c r="H14" s="540"/>
      <c r="I14" s="541"/>
      <c r="J14" s="541"/>
      <c r="K14" s="541"/>
      <c r="L14" s="542"/>
      <c r="M14" s="540"/>
      <c r="N14" s="541"/>
      <c r="O14" s="541"/>
      <c r="P14" s="541"/>
      <c r="Q14" s="542"/>
      <c r="R14" s="454"/>
      <c r="S14" s="455"/>
      <c r="T14" s="455"/>
      <c r="U14" s="455"/>
      <c r="V14" s="456"/>
    </row>
    <row r="15" spans="1:245" ht="13.5" thickBot="1" x14ac:dyDescent="0.25">
      <c r="A15" s="915"/>
      <c r="B15" s="231" t="str">
        <f>+'B) Reajuste Tarifas y Ocupación'!B17</f>
        <v>Media Jornada</v>
      </c>
      <c r="C15" s="308">
        <f>+'B) Reajuste Tarifas y Ocupación'!M17</f>
        <v>262800</v>
      </c>
      <c r="D15" s="309">
        <f>+'B) Reajuste Tarifas y Ocupación'!N17</f>
        <v>354800</v>
      </c>
      <c r="E15" s="309">
        <f>+'B) Reajuste Tarifas y Ocupación'!O17</f>
        <v>368000</v>
      </c>
      <c r="F15" s="309">
        <f>+'B) Reajuste Tarifas y Ocupación'!P17</f>
        <v>394000</v>
      </c>
      <c r="G15" s="523">
        <f>+'B) Reajuste Tarifas y Ocupación'!Q17</f>
        <v>525200</v>
      </c>
      <c r="H15" s="543">
        <f>+'B) Reajuste Tarifas y Ocupación'!C17</f>
        <v>238900</v>
      </c>
      <c r="I15" s="544">
        <f>+'B) Reajuste Tarifas y Ocupación'!D17</f>
        <v>322600</v>
      </c>
      <c r="J15" s="544">
        <f>+'B) Reajuste Tarifas y Ocupación'!E17</f>
        <v>334500</v>
      </c>
      <c r="K15" s="544">
        <f>+'B) Reajuste Tarifas y Ocupación'!F17</f>
        <v>358100</v>
      </c>
      <c r="L15" s="545">
        <f>+'B) Reajuste Tarifas y Ocupación'!G17</f>
        <v>477400</v>
      </c>
      <c r="M15" s="239">
        <f t="shared" ref="M15" si="6">C15-H15</f>
        <v>23900</v>
      </c>
      <c r="N15" s="452">
        <f t="shared" ref="N15" si="7">D15-I15</f>
        <v>32200</v>
      </c>
      <c r="O15" s="452">
        <f t="shared" ref="O15" si="8">E15-J15</f>
        <v>33500</v>
      </c>
      <c r="P15" s="452">
        <f t="shared" ref="P15" si="9">F15-K15</f>
        <v>35900</v>
      </c>
      <c r="Q15" s="536">
        <f t="shared" ref="Q15" si="10">G15-L15</f>
        <v>47800</v>
      </c>
      <c r="R15" s="240">
        <f>+'B) Reajuste Tarifas y Ocupación'!H17</f>
        <v>0.1</v>
      </c>
      <c r="S15" s="453">
        <f>+'B) Reajuste Tarifas y Ocupación'!I17</f>
        <v>0.1</v>
      </c>
      <c r="T15" s="453">
        <f>+'B) Reajuste Tarifas y Ocupación'!J17</f>
        <v>0.1</v>
      </c>
      <c r="U15" s="453">
        <f>+'B) Reajuste Tarifas y Ocupación'!K17</f>
        <v>0.1</v>
      </c>
      <c r="V15" s="241">
        <f>+'B) Reajuste Tarifas y Ocupación'!L17</f>
        <v>0.1</v>
      </c>
    </row>
  </sheetData>
  <sheetProtection algorithmName="SHA-512" hashValue="BoreK0PymbOtY1dX+u2zj4KZ8MpclpDsP+DVsNJTjAbcerz2atxV29nPXD7OPBVLa1ejJSGEYfahNxxqZWFUGw==" saltValue="hd1sbxmuBrfgssl3jMDm4g==" spinCount="100000" sheet="1" objects="1" scenarios="1"/>
  <mergeCells count="10">
    <mergeCell ref="A13:A15"/>
    <mergeCell ref="A10:A12"/>
    <mergeCell ref="R8:V8"/>
    <mergeCell ref="G4:H4"/>
    <mergeCell ref="H8:L8"/>
    <mergeCell ref="M8:Q8"/>
    <mergeCell ref="C8:G8"/>
    <mergeCell ref="A6:D6"/>
    <mergeCell ref="A8:A9"/>
    <mergeCell ref="B8:B9"/>
  </mergeCells>
  <conditionalFormatting sqref="H14:L14">
    <cfRule type="cellIs" dxfId="2" priority="6" operator="lessThan">
      <formula>0</formula>
    </cfRule>
  </conditionalFormatting>
  <conditionalFormatting sqref="M10:Q15">
    <cfRule type="cellIs" dxfId="1" priority="1" operator="lessThan">
      <formula>0</formula>
    </cfRule>
  </conditionalFormatting>
  <conditionalFormatting sqref="R14:V14">
    <cfRule type="cellIs" dxfId="0" priority="3" operator="lessThan">
      <formula>0</formula>
    </cfRule>
  </conditionalFormatting>
  <pageMargins left="0.75" right="0.75" top="1" bottom="0.64583333333333337" header="0" footer="0.51180555555555551"/>
  <pageSetup firstPageNumber="0" fitToHeight="14" orientation="landscape" horizontalDpi="300" verticalDpi="300" r:id="rId1"/>
  <headerFooter alignWithMargins="0">
    <oddHeader>&amp;LSEPT - 2004&amp;CDIRECTIVA D.B.S.A.ORDINARIA&amp;R02-BS0307/02Pag &amp;P de &amp;N/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C000"/>
  </sheetPr>
  <dimension ref="B1:IY44"/>
  <sheetViews>
    <sheetView showGridLines="0" topLeftCell="B1" zoomScale="90" zoomScaleNormal="90" workbookViewId="0">
      <selection activeCell="K42" sqref="K42"/>
    </sheetView>
  </sheetViews>
  <sheetFormatPr baseColWidth="10" defaultColWidth="11.42578125" defaultRowHeight="12.75" x14ac:dyDescent="0.2"/>
  <cols>
    <col min="1" max="1" width="7.140625" style="20" customWidth="1"/>
    <col min="2" max="2" width="37.28515625" style="20" customWidth="1"/>
    <col min="3" max="3" width="28" style="20" customWidth="1"/>
    <col min="4" max="4" width="24.140625" style="20" customWidth="1"/>
    <col min="5" max="5" width="25.140625" style="20" customWidth="1"/>
    <col min="6" max="6" width="22.140625" style="20" customWidth="1"/>
    <col min="7" max="7" width="14.85546875" style="20" customWidth="1"/>
    <col min="8" max="8" width="15" style="20" customWidth="1"/>
    <col min="9" max="9" width="15.140625" style="20" customWidth="1"/>
    <col min="10" max="10" width="20.7109375" style="20" customWidth="1"/>
    <col min="11" max="11" width="19.140625" style="20" customWidth="1"/>
    <col min="12" max="12" width="23.85546875" style="20" customWidth="1"/>
    <col min="13" max="13" width="16.140625" style="20" customWidth="1"/>
    <col min="14" max="14" width="17.140625" style="20" customWidth="1"/>
    <col min="15" max="15" width="14.85546875" style="20" customWidth="1"/>
    <col min="16" max="16" width="17.7109375" style="20" customWidth="1"/>
    <col min="17" max="17" width="17.140625" style="20" customWidth="1"/>
    <col min="18" max="18" width="18.140625" style="20" customWidth="1"/>
    <col min="19" max="19" width="16.28515625" style="20" customWidth="1"/>
    <col min="20" max="20" width="15.85546875" style="20" customWidth="1"/>
    <col min="21" max="21" width="14.85546875" style="20" customWidth="1"/>
    <col min="22" max="22" width="15.85546875" style="20" customWidth="1"/>
    <col min="23" max="23" width="14.28515625" style="20" customWidth="1"/>
    <col min="24" max="24" width="14.85546875" style="20" customWidth="1"/>
    <col min="25" max="25" width="14.140625" style="20" customWidth="1"/>
    <col min="26" max="26" width="16.85546875" style="20" customWidth="1"/>
    <col min="27" max="27" width="17.5703125" style="20" customWidth="1"/>
    <col min="28" max="28" width="15.28515625" style="20" customWidth="1"/>
    <col min="29" max="29" width="19.7109375" style="20" customWidth="1"/>
    <col min="30" max="30" width="17.42578125" style="20" customWidth="1"/>
    <col min="31" max="31" width="12" style="20" customWidth="1"/>
    <col min="32" max="16384" width="11.42578125" style="20"/>
  </cols>
  <sheetData>
    <row r="1" spans="2:259" s="4" customFormat="1" x14ac:dyDescent="0.2">
      <c r="E1" s="30" t="s">
        <v>204</v>
      </c>
      <c r="F1" s="30"/>
      <c r="G1" s="30"/>
      <c r="H1" s="30"/>
      <c r="I1" s="30"/>
      <c r="IM1" s="2"/>
      <c r="IN1" s="2"/>
    </row>
    <row r="2" spans="2:259" s="4" customFormat="1" x14ac:dyDescent="0.2">
      <c r="E2" s="30" t="s">
        <v>196</v>
      </c>
      <c r="F2" s="30"/>
      <c r="G2" s="30"/>
      <c r="H2" s="30"/>
      <c r="I2" s="30"/>
      <c r="IM2" s="2"/>
      <c r="IN2" s="2"/>
    </row>
    <row r="3" spans="2:259" s="4" customFormat="1" x14ac:dyDescent="0.2">
      <c r="B3" s="16"/>
      <c r="ID3" s="2"/>
      <c r="IE3" s="2"/>
      <c r="IF3" s="2"/>
      <c r="IG3" s="2"/>
      <c r="IH3" s="2"/>
      <c r="II3" s="2"/>
    </row>
    <row r="4" spans="2:259" s="4" customFormat="1" ht="18.75" customHeight="1" x14ac:dyDescent="0.2">
      <c r="B4" s="16"/>
      <c r="D4" s="64" t="s">
        <v>0</v>
      </c>
      <c r="E4" s="124" t="str">
        <f>+'B) Reajuste Tarifas y Ocupación'!F5</f>
        <v>(DEPTO./DELEG.)</v>
      </c>
      <c r="F4" s="39"/>
      <c r="G4" s="40"/>
      <c r="H4" s="40"/>
      <c r="I4" s="40"/>
      <c r="N4" s="1"/>
      <c r="ID4" s="2"/>
      <c r="IE4" s="2"/>
      <c r="IF4" s="2"/>
      <c r="IG4" s="2"/>
      <c r="IH4" s="2"/>
      <c r="II4" s="2"/>
    </row>
    <row r="5" spans="2:259" s="4" customFormat="1" x14ac:dyDescent="0.2">
      <c r="B5" s="16"/>
      <c r="D5" s="6"/>
      <c r="E5" s="30"/>
      <c r="F5" s="30"/>
      <c r="G5" s="30"/>
      <c r="H5" s="30"/>
      <c r="I5" s="30"/>
      <c r="N5" s="1"/>
      <c r="ID5" s="2"/>
      <c r="IE5" s="2"/>
      <c r="IF5" s="2"/>
      <c r="IG5" s="2"/>
      <c r="IH5" s="2"/>
      <c r="II5" s="2"/>
    </row>
    <row r="6" spans="2:259" s="4" customFormat="1" x14ac:dyDescent="0.2">
      <c r="B6" s="16"/>
      <c r="D6" s="6"/>
      <c r="E6" s="30"/>
      <c r="F6" s="30"/>
      <c r="G6" s="30"/>
      <c r="H6" s="30"/>
      <c r="I6" s="30"/>
      <c r="N6" s="1"/>
      <c r="ID6" s="2"/>
      <c r="IE6" s="2"/>
      <c r="IF6" s="2"/>
      <c r="IG6" s="2"/>
      <c r="IH6" s="2"/>
      <c r="II6" s="2"/>
    </row>
    <row r="7" spans="2:259" s="4" customFormat="1" ht="15.75" x14ac:dyDescent="0.2">
      <c r="B7" s="814" t="s">
        <v>158</v>
      </c>
      <c r="C7" s="814"/>
      <c r="D7" s="814"/>
      <c r="E7" s="814"/>
      <c r="F7" s="65"/>
      <c r="H7" s="65"/>
      <c r="J7" s="41" t="s">
        <v>4</v>
      </c>
      <c r="K7" s="42">
        <v>4.4999999999999998E-2</v>
      </c>
      <c r="N7" s="1"/>
      <c r="ID7" s="2"/>
      <c r="IE7" s="2"/>
      <c r="IF7" s="2"/>
      <c r="IG7" s="2"/>
      <c r="IH7" s="2"/>
      <c r="II7" s="2"/>
    </row>
    <row r="8" spans="2:259" ht="13.5" thickBot="1" x14ac:dyDescent="0.25"/>
    <row r="9" spans="2:259" ht="12.75" customHeight="1" x14ac:dyDescent="0.2">
      <c r="B9" s="902" t="s">
        <v>112</v>
      </c>
      <c r="C9" s="949" t="s">
        <v>73</v>
      </c>
      <c r="D9" s="906" t="s">
        <v>74</v>
      </c>
      <c r="E9" s="908" t="s">
        <v>3</v>
      </c>
      <c r="F9" s="946" t="s">
        <v>81</v>
      </c>
      <c r="G9" s="910" t="s">
        <v>262</v>
      </c>
      <c r="H9" s="911"/>
      <c r="I9" s="911"/>
      <c r="J9" s="953"/>
      <c r="K9" s="954" t="s">
        <v>264</v>
      </c>
      <c r="L9" s="897" t="s">
        <v>266</v>
      </c>
      <c r="O9" s="19"/>
      <c r="P9" s="19"/>
      <c r="Q9" s="19"/>
      <c r="R9" s="19"/>
      <c r="S9" s="19"/>
      <c r="T9" s="19"/>
    </row>
    <row r="10" spans="2:259" ht="39" thickBot="1" x14ac:dyDescent="0.25">
      <c r="B10" s="948"/>
      <c r="C10" s="950"/>
      <c r="D10" s="951"/>
      <c r="E10" s="952"/>
      <c r="F10" s="947"/>
      <c r="G10" s="417" t="s">
        <v>218</v>
      </c>
      <c r="H10" s="418" t="s">
        <v>113</v>
      </c>
      <c r="I10" s="417" t="s">
        <v>114</v>
      </c>
      <c r="J10" s="665" t="s">
        <v>263</v>
      </c>
      <c r="K10" s="955"/>
      <c r="L10" s="898"/>
      <c r="M10"/>
      <c r="N10" s="36"/>
      <c r="O10" s="36"/>
      <c r="P10" s="14"/>
      <c r="Q10" s="14"/>
      <c r="R10" s="14"/>
      <c r="S10"/>
      <c r="T10" s="943"/>
      <c r="U10" s="943"/>
      <c r="V10" s="943"/>
      <c r="W10" s="943"/>
      <c r="X10"/>
    </row>
    <row r="11" spans="2:259" customFormat="1" x14ac:dyDescent="0.2">
      <c r="B11" s="944" t="str">
        <f>+'B) Reajuste Tarifas y Ocupación'!A12</f>
        <v>Jardín Infantil Pequeños Héroes</v>
      </c>
      <c r="C11" s="349" t="s">
        <v>347</v>
      </c>
      <c r="D11" s="313" t="s">
        <v>348</v>
      </c>
      <c r="E11" s="313" t="s">
        <v>349</v>
      </c>
      <c r="F11" s="350" t="s">
        <v>223</v>
      </c>
      <c r="G11" s="552">
        <v>12787908</v>
      </c>
      <c r="H11" s="170">
        <v>161212</v>
      </c>
      <c r="I11" s="660">
        <v>320040</v>
      </c>
      <c r="J11" s="659">
        <f>SUM(G11:I11)</f>
        <v>13269160</v>
      </c>
      <c r="K11" s="671">
        <f>+J11*(1+$K$7)</f>
        <v>13866272.199999999</v>
      </c>
      <c r="L11" s="940">
        <f>SUM(K11:K22)</f>
        <v>35193336.530000001</v>
      </c>
      <c r="N11" s="24"/>
      <c r="O11" s="24"/>
      <c r="P11" s="37"/>
      <c r="Q11" s="37"/>
      <c r="R11" s="37"/>
      <c r="S11" s="22"/>
      <c r="T11" s="21"/>
      <c r="U11" s="21"/>
      <c r="V11" s="21"/>
      <c r="W11" s="21"/>
      <c r="X11" s="23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</row>
    <row r="12" spans="2:259" customFormat="1" x14ac:dyDescent="0.2">
      <c r="B12" s="945"/>
      <c r="C12" s="351" t="s">
        <v>128</v>
      </c>
      <c r="D12" s="352" t="s">
        <v>128</v>
      </c>
      <c r="E12" s="352" t="s">
        <v>350</v>
      </c>
      <c r="F12" s="353" t="s">
        <v>223</v>
      </c>
      <c r="G12" s="553">
        <v>9722297</v>
      </c>
      <c r="H12" s="125">
        <v>162000</v>
      </c>
      <c r="I12" s="661">
        <v>320040</v>
      </c>
      <c r="J12" s="666">
        <f t="shared" ref="J12:J30" si="0">SUM(G12:I12)</f>
        <v>10204337</v>
      </c>
      <c r="K12" s="672">
        <f t="shared" ref="K12:K30" si="1">+J12*(1+$K$7)</f>
        <v>10663532.164999999</v>
      </c>
      <c r="L12" s="941"/>
      <c r="N12" s="24"/>
      <c r="O12" s="24"/>
      <c r="P12" s="14"/>
      <c r="Q12" s="14"/>
      <c r="R12" s="14"/>
      <c r="S12" s="22"/>
      <c r="T12" s="21"/>
      <c r="U12" s="21"/>
      <c r="V12" s="21"/>
      <c r="W12" s="21"/>
      <c r="X12" s="23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</row>
    <row r="13" spans="2:259" customFormat="1" x14ac:dyDescent="0.2">
      <c r="B13" s="945"/>
      <c r="C13" s="351" t="s">
        <v>128</v>
      </c>
      <c r="D13" s="352" t="s">
        <v>128</v>
      </c>
      <c r="E13" s="352" t="s">
        <v>351</v>
      </c>
      <c r="F13" s="353" t="s">
        <v>223</v>
      </c>
      <c r="G13" s="553">
        <v>9722297</v>
      </c>
      <c r="H13" s="125">
        <v>162000</v>
      </c>
      <c r="I13" s="661">
        <v>320040</v>
      </c>
      <c r="J13" s="666">
        <f t="shared" si="0"/>
        <v>10204337</v>
      </c>
      <c r="K13" s="672">
        <f t="shared" si="1"/>
        <v>10663532.164999999</v>
      </c>
      <c r="L13" s="941"/>
      <c r="N13" s="24"/>
      <c r="O13" s="24"/>
      <c r="P13" s="14"/>
      <c r="Q13" s="14"/>
      <c r="R13" s="14"/>
      <c r="S13" s="22"/>
      <c r="T13" s="21"/>
      <c r="U13" s="21"/>
      <c r="V13" s="21"/>
      <c r="W13" s="21"/>
      <c r="X13" s="23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</row>
    <row r="14" spans="2:259" customFormat="1" x14ac:dyDescent="0.2">
      <c r="B14" s="945"/>
      <c r="C14" s="351" t="s">
        <v>352</v>
      </c>
      <c r="D14" s="352" t="s">
        <v>348</v>
      </c>
      <c r="E14" s="352" t="s">
        <v>353</v>
      </c>
      <c r="F14" s="353" t="s">
        <v>223</v>
      </c>
      <c r="G14" s="553">
        <v>0</v>
      </c>
      <c r="H14" s="125">
        <v>0</v>
      </c>
      <c r="I14" s="661">
        <v>0</v>
      </c>
      <c r="J14" s="666">
        <f t="shared" si="0"/>
        <v>0</v>
      </c>
      <c r="K14" s="672">
        <f t="shared" si="1"/>
        <v>0</v>
      </c>
      <c r="L14" s="941"/>
      <c r="N14" s="24"/>
      <c r="O14" s="24"/>
      <c r="P14" s="14"/>
      <c r="Q14" s="14"/>
      <c r="R14" s="14"/>
      <c r="S14" s="22"/>
      <c r="T14" s="21"/>
      <c r="U14" s="21"/>
      <c r="V14" s="21"/>
      <c r="W14" s="21"/>
      <c r="X14" s="23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</row>
    <row r="15" spans="2:259" customFormat="1" x14ac:dyDescent="0.2">
      <c r="B15" s="945"/>
      <c r="C15" s="351" t="s">
        <v>354</v>
      </c>
      <c r="D15" s="352" t="s">
        <v>355</v>
      </c>
      <c r="E15" s="352" t="s">
        <v>356</v>
      </c>
      <c r="F15" s="353" t="s">
        <v>223</v>
      </c>
      <c r="G15" s="553">
        <v>0</v>
      </c>
      <c r="H15" s="125">
        <v>0</v>
      </c>
      <c r="I15" s="661">
        <v>0</v>
      </c>
      <c r="J15" s="666">
        <f t="shared" si="0"/>
        <v>0</v>
      </c>
      <c r="K15" s="672">
        <f t="shared" si="1"/>
        <v>0</v>
      </c>
      <c r="L15" s="941"/>
      <c r="N15" s="24"/>
      <c r="O15" s="24"/>
      <c r="P15" s="14"/>
      <c r="Q15" s="14"/>
      <c r="R15" s="14"/>
      <c r="S15" s="22"/>
      <c r="T15" s="21"/>
      <c r="U15" s="21"/>
      <c r="V15" s="21"/>
      <c r="W15" s="21"/>
      <c r="X15" s="23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</row>
    <row r="16" spans="2:259" customFormat="1" x14ac:dyDescent="0.2">
      <c r="B16" s="945"/>
      <c r="C16" s="351" t="s">
        <v>357</v>
      </c>
      <c r="D16" s="352" t="s">
        <v>358</v>
      </c>
      <c r="E16" s="352" t="s">
        <v>359</v>
      </c>
      <c r="F16" s="353" t="s">
        <v>360</v>
      </c>
      <c r="G16" s="553">
        <v>0</v>
      </c>
      <c r="H16" s="125">
        <v>0</v>
      </c>
      <c r="I16" s="661">
        <v>0</v>
      </c>
      <c r="J16" s="666">
        <f t="shared" si="0"/>
        <v>0</v>
      </c>
      <c r="K16" s="672">
        <f t="shared" si="1"/>
        <v>0</v>
      </c>
      <c r="L16" s="941"/>
      <c r="N16" s="24"/>
      <c r="O16" s="24"/>
      <c r="P16" s="14"/>
      <c r="Q16" s="14"/>
      <c r="R16" s="14"/>
      <c r="S16" s="22"/>
      <c r="T16" s="21"/>
      <c r="U16" s="21"/>
      <c r="V16" s="21"/>
      <c r="W16" s="21"/>
      <c r="X16" s="23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</row>
    <row r="17" spans="2:259" customFormat="1" x14ac:dyDescent="0.2">
      <c r="B17" s="945"/>
      <c r="C17" s="351" t="s">
        <v>361</v>
      </c>
      <c r="D17" s="352" t="s">
        <v>362</v>
      </c>
      <c r="E17" s="352" t="s">
        <v>359</v>
      </c>
      <c r="F17" s="353" t="s">
        <v>360</v>
      </c>
      <c r="G17" s="553"/>
      <c r="H17" s="125">
        <v>0</v>
      </c>
      <c r="I17" s="661">
        <v>0</v>
      </c>
      <c r="J17" s="666">
        <f t="shared" si="0"/>
        <v>0</v>
      </c>
      <c r="K17" s="672">
        <f t="shared" si="1"/>
        <v>0</v>
      </c>
      <c r="L17" s="941"/>
      <c r="N17" s="24"/>
      <c r="O17" s="24"/>
      <c r="P17" s="14"/>
      <c r="Q17" s="14"/>
      <c r="R17" s="14"/>
      <c r="S17" s="22"/>
      <c r="T17" s="21"/>
      <c r="U17" s="21"/>
      <c r="V17" s="21"/>
      <c r="W17" s="21"/>
      <c r="X17" s="23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</row>
    <row r="18" spans="2:259" customFormat="1" x14ac:dyDescent="0.2">
      <c r="B18" s="945"/>
      <c r="C18" s="351" t="s">
        <v>363</v>
      </c>
      <c r="D18" s="352" t="s">
        <v>364</v>
      </c>
      <c r="E18" s="352" t="s">
        <v>359</v>
      </c>
      <c r="F18" s="353" t="s">
        <v>360</v>
      </c>
      <c r="G18" s="553">
        <v>0</v>
      </c>
      <c r="H18" s="125">
        <v>0</v>
      </c>
      <c r="I18" s="661">
        <v>0</v>
      </c>
      <c r="J18" s="666">
        <f t="shared" si="0"/>
        <v>0</v>
      </c>
      <c r="K18" s="672">
        <f t="shared" si="1"/>
        <v>0</v>
      </c>
      <c r="L18" s="941"/>
      <c r="N18" s="24"/>
      <c r="O18" s="24"/>
      <c r="P18" s="14"/>
      <c r="Q18" s="14"/>
      <c r="R18" s="14"/>
      <c r="S18" s="22"/>
      <c r="T18" s="21"/>
      <c r="U18" s="21"/>
      <c r="V18" s="21"/>
      <c r="W18" s="21"/>
      <c r="X18" s="23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</row>
    <row r="19" spans="2:259" customFormat="1" x14ac:dyDescent="0.2">
      <c r="B19" s="945"/>
      <c r="C19" s="351" t="s">
        <v>365</v>
      </c>
      <c r="D19" s="352" t="s">
        <v>366</v>
      </c>
      <c r="E19" s="352" t="s">
        <v>350</v>
      </c>
      <c r="F19" s="353" t="s">
        <v>367</v>
      </c>
      <c r="G19" s="553">
        <v>0</v>
      </c>
      <c r="H19" s="125">
        <v>0</v>
      </c>
      <c r="I19" s="661">
        <v>0</v>
      </c>
      <c r="J19" s="666">
        <f t="shared" si="0"/>
        <v>0</v>
      </c>
      <c r="K19" s="672">
        <f t="shared" si="1"/>
        <v>0</v>
      </c>
      <c r="L19" s="941"/>
      <c r="N19" s="24"/>
      <c r="O19" s="24"/>
      <c r="P19" s="14"/>
      <c r="Q19" s="14"/>
      <c r="R19" s="14"/>
      <c r="S19" s="22"/>
      <c r="T19" s="21"/>
      <c r="U19" s="21"/>
      <c r="V19" s="21"/>
      <c r="W19" s="21"/>
      <c r="X19" s="23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</row>
    <row r="20" spans="2:259" customFormat="1" x14ac:dyDescent="0.2">
      <c r="B20" s="945"/>
      <c r="C20" s="351" t="s">
        <v>368</v>
      </c>
      <c r="D20" s="352" t="s">
        <v>369</v>
      </c>
      <c r="E20" s="352" t="s">
        <v>350</v>
      </c>
      <c r="F20" s="353" t="s">
        <v>367</v>
      </c>
      <c r="G20" s="553">
        <v>0</v>
      </c>
      <c r="H20" s="125">
        <v>0</v>
      </c>
      <c r="I20" s="661">
        <v>0</v>
      </c>
      <c r="J20" s="666">
        <f t="shared" si="0"/>
        <v>0</v>
      </c>
      <c r="K20" s="672">
        <f t="shared" si="1"/>
        <v>0</v>
      </c>
      <c r="L20" s="941"/>
      <c r="N20" s="24"/>
      <c r="O20" s="24"/>
      <c r="P20" s="14"/>
      <c r="Q20" s="14"/>
      <c r="R20" s="14"/>
      <c r="S20" s="22"/>
      <c r="T20" s="21"/>
      <c r="U20" s="21"/>
      <c r="V20" s="21"/>
      <c r="W20" s="21"/>
      <c r="X20" s="23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</row>
    <row r="21" spans="2:259" customFormat="1" x14ac:dyDescent="0.2">
      <c r="B21" s="945"/>
      <c r="C21" s="351" t="s">
        <v>370</v>
      </c>
      <c r="D21" s="352" t="s">
        <v>371</v>
      </c>
      <c r="E21" s="352" t="s">
        <v>350</v>
      </c>
      <c r="F21" s="353" t="s">
        <v>367</v>
      </c>
      <c r="G21" s="553">
        <v>0</v>
      </c>
      <c r="H21" s="125">
        <v>0</v>
      </c>
      <c r="I21" s="661">
        <v>0</v>
      </c>
      <c r="J21" s="666">
        <f t="shared" si="0"/>
        <v>0</v>
      </c>
      <c r="K21" s="672">
        <f t="shared" si="1"/>
        <v>0</v>
      </c>
      <c r="L21" s="941"/>
      <c r="N21" s="24"/>
      <c r="O21" s="24"/>
      <c r="P21" s="14"/>
      <c r="Q21" s="14"/>
      <c r="R21" s="14"/>
      <c r="S21" s="22"/>
      <c r="T21" s="21"/>
      <c r="U21" s="21"/>
      <c r="V21" s="21"/>
      <c r="W21" s="21"/>
      <c r="X21" s="23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</row>
    <row r="22" spans="2:259" customFormat="1" ht="13.5" thickBot="1" x14ac:dyDescent="0.25">
      <c r="B22" s="945"/>
      <c r="C22" s="175" t="s">
        <v>372</v>
      </c>
      <c r="D22" s="354" t="s">
        <v>373</v>
      </c>
      <c r="E22" s="354" t="s">
        <v>350</v>
      </c>
      <c r="F22" s="297" t="s">
        <v>367</v>
      </c>
      <c r="G22" s="554">
        <v>0</v>
      </c>
      <c r="H22" s="296">
        <v>0</v>
      </c>
      <c r="I22" s="662">
        <v>0</v>
      </c>
      <c r="J22" s="667">
        <f t="shared" si="0"/>
        <v>0</v>
      </c>
      <c r="K22" s="673">
        <f t="shared" si="1"/>
        <v>0</v>
      </c>
      <c r="L22" s="941"/>
      <c r="N22" s="24"/>
      <c r="O22" s="24"/>
      <c r="P22" s="14"/>
      <c r="Q22" s="14"/>
      <c r="R22" s="14"/>
      <c r="S22" s="22"/>
      <c r="T22" s="21"/>
      <c r="U22" s="21"/>
      <c r="V22" s="21"/>
      <c r="W22" s="21"/>
      <c r="X22" s="23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</row>
    <row r="23" spans="2:259" customFormat="1" ht="12.75" customHeight="1" x14ac:dyDescent="0.2">
      <c r="B23" s="934" t="str">
        <f>+'B) Reajuste Tarifas y Ocupación'!A15</f>
        <v>Sala Cuna Pequeños Héroes</v>
      </c>
      <c r="C23" s="355" t="s">
        <v>374</v>
      </c>
      <c r="D23" s="356" t="s">
        <v>375</v>
      </c>
      <c r="E23" s="356" t="s">
        <v>349</v>
      </c>
      <c r="F23" s="357" t="s">
        <v>254</v>
      </c>
      <c r="G23" s="552">
        <v>12785150</v>
      </c>
      <c r="H23" s="170">
        <v>161212</v>
      </c>
      <c r="I23" s="660">
        <v>320040</v>
      </c>
      <c r="J23" s="659">
        <f t="shared" si="0"/>
        <v>13266402</v>
      </c>
      <c r="K23" s="671">
        <f>+J23*(1+$K$7)</f>
        <v>13863390.09</v>
      </c>
      <c r="L23" s="940">
        <f>SUM(K23:K30)</f>
        <v>24084075.289999999</v>
      </c>
      <c r="N23" s="24"/>
      <c r="O23" s="24"/>
      <c r="P23" s="14"/>
      <c r="Q23" s="14"/>
      <c r="R23" s="14"/>
      <c r="S23" s="22"/>
      <c r="T23" s="21"/>
      <c r="U23" s="21"/>
      <c r="V23" s="21"/>
      <c r="W23" s="21"/>
      <c r="X23" s="23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</row>
    <row r="24" spans="2:259" customFormat="1" ht="12.75" customHeight="1" x14ac:dyDescent="0.2">
      <c r="B24" s="935"/>
      <c r="C24" s="351" t="s">
        <v>376</v>
      </c>
      <c r="D24" s="352" t="s">
        <v>377</v>
      </c>
      <c r="E24" s="352" t="s">
        <v>350</v>
      </c>
      <c r="F24" s="353" t="s">
        <v>254</v>
      </c>
      <c r="G24" s="553">
        <v>9298520</v>
      </c>
      <c r="H24" s="306">
        <v>162000</v>
      </c>
      <c r="I24" s="661">
        <v>320040</v>
      </c>
      <c r="J24" s="666">
        <f t="shared" si="0"/>
        <v>9780560</v>
      </c>
      <c r="K24" s="672">
        <f t="shared" si="1"/>
        <v>10220685.199999999</v>
      </c>
      <c r="L24" s="941"/>
      <c r="N24" s="24"/>
      <c r="O24" s="24"/>
      <c r="P24" s="14"/>
      <c r="Q24" s="14"/>
      <c r="R24" s="14"/>
      <c r="S24" s="22"/>
      <c r="T24" s="21"/>
      <c r="U24" s="21"/>
      <c r="V24" s="21"/>
      <c r="W24" s="21"/>
      <c r="X24" s="23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</row>
    <row r="25" spans="2:259" customFormat="1" ht="12.75" customHeight="1" x14ac:dyDescent="0.2">
      <c r="B25" s="935"/>
      <c r="C25" s="351"/>
      <c r="D25" s="352"/>
      <c r="E25" s="352"/>
      <c r="F25" s="353"/>
      <c r="G25" s="553"/>
      <c r="H25" s="306"/>
      <c r="I25" s="661"/>
      <c r="J25" s="666">
        <f t="shared" si="0"/>
        <v>0</v>
      </c>
      <c r="K25" s="672">
        <f t="shared" si="1"/>
        <v>0</v>
      </c>
      <c r="L25" s="941"/>
      <c r="N25" s="24"/>
      <c r="O25" s="24"/>
      <c r="P25" s="14"/>
      <c r="Q25" s="14"/>
      <c r="R25" s="14"/>
      <c r="S25" s="22"/>
      <c r="T25" s="21"/>
      <c r="U25" s="21"/>
      <c r="V25" s="21"/>
      <c r="W25" s="21"/>
      <c r="X25" s="23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</row>
    <row r="26" spans="2:259" customFormat="1" ht="12.75" customHeight="1" x14ac:dyDescent="0.2">
      <c r="B26" s="935"/>
      <c r="C26" s="351"/>
      <c r="D26" s="352"/>
      <c r="E26" s="352"/>
      <c r="F26" s="353"/>
      <c r="G26" s="553"/>
      <c r="H26" s="306"/>
      <c r="I26" s="661"/>
      <c r="J26" s="666">
        <f t="shared" si="0"/>
        <v>0</v>
      </c>
      <c r="K26" s="672">
        <f t="shared" si="1"/>
        <v>0</v>
      </c>
      <c r="L26" s="941"/>
      <c r="N26" s="24"/>
      <c r="O26" s="24"/>
      <c r="P26" s="14"/>
      <c r="Q26" s="14"/>
      <c r="R26" s="14"/>
      <c r="S26" s="22"/>
      <c r="T26" s="21"/>
      <c r="U26" s="21"/>
      <c r="V26" s="21"/>
      <c r="W26" s="21"/>
      <c r="X26" s="23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</row>
    <row r="27" spans="2:259" customFormat="1" ht="12.75" customHeight="1" x14ac:dyDescent="0.2">
      <c r="B27" s="935"/>
      <c r="C27" s="351" t="s">
        <v>378</v>
      </c>
      <c r="D27" s="352" t="s">
        <v>379</v>
      </c>
      <c r="E27" s="352" t="s">
        <v>350</v>
      </c>
      <c r="F27" s="353" t="s">
        <v>367</v>
      </c>
      <c r="G27" s="553">
        <v>0</v>
      </c>
      <c r="H27" s="306">
        <v>0</v>
      </c>
      <c r="I27" s="661">
        <v>0</v>
      </c>
      <c r="J27" s="666">
        <f t="shared" si="0"/>
        <v>0</v>
      </c>
      <c r="K27" s="672">
        <f t="shared" si="1"/>
        <v>0</v>
      </c>
      <c r="L27" s="941"/>
      <c r="N27" s="24"/>
      <c r="O27" s="24"/>
      <c r="P27" s="14"/>
      <c r="Q27" s="14"/>
      <c r="R27" s="14"/>
      <c r="S27" s="22"/>
      <c r="T27" s="21"/>
      <c r="U27" s="21"/>
      <c r="V27" s="21"/>
      <c r="W27" s="21"/>
      <c r="X27" s="23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</row>
    <row r="28" spans="2:259" customFormat="1" ht="12.75" customHeight="1" x14ac:dyDescent="0.2">
      <c r="B28" s="935"/>
      <c r="C28" s="351" t="s">
        <v>380</v>
      </c>
      <c r="D28" s="352" t="s">
        <v>381</v>
      </c>
      <c r="E28" s="352" t="s">
        <v>382</v>
      </c>
      <c r="F28" s="353" t="s">
        <v>367</v>
      </c>
      <c r="G28" s="553"/>
      <c r="H28" s="306">
        <v>0</v>
      </c>
      <c r="I28" s="661">
        <v>0</v>
      </c>
      <c r="J28" s="666">
        <f t="shared" si="0"/>
        <v>0</v>
      </c>
      <c r="K28" s="672">
        <f t="shared" si="1"/>
        <v>0</v>
      </c>
      <c r="L28" s="941"/>
      <c r="N28" s="24"/>
      <c r="O28" s="24"/>
      <c r="P28" s="14"/>
      <c r="Q28" s="14"/>
      <c r="R28" s="14"/>
      <c r="S28" s="22"/>
      <c r="T28" s="21"/>
      <c r="U28" s="21"/>
      <c r="V28" s="21"/>
      <c r="W28" s="21"/>
      <c r="X28" s="23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</row>
    <row r="29" spans="2:259" customFormat="1" ht="12.75" customHeight="1" x14ac:dyDescent="0.2">
      <c r="B29" s="935"/>
      <c r="C29" s="351" t="s">
        <v>383</v>
      </c>
      <c r="D29" s="352" t="s">
        <v>384</v>
      </c>
      <c r="E29" s="352" t="s">
        <v>350</v>
      </c>
      <c r="F29" s="353" t="s">
        <v>367</v>
      </c>
      <c r="G29" s="553">
        <v>0</v>
      </c>
      <c r="H29" s="306">
        <v>0</v>
      </c>
      <c r="I29" s="661">
        <v>0</v>
      </c>
      <c r="J29" s="666">
        <f t="shared" si="0"/>
        <v>0</v>
      </c>
      <c r="K29" s="672">
        <f t="shared" si="1"/>
        <v>0</v>
      </c>
      <c r="L29" s="941"/>
      <c r="N29" s="24"/>
      <c r="O29" s="24"/>
      <c r="P29" s="14"/>
      <c r="Q29" s="14"/>
      <c r="R29" s="14"/>
      <c r="S29" s="22"/>
      <c r="T29" s="21"/>
      <c r="U29" s="21"/>
      <c r="V29" s="21"/>
      <c r="W29" s="21"/>
      <c r="X29" s="23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</row>
    <row r="30" spans="2:259" customFormat="1" ht="13.5" customHeight="1" thickBot="1" x14ac:dyDescent="0.25">
      <c r="B30" s="936"/>
      <c r="C30" s="175"/>
      <c r="D30" s="354"/>
      <c r="E30" s="354"/>
      <c r="F30" s="297"/>
      <c r="G30" s="555">
        <v>0</v>
      </c>
      <c r="H30" s="307">
        <v>0</v>
      </c>
      <c r="I30" s="663">
        <v>0</v>
      </c>
      <c r="J30" s="667">
        <f t="shared" si="0"/>
        <v>0</v>
      </c>
      <c r="K30" s="673">
        <f t="shared" si="1"/>
        <v>0</v>
      </c>
      <c r="L30" s="942"/>
      <c r="N30" s="24"/>
      <c r="O30" s="24"/>
      <c r="P30" s="14"/>
      <c r="Q30" s="14"/>
      <c r="R30" s="14"/>
      <c r="S30" s="22"/>
      <c r="T30" s="21"/>
      <c r="U30" s="21"/>
      <c r="V30" s="21"/>
      <c r="W30" s="21"/>
      <c r="X30" s="23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</row>
    <row r="31" spans="2:259" customFormat="1" ht="12.75" customHeight="1" x14ac:dyDescent="0.2">
      <c r="B31" s="934" t="str">
        <f>+'B) Reajuste Tarifas y Ocupación'!A15</f>
        <v>Sala Cuna Pequeños Héroes</v>
      </c>
      <c r="C31" s="558"/>
      <c r="D31" s="559"/>
      <c r="E31" s="559"/>
      <c r="F31" s="560"/>
      <c r="G31" s="561"/>
      <c r="H31" s="562"/>
      <c r="I31" s="562"/>
      <c r="J31" s="668"/>
      <c r="K31" s="664"/>
      <c r="L31" s="937"/>
      <c r="N31" s="24"/>
      <c r="O31" s="24"/>
      <c r="P31" s="14"/>
      <c r="Q31" s="14"/>
      <c r="R31" s="14"/>
      <c r="S31" s="22"/>
      <c r="T31" s="21"/>
      <c r="U31" s="21"/>
      <c r="V31" s="21"/>
      <c r="W31" s="21"/>
      <c r="X31" s="23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</row>
    <row r="32" spans="2:259" customFormat="1" ht="12.75" customHeight="1" x14ac:dyDescent="0.2">
      <c r="B32" s="935"/>
      <c r="C32" s="563"/>
      <c r="D32" s="564"/>
      <c r="E32" s="564"/>
      <c r="F32" s="565"/>
      <c r="G32" s="566"/>
      <c r="H32" s="567"/>
      <c r="I32" s="567"/>
      <c r="J32" s="669"/>
      <c r="K32" s="556"/>
      <c r="L32" s="938"/>
      <c r="N32" s="24"/>
      <c r="O32" s="24"/>
      <c r="P32" s="14"/>
      <c r="Q32" s="14"/>
      <c r="R32" s="14"/>
      <c r="S32" s="22"/>
      <c r="T32" s="21"/>
      <c r="U32" s="21"/>
      <c r="V32" s="21"/>
      <c r="W32" s="21"/>
      <c r="X32" s="23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</row>
    <row r="33" spans="2:259" customFormat="1" ht="12.75" customHeight="1" x14ac:dyDescent="0.2">
      <c r="B33" s="935"/>
      <c r="C33" s="563"/>
      <c r="D33" s="564"/>
      <c r="E33" s="564"/>
      <c r="F33" s="565"/>
      <c r="G33" s="566"/>
      <c r="H33" s="567"/>
      <c r="I33" s="567"/>
      <c r="J33" s="669"/>
      <c r="K33" s="556"/>
      <c r="L33" s="938"/>
      <c r="N33" s="24"/>
      <c r="O33" s="24"/>
      <c r="P33" s="14"/>
      <c r="Q33" s="14"/>
      <c r="R33" s="14"/>
      <c r="S33" s="22"/>
      <c r="T33" s="21"/>
      <c r="U33" s="21"/>
      <c r="V33" s="21"/>
      <c r="W33" s="21"/>
      <c r="X33" s="23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</row>
    <row r="34" spans="2:259" customFormat="1" ht="12.75" customHeight="1" x14ac:dyDescent="0.2">
      <c r="B34" s="935"/>
      <c r="C34" s="563"/>
      <c r="D34" s="564"/>
      <c r="E34" s="564"/>
      <c r="F34" s="565"/>
      <c r="G34" s="566"/>
      <c r="H34" s="567"/>
      <c r="I34" s="567"/>
      <c r="J34" s="669"/>
      <c r="K34" s="556"/>
      <c r="L34" s="938"/>
      <c r="N34" s="24"/>
      <c r="O34" s="24"/>
      <c r="P34" s="14"/>
      <c r="Q34" s="14"/>
      <c r="R34" s="14"/>
      <c r="S34" s="22"/>
      <c r="T34" s="21"/>
      <c r="U34" s="21"/>
      <c r="V34" s="21"/>
      <c r="W34" s="21"/>
      <c r="X34" s="23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</row>
    <row r="35" spans="2:259" customFormat="1" ht="12.75" customHeight="1" x14ac:dyDescent="0.2">
      <c r="B35" s="935"/>
      <c r="C35" s="563"/>
      <c r="D35" s="564"/>
      <c r="E35" s="564"/>
      <c r="F35" s="565"/>
      <c r="G35" s="566"/>
      <c r="H35" s="567"/>
      <c r="I35" s="567"/>
      <c r="J35" s="669"/>
      <c r="K35" s="556"/>
      <c r="L35" s="938"/>
      <c r="N35" s="24"/>
      <c r="O35" s="24"/>
      <c r="P35" s="14"/>
      <c r="Q35" s="14"/>
      <c r="R35" s="14"/>
      <c r="S35" s="22"/>
      <c r="T35" s="21"/>
      <c r="U35" s="21"/>
      <c r="V35" s="21"/>
      <c r="W35" s="21"/>
      <c r="X35" s="23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</row>
    <row r="36" spans="2:259" customFormat="1" ht="12.75" customHeight="1" thickBot="1" x14ac:dyDescent="0.25">
      <c r="B36" s="936"/>
      <c r="C36" s="568"/>
      <c r="D36" s="569"/>
      <c r="E36" s="569"/>
      <c r="F36" s="570"/>
      <c r="G36" s="571"/>
      <c r="H36" s="572"/>
      <c r="I36" s="572"/>
      <c r="J36" s="670"/>
      <c r="K36" s="557"/>
      <c r="L36" s="939"/>
      <c r="N36" s="24"/>
      <c r="O36" s="24"/>
      <c r="P36" s="14"/>
      <c r="Q36" s="14"/>
      <c r="R36" s="14"/>
      <c r="S36" s="22"/>
      <c r="T36" s="21"/>
      <c r="U36" s="21"/>
      <c r="V36" s="21"/>
      <c r="W36" s="21"/>
      <c r="X36" s="23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</row>
    <row r="37" spans="2:259" ht="12.75" customHeight="1" thickBot="1" x14ac:dyDescent="0.25">
      <c r="B37" s="18"/>
      <c r="C37"/>
      <c r="D37"/>
      <c r="E37" s="31"/>
      <c r="F37" s="31"/>
      <c r="G37" s="31"/>
      <c r="H37" s="31"/>
      <c r="I37" s="31"/>
      <c r="J37" s="420" t="s">
        <v>93</v>
      </c>
      <c r="K37" s="171">
        <f>SUM(K11:K36)</f>
        <v>59277411.820000008</v>
      </c>
      <c r="L37" s="171">
        <f>SUM(L11:L36)</f>
        <v>59277411.82</v>
      </c>
      <c r="M37" s="19"/>
      <c r="N37" s="19"/>
      <c r="O37" s="19"/>
      <c r="P37" s="24"/>
      <c r="Q37" s="24"/>
      <c r="R37" s="24"/>
      <c r="S37" s="25"/>
      <c r="T37" s="25"/>
      <c r="U37" s="26"/>
      <c r="V37" s="26"/>
    </row>
    <row r="38" spans="2:259" ht="12.75" customHeight="1" x14ac:dyDescent="0.2">
      <c r="B38" s="18"/>
      <c r="C38"/>
      <c r="D38"/>
      <c r="E38" s="31"/>
      <c r="F38" s="31"/>
      <c r="G38" s="31"/>
      <c r="H38" s="31"/>
      <c r="I38" s="31"/>
      <c r="J38" s="27"/>
      <c r="K38" s="27"/>
      <c r="L38" s="27"/>
      <c r="M38" s="19"/>
      <c r="N38" s="19"/>
      <c r="O38" s="19"/>
      <c r="P38" s="24"/>
      <c r="Q38" s="24"/>
      <c r="R38" s="24"/>
      <c r="S38" s="25"/>
      <c r="T38" s="25"/>
      <c r="U38" s="26"/>
      <c r="V38" s="26"/>
    </row>
    <row r="39" spans="2:259" ht="12.75" customHeight="1" x14ac:dyDescent="0.2">
      <c r="B39" s="18"/>
      <c r="C39" s="18"/>
      <c r="D39" s="18"/>
      <c r="E39" s="18"/>
      <c r="F39" s="18"/>
      <c r="G39" s="18"/>
      <c r="H39" s="18"/>
      <c r="I39" s="18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6"/>
      <c r="V39" s="26"/>
    </row>
    <row r="40" spans="2:259" ht="12.75" customHeight="1" x14ac:dyDescent="0.2">
      <c r="B40" s="18"/>
      <c r="C40" s="18"/>
      <c r="D40" s="18"/>
      <c r="E40" s="18"/>
      <c r="F40" s="18"/>
      <c r="G40" s="18"/>
      <c r="H40" s="18"/>
      <c r="I40" s="18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6"/>
      <c r="V40" s="26"/>
    </row>
    <row r="41" spans="2:259" x14ac:dyDescent="0.2">
      <c r="B41" s="18"/>
      <c r="C41" s="18"/>
      <c r="D41" s="18"/>
      <c r="E41" s="18"/>
      <c r="F41" s="18"/>
      <c r="G41" s="18"/>
      <c r="H41" s="18"/>
      <c r="I41" s="18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6"/>
      <c r="V41" s="26"/>
    </row>
    <row r="42" spans="2:259" x14ac:dyDescent="0.2">
      <c r="B42" s="18"/>
      <c r="C42" s="18"/>
      <c r="D42" s="18"/>
      <c r="E42" s="18"/>
      <c r="F42" s="18"/>
      <c r="G42" s="18"/>
      <c r="H42" s="18"/>
      <c r="I42" s="18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6"/>
      <c r="V42" s="26"/>
    </row>
    <row r="43" spans="2:259" x14ac:dyDescent="0.2">
      <c r="B43" s="18"/>
      <c r="C43" s="18"/>
      <c r="D43" s="18"/>
      <c r="E43" s="18"/>
      <c r="F43" s="18"/>
      <c r="G43" s="18"/>
      <c r="H43" s="18"/>
      <c r="I43" s="18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6"/>
      <c r="V43" s="26"/>
    </row>
    <row r="44" spans="2:259" x14ac:dyDescent="0.2">
      <c r="B44" s="18"/>
      <c r="C44" s="18"/>
      <c r="D44" s="18"/>
      <c r="E44" s="18"/>
      <c r="F44" s="18"/>
      <c r="G44" s="18"/>
      <c r="H44" s="18"/>
      <c r="I44" s="18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6"/>
      <c r="V44" s="26"/>
    </row>
  </sheetData>
  <sheetProtection algorithmName="SHA-512" hashValue="vMTCl87EC9y0QSq+DqxcpGYxS9scEo4shDV/zSQQZAsaC03BMKgxsGL35E4guJYKvipaRXTgpzY+NDLkVtW/cQ==" saltValue="YsbTIwhPQa38m5lznrbC+A==" spinCount="100000" sheet="1" objects="1" scenarios="1"/>
  <mergeCells count="16">
    <mergeCell ref="T10:W10"/>
    <mergeCell ref="B11:B22"/>
    <mergeCell ref="L11:L22"/>
    <mergeCell ref="F9:F10"/>
    <mergeCell ref="B7:E7"/>
    <mergeCell ref="B9:B10"/>
    <mergeCell ref="C9:C10"/>
    <mergeCell ref="D9:D10"/>
    <mergeCell ref="E9:E10"/>
    <mergeCell ref="G9:J9"/>
    <mergeCell ref="K9:K10"/>
    <mergeCell ref="B31:B36"/>
    <mergeCell ref="L31:L36"/>
    <mergeCell ref="B23:B30"/>
    <mergeCell ref="L23:L30"/>
    <mergeCell ref="L9:L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7030A0"/>
  </sheetPr>
  <dimension ref="A1:S21"/>
  <sheetViews>
    <sheetView showGridLines="0" topLeftCell="D1" zoomScale="80" zoomScaleNormal="80" workbookViewId="0">
      <selection activeCell="N37" sqref="N37"/>
    </sheetView>
  </sheetViews>
  <sheetFormatPr baseColWidth="10" defaultColWidth="10.7109375" defaultRowHeight="12.75" x14ac:dyDescent="0.2"/>
  <cols>
    <col min="1" max="1" width="33" style="2" customWidth="1"/>
    <col min="2" max="2" width="33" style="2" bestFit="1" customWidth="1"/>
    <col min="3" max="12" width="14.7109375" style="2" customWidth="1"/>
    <col min="13" max="13" width="33.5703125" style="2" bestFit="1" customWidth="1"/>
    <col min="14" max="14" width="14.7109375" style="2" customWidth="1"/>
    <col min="15" max="15" width="33.5703125" style="2" bestFit="1" customWidth="1"/>
    <col min="16" max="16" width="14.7109375" style="2" customWidth="1"/>
    <col min="17" max="17" width="14.28515625" style="2" customWidth="1"/>
    <col min="18" max="16384" width="10.7109375" style="2"/>
  </cols>
  <sheetData>
    <row r="1" spans="1:19" x14ac:dyDescent="0.2">
      <c r="B1" s="30"/>
      <c r="C1" s="30"/>
      <c r="D1" s="30" t="s">
        <v>205</v>
      </c>
      <c r="E1" s="30"/>
      <c r="F1" s="30"/>
      <c r="G1" s="30"/>
      <c r="H1" s="30"/>
      <c r="I1" s="30"/>
      <c r="J1" s="30"/>
      <c r="K1" s="30"/>
      <c r="L1" s="30"/>
      <c r="M1" s="30"/>
      <c r="N1" s="30"/>
      <c r="P1" s="30"/>
    </row>
    <row r="2" spans="1:19" x14ac:dyDescent="0.2">
      <c r="B2" s="30"/>
      <c r="C2" s="30"/>
      <c r="D2" s="30" t="s">
        <v>197</v>
      </c>
      <c r="E2" s="30"/>
      <c r="F2" s="30"/>
      <c r="G2" s="30"/>
      <c r="H2" s="30"/>
      <c r="I2" s="30"/>
      <c r="J2" s="30"/>
      <c r="K2" s="30"/>
      <c r="L2" s="30"/>
      <c r="M2" s="30"/>
      <c r="N2" s="30"/>
      <c r="P2" s="30"/>
    </row>
    <row r="3" spans="1:19" x14ac:dyDescent="0.2">
      <c r="C3" s="4"/>
      <c r="D3" s="4"/>
      <c r="E3" s="4"/>
      <c r="F3" s="4"/>
      <c r="G3" s="4"/>
      <c r="H3" s="4"/>
      <c r="I3" s="4"/>
      <c r="J3" s="4"/>
      <c r="K3" s="4"/>
      <c r="L3" s="4"/>
      <c r="N3" s="4"/>
      <c r="P3" s="4"/>
    </row>
    <row r="4" spans="1:19" ht="18.75" customHeight="1" x14ac:dyDescent="0.2">
      <c r="C4" s="13" t="s">
        <v>0</v>
      </c>
      <c r="D4" s="961" t="str">
        <f>+'B) Reajuste Tarifas y Ocupación'!F5</f>
        <v>(DEPTO./DELEG.)</v>
      </c>
      <c r="E4" s="775"/>
      <c r="F4" s="962"/>
      <c r="G4" s="30"/>
      <c r="H4" s="30"/>
      <c r="I4" s="30"/>
      <c r="J4" s="30"/>
      <c r="K4" s="30"/>
      <c r="L4" s="30"/>
      <c r="N4" s="30"/>
      <c r="P4" s="30"/>
    </row>
    <row r="5" spans="1:19" x14ac:dyDescent="0.2">
      <c r="A5" s="6"/>
      <c r="B5" s="6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P5" s="30"/>
    </row>
    <row r="6" spans="1:19" x14ac:dyDescent="0.2">
      <c r="A6" s="6"/>
      <c r="B6" s="6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P6" s="30"/>
    </row>
    <row r="7" spans="1:19" ht="12.75" customHeight="1" x14ac:dyDescent="0.2">
      <c r="A7" s="975" t="s">
        <v>126</v>
      </c>
      <c r="B7" s="976"/>
      <c r="C7" s="976"/>
      <c r="D7" s="976"/>
      <c r="E7" s="976"/>
      <c r="F7" s="976"/>
      <c r="G7" s="976"/>
      <c r="H7" s="976"/>
      <c r="I7" s="976"/>
      <c r="J7" s="976"/>
      <c r="K7" s="976"/>
      <c r="L7" s="976"/>
      <c r="M7" s="976"/>
      <c r="N7" s="976"/>
      <c r="O7" s="977"/>
      <c r="P7" s="34"/>
    </row>
    <row r="8" spans="1:19" x14ac:dyDescent="0.2">
      <c r="A8" s="978"/>
      <c r="B8" s="979"/>
      <c r="C8" s="979"/>
      <c r="D8" s="979"/>
      <c r="E8" s="979"/>
      <c r="F8" s="979"/>
      <c r="G8" s="979"/>
      <c r="H8" s="979"/>
      <c r="I8" s="979"/>
      <c r="J8" s="979"/>
      <c r="K8" s="979"/>
      <c r="L8" s="979"/>
      <c r="M8" s="979"/>
      <c r="N8" s="979"/>
      <c r="O8" s="980"/>
      <c r="P8" s="34"/>
    </row>
    <row r="9" spans="1:19" x14ac:dyDescent="0.2">
      <c r="A9" s="981"/>
      <c r="B9" s="982"/>
      <c r="C9" s="982"/>
      <c r="D9" s="982"/>
      <c r="E9" s="982"/>
      <c r="F9" s="982"/>
      <c r="G9" s="982"/>
      <c r="H9" s="982"/>
      <c r="I9" s="982"/>
      <c r="J9" s="982"/>
      <c r="K9" s="982"/>
      <c r="L9" s="982"/>
      <c r="M9" s="982"/>
      <c r="N9" s="982"/>
      <c r="O9" s="983"/>
      <c r="P9" s="34"/>
    </row>
    <row r="10" spans="1:19" x14ac:dyDescent="0.2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</row>
    <row r="11" spans="1:19" x14ac:dyDescent="0.2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</row>
    <row r="12" spans="1:19" ht="15.75" x14ac:dyDescent="0.2">
      <c r="A12" s="793" t="s">
        <v>159</v>
      </c>
      <c r="B12" s="793"/>
      <c r="C12" s="793"/>
      <c r="D12" s="793"/>
      <c r="E12" s="66"/>
      <c r="F12" s="34"/>
      <c r="G12" s="34"/>
      <c r="H12" s="34"/>
      <c r="I12" s="33"/>
      <c r="J12" s="33"/>
      <c r="K12" s="34"/>
      <c r="L12" s="34"/>
      <c r="M12" s="34"/>
      <c r="N12" s="34"/>
      <c r="O12" s="34"/>
      <c r="P12" s="34"/>
    </row>
    <row r="13" spans="1:19" ht="13.5" thickBot="1" x14ac:dyDescent="0.25">
      <c r="A13" s="6"/>
      <c r="B13" s="6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P13" s="30"/>
    </row>
    <row r="14" spans="1:19" ht="20.25" customHeight="1" x14ac:dyDescent="0.2">
      <c r="A14" s="965" t="s">
        <v>132</v>
      </c>
      <c r="B14" s="967" t="s">
        <v>5</v>
      </c>
      <c r="C14" s="811" t="s">
        <v>260</v>
      </c>
      <c r="D14" s="812"/>
      <c r="E14" s="812"/>
      <c r="F14" s="812"/>
      <c r="G14" s="971"/>
      <c r="H14" s="972" t="s">
        <v>140</v>
      </c>
      <c r="I14" s="973"/>
      <c r="J14" s="973"/>
      <c r="K14" s="973"/>
      <c r="L14" s="974"/>
      <c r="M14" s="969" t="s">
        <v>108</v>
      </c>
      <c r="N14" s="970"/>
      <c r="O14" s="963" t="s">
        <v>109</v>
      </c>
      <c r="P14" s="964"/>
      <c r="Q14" s="959" t="s">
        <v>127</v>
      </c>
    </row>
    <row r="15" spans="1:19" ht="70.5" customHeight="1" thickBot="1" x14ac:dyDescent="0.25">
      <c r="A15" s="966"/>
      <c r="B15" s="968"/>
      <c r="C15" s="242" t="s">
        <v>85</v>
      </c>
      <c r="D15" s="243" t="s">
        <v>135</v>
      </c>
      <c r="E15" s="243" t="s">
        <v>136</v>
      </c>
      <c r="F15" s="243" t="s">
        <v>86</v>
      </c>
      <c r="G15" s="244" t="s">
        <v>87</v>
      </c>
      <c r="H15" s="245" t="s">
        <v>85</v>
      </c>
      <c r="I15" s="246" t="s">
        <v>135</v>
      </c>
      <c r="J15" s="246" t="s">
        <v>136</v>
      </c>
      <c r="K15" s="246" t="s">
        <v>86</v>
      </c>
      <c r="L15" s="247" t="s">
        <v>87</v>
      </c>
      <c r="M15" s="248" t="s">
        <v>72</v>
      </c>
      <c r="N15" s="169" t="s">
        <v>84</v>
      </c>
      <c r="O15" s="249" t="s">
        <v>72</v>
      </c>
      <c r="P15" s="169" t="s">
        <v>84</v>
      </c>
      <c r="Q15" s="960"/>
    </row>
    <row r="16" spans="1:19" ht="12.75" customHeight="1" x14ac:dyDescent="0.2">
      <c r="A16" s="956" t="str">
        <f>'B) Reajuste Tarifas y Ocupación'!A12</f>
        <v>Jardín Infantil Pequeños Héroes</v>
      </c>
      <c r="B16" s="250" t="str">
        <f>+'B) Reajuste Tarifas y Ocupación'!B12</f>
        <v>Media jornada</v>
      </c>
      <c r="C16" s="233">
        <f>+'B) Reajuste Tarifas y Ocupación'!M12</f>
        <v>113600</v>
      </c>
      <c r="D16" s="234">
        <f>+'B) Reajuste Tarifas y Ocupación'!N12</f>
        <v>153400</v>
      </c>
      <c r="E16" s="234">
        <f>+'B) Reajuste Tarifas y Ocupación'!O12</f>
        <v>159100</v>
      </c>
      <c r="F16" s="234">
        <f>+'B) Reajuste Tarifas y Ocupación'!P12</f>
        <v>194700</v>
      </c>
      <c r="G16" s="235">
        <f>+'B) Reajuste Tarifas y Ocupación'!Q12</f>
        <v>286100</v>
      </c>
      <c r="H16" s="253">
        <f t="shared" ref="H16:K17" si="0">IFERROR(C16/$Q16,0)</f>
        <v>0.45440000000000003</v>
      </c>
      <c r="I16" s="116">
        <f t="shared" si="0"/>
        <v>0.61360000000000003</v>
      </c>
      <c r="J16" s="116">
        <f t="shared" si="0"/>
        <v>0.63639999999999997</v>
      </c>
      <c r="K16" s="116">
        <f t="shared" si="0"/>
        <v>0.77880000000000005</v>
      </c>
      <c r="L16" s="117">
        <f t="shared" ref="L16" si="1">IFERROR(G16/$Q16,0)</f>
        <v>1.1444000000000001</v>
      </c>
      <c r="M16" s="199" t="s">
        <v>298</v>
      </c>
      <c r="N16" s="172"/>
      <c r="O16" s="199" t="s">
        <v>300</v>
      </c>
      <c r="P16" s="172">
        <v>250000</v>
      </c>
      <c r="Q16" s="255">
        <f>AVERAGE(N16,P16)</f>
        <v>250000</v>
      </c>
      <c r="R16" s="14"/>
      <c r="S16" s="15"/>
    </row>
    <row r="17" spans="1:19" ht="12.75" customHeight="1" x14ac:dyDescent="0.2">
      <c r="A17" s="957"/>
      <c r="B17" s="251" t="str">
        <f>+'B) Reajuste Tarifas y Ocupación'!B13</f>
        <v>Media jornada Extendida</v>
      </c>
      <c r="C17" s="236">
        <f>+'B) Reajuste Tarifas y Ocupación'!M13</f>
        <v>162400</v>
      </c>
      <c r="D17" s="232">
        <f>+'B) Reajuste Tarifas y Ocupación'!N13</f>
        <v>219300</v>
      </c>
      <c r="E17" s="232">
        <f>+'B) Reajuste Tarifas y Ocupación'!O13</f>
        <v>227400</v>
      </c>
      <c r="F17" s="232">
        <f>+'B) Reajuste Tarifas y Ocupación'!P13</f>
        <v>264600</v>
      </c>
      <c r="G17" s="237">
        <f>+'B) Reajuste Tarifas y Ocupación'!Q13</f>
        <v>412500</v>
      </c>
      <c r="H17" s="119">
        <f t="shared" si="0"/>
        <v>0.44861878453038673</v>
      </c>
      <c r="I17" s="118">
        <f t="shared" si="0"/>
        <v>0.60580110497237571</v>
      </c>
      <c r="J17" s="118">
        <f t="shared" si="0"/>
        <v>0.62817679558011053</v>
      </c>
      <c r="K17" s="118">
        <f t="shared" si="0"/>
        <v>0.73093922651933707</v>
      </c>
      <c r="L17" s="254">
        <f t="shared" ref="L17" si="2">IFERROR(G17/$Q17,0)</f>
        <v>1.1395027624309393</v>
      </c>
      <c r="M17" s="173" t="s">
        <v>298</v>
      </c>
      <c r="N17" s="174"/>
      <c r="O17" s="173" t="s">
        <v>300</v>
      </c>
      <c r="P17" s="174">
        <v>362000</v>
      </c>
      <c r="Q17" s="256">
        <f>AVERAGE(N17,P17)</f>
        <v>362000</v>
      </c>
      <c r="R17" s="14"/>
      <c r="S17" s="15"/>
    </row>
    <row r="18" spans="1:19" ht="13.5" thickBot="1" x14ac:dyDescent="0.25">
      <c r="A18" s="958"/>
      <c r="B18" s="252" t="str">
        <f>+'B) Reajuste Tarifas y Ocupación'!B14</f>
        <v>Jornada Completa</v>
      </c>
      <c r="C18" s="580">
        <f>+'B) Reajuste Tarifas y Ocupación'!M14</f>
        <v>189400</v>
      </c>
      <c r="D18" s="581">
        <f>+'B) Reajuste Tarifas y Ocupación'!N14</f>
        <v>255700</v>
      </c>
      <c r="E18" s="581">
        <f>+'B) Reajuste Tarifas y Ocupación'!O14</f>
        <v>265100</v>
      </c>
      <c r="F18" s="581">
        <f>+'B) Reajuste Tarifas y Ocupación'!P14</f>
        <v>318400</v>
      </c>
      <c r="G18" s="582">
        <f>+'B) Reajuste Tarifas y Ocupación'!Q14</f>
        <v>505700</v>
      </c>
      <c r="H18" s="311">
        <f t="shared" ref="H18:H20" si="3">IFERROR(C18/$Q18,0)</f>
        <v>0.57393939393939397</v>
      </c>
      <c r="I18" s="312">
        <f t="shared" ref="I18:I20" si="4">IFERROR(D18/$Q18,0)</f>
        <v>0.7748484848484849</v>
      </c>
      <c r="J18" s="312">
        <f t="shared" ref="J18:J20" si="5">IFERROR(E18/$Q18,0)</f>
        <v>0.80333333333333334</v>
      </c>
      <c r="K18" s="312">
        <f t="shared" ref="K18:K20" si="6">IFERROR(F18/$Q18,0)</f>
        <v>0.96484848484848484</v>
      </c>
      <c r="L18" s="314">
        <f t="shared" ref="L18:L20" si="7">IFERROR(G18/$Q18,0)</f>
        <v>1.5324242424242425</v>
      </c>
      <c r="M18" s="175" t="s">
        <v>298</v>
      </c>
      <c r="N18" s="176">
        <v>210000</v>
      </c>
      <c r="O18" s="175" t="s">
        <v>300</v>
      </c>
      <c r="P18" s="176">
        <v>450000</v>
      </c>
      <c r="Q18" s="257">
        <f t="shared" ref="Q18" si="8">AVERAGE(N18,P18)</f>
        <v>330000</v>
      </c>
      <c r="R18" s="14"/>
      <c r="S18" s="15"/>
    </row>
    <row r="19" spans="1:19" x14ac:dyDescent="0.2">
      <c r="A19" s="956" t="str">
        <f>'B) Reajuste Tarifas y Ocupación'!A15</f>
        <v>Sala Cuna Pequeños Héroes</v>
      </c>
      <c r="B19" s="574" t="str">
        <f>+'B) Reajuste Tarifas y Ocupación'!B15</f>
        <v>Diurna</v>
      </c>
      <c r="C19" s="529">
        <v>0</v>
      </c>
      <c r="D19" s="530">
        <f>+'B) Reajuste Tarifas y Ocupación'!N15</f>
        <v>590800</v>
      </c>
      <c r="E19" s="530">
        <f>+'B) Reajuste Tarifas y Ocupación'!O15</f>
        <v>612700</v>
      </c>
      <c r="F19" s="530">
        <f>+'B) Reajuste Tarifas y Ocupación'!P15</f>
        <v>547000</v>
      </c>
      <c r="G19" s="584">
        <f>+'B) Reajuste Tarifas y Ocupación'!Q15</f>
        <v>656300</v>
      </c>
      <c r="H19" s="577">
        <v>0</v>
      </c>
      <c r="I19" s="116">
        <f t="shared" si="4"/>
        <v>2.641043006354507</v>
      </c>
      <c r="J19" s="116">
        <f t="shared" si="5"/>
        <v>2.7389421970098278</v>
      </c>
      <c r="K19" s="116">
        <f t="shared" si="6"/>
        <v>2.4452446250438649</v>
      </c>
      <c r="L19" s="117">
        <f t="shared" si="7"/>
        <v>2.9338465217848051</v>
      </c>
      <c r="M19" s="199" t="s">
        <v>299</v>
      </c>
      <c r="N19" s="172">
        <v>447399</v>
      </c>
      <c r="O19" s="199" t="s">
        <v>300</v>
      </c>
      <c r="P19" s="172">
        <v>0</v>
      </c>
      <c r="Q19" s="255">
        <f>AVERAGE(N19,P19)</f>
        <v>223699.5</v>
      </c>
    </row>
    <row r="20" spans="1:19" x14ac:dyDescent="0.2">
      <c r="A20" s="957"/>
      <c r="B20" s="575" t="str">
        <f>+'B) Reajuste Tarifas y Ocupación'!B16</f>
        <v>Nocturna</v>
      </c>
      <c r="C20" s="573"/>
      <c r="D20" s="583"/>
      <c r="E20" s="583"/>
      <c r="F20" s="583"/>
      <c r="G20" s="585"/>
      <c r="H20" s="578">
        <f t="shared" si="3"/>
        <v>0</v>
      </c>
      <c r="I20" s="118">
        <f t="shared" si="4"/>
        <v>0</v>
      </c>
      <c r="J20" s="118">
        <f t="shared" si="5"/>
        <v>0</v>
      </c>
      <c r="K20" s="118">
        <f t="shared" si="6"/>
        <v>0</v>
      </c>
      <c r="L20" s="254">
        <f t="shared" si="7"/>
        <v>0</v>
      </c>
      <c r="M20" s="173" t="s">
        <v>299</v>
      </c>
      <c r="N20" s="174">
        <v>0</v>
      </c>
      <c r="O20" s="173" t="s">
        <v>300</v>
      </c>
      <c r="P20" s="174">
        <v>0</v>
      </c>
      <c r="Q20" s="256">
        <f>AVERAGE(N20,P20)</f>
        <v>0</v>
      </c>
    </row>
    <row r="21" spans="1:19" ht="13.5" thickBot="1" x14ac:dyDescent="0.25">
      <c r="A21" s="958"/>
      <c r="B21" s="576" t="str">
        <f>+'B) Reajuste Tarifas y Ocupación'!B17</f>
        <v>Media Jornada</v>
      </c>
      <c r="C21" s="308">
        <f>+'B) Reajuste Tarifas y Ocupación'!M17</f>
        <v>262800</v>
      </c>
      <c r="D21" s="534">
        <f>+'B) Reajuste Tarifas y Ocupación'!N17</f>
        <v>354800</v>
      </c>
      <c r="E21" s="534">
        <f>+'B) Reajuste Tarifas y Ocupación'!O17</f>
        <v>368000</v>
      </c>
      <c r="F21" s="534">
        <f>+'B) Reajuste Tarifas y Ocupación'!P17</f>
        <v>394000</v>
      </c>
      <c r="G21" s="310">
        <f>+'B) Reajuste Tarifas y Ocupación'!Q17</f>
        <v>525200</v>
      </c>
      <c r="H21" s="579">
        <f t="shared" ref="H21" si="9">IFERROR(C21/$Q21,0)</f>
        <v>0</v>
      </c>
      <c r="I21" s="312">
        <f t="shared" ref="I21" si="10">IFERROR(D21/$Q21,0)</f>
        <v>0</v>
      </c>
      <c r="J21" s="312">
        <f t="shared" ref="J21" si="11">IFERROR(E21/$Q21,0)</f>
        <v>0</v>
      </c>
      <c r="K21" s="312">
        <f t="shared" ref="K21" si="12">IFERROR(F21/$Q21,0)</f>
        <v>0</v>
      </c>
      <c r="L21" s="314">
        <f t="shared" ref="L21" si="13">IFERROR(G21/$Q21,0)</f>
        <v>0</v>
      </c>
      <c r="M21" s="175" t="s">
        <v>299</v>
      </c>
      <c r="N21" s="176"/>
      <c r="O21" s="175" t="s">
        <v>300</v>
      </c>
      <c r="P21" s="176">
        <v>0</v>
      </c>
      <c r="Q21" s="257">
        <f t="shared" ref="Q21" si="14">AVERAGE(N21,P21)</f>
        <v>0</v>
      </c>
    </row>
  </sheetData>
  <sheetProtection algorithmName="SHA-512" hashValue="e//yPQ+ZjZfVrlxPMdU8oHXdfor/hTom6D2jcD0iCgyMM2Xxj3PjJzFq/Jus1zci+3sugcDTic/+v1LnqBKIYg==" saltValue="ozRLzUJrPGR12c7WFKKAEw==" spinCount="100000" sheet="1" objects="1" scenarios="1"/>
  <mergeCells count="12">
    <mergeCell ref="A19:A21"/>
    <mergeCell ref="A16:A18"/>
    <mergeCell ref="Q14:Q15"/>
    <mergeCell ref="D4:F4"/>
    <mergeCell ref="O14:P14"/>
    <mergeCell ref="A14:A15"/>
    <mergeCell ref="B14:B15"/>
    <mergeCell ref="M14:N14"/>
    <mergeCell ref="C14:G14"/>
    <mergeCell ref="H14:L14"/>
    <mergeCell ref="A7:O9"/>
    <mergeCell ref="A12:D12"/>
  </mergeCells>
  <pageMargins left="0.7" right="0.7" top="0.75" bottom="0.75" header="0.51180555555555551" footer="0.51180555555555551"/>
  <pageSetup scale="50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12</vt:i4>
      </vt:variant>
    </vt:vector>
  </HeadingPairs>
  <TitlesOfParts>
    <vt:vector size="23" baseType="lpstr">
      <vt:lpstr>Instrucciones</vt:lpstr>
      <vt:lpstr>Índice Tablas</vt:lpstr>
      <vt:lpstr>A) Resumen Ingresos y Egresos</vt:lpstr>
      <vt:lpstr>B) Reajuste Tarifas y Ocupación</vt:lpstr>
      <vt:lpstr>C) Costos Directos</vt:lpstr>
      <vt:lpstr>D) Costos Indirectos</vt:lpstr>
      <vt:lpstr>E) Resumen Tarifado </vt:lpstr>
      <vt:lpstr>F) Remuneraciones</vt:lpstr>
      <vt:lpstr>G) Comparación Mercado</vt:lpstr>
      <vt:lpstr>H) Detalle Datos</vt:lpstr>
      <vt:lpstr>I) Proyección Mensual.</vt:lpstr>
      <vt:lpstr>__xlnm_Print_Area</vt:lpstr>
      <vt:lpstr>__xlnm_Print_Area_1</vt:lpstr>
      <vt:lpstr>__xlnm_Print_Area_2</vt:lpstr>
      <vt:lpstr>__xlnm_Print_Titles</vt:lpstr>
      <vt:lpstr>__xlnm_Print_Titles_1</vt:lpstr>
      <vt:lpstr>'A) Resumen Ingresos y Egresos'!Área_de_impresión</vt:lpstr>
      <vt:lpstr>'C) Costos Directos'!Área_de_impresión</vt:lpstr>
      <vt:lpstr>'E) Resumen Tarifado '!Área_de_impresión</vt:lpstr>
      <vt:lpstr>bienique1</vt:lpstr>
      <vt:lpstr>'C) Costos Directos'!Excel_BuiltIn_Print_Area</vt:lpstr>
      <vt:lpstr>'A) Resumen Ingresos y Egresos'!Títulos_a_imprimir</vt:lpstr>
      <vt:lpstr>'C) Costos Directos'!Títulos_a_imprimir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cverall@armada.cl</dc:creator>
  <cp:lastModifiedBy>130 Carolina Vera</cp:lastModifiedBy>
  <cp:lastPrinted>2017-09-14T16:34:08Z</cp:lastPrinted>
  <dcterms:created xsi:type="dcterms:W3CDTF">2017-05-11T00:45:10Z</dcterms:created>
  <dcterms:modified xsi:type="dcterms:W3CDTF">2025-11-19T17:50:14Z</dcterms:modified>
</cp:coreProperties>
</file>