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134268840\Desktop\TARIFAS 2026\A. EDUCACIONAL\PLANILLAS 2026 EDUBIEN\"/>
    </mc:Choice>
  </mc:AlternateContent>
  <xr:revisionPtr revIDLastSave="0" documentId="13_ncr:1_{13188A7A-7A21-4E04-ABFB-BD9BE9DB9F42}" xr6:coauthVersionLast="47" xr6:coauthVersionMax="47" xr10:uidLastSave="{00000000-0000-0000-0000-000000000000}"/>
  <bookViews>
    <workbookView xWindow="-120" yWindow="-120" windowWidth="29040" windowHeight="15720" tabRatio="929" activeTab="2" xr2:uid="{00000000-000D-0000-FFFF-FFFF00000000}"/>
  </bookViews>
  <sheets>
    <sheet name="Instrucciones" sheetId="19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  <sheet name="I) Proyección Mensual." sheetId="16" r:id="rId11"/>
  </sheets>
  <externalReferences>
    <externalReference r:id="rId12"/>
  </externalReferences>
  <definedNames>
    <definedName name="__xlnm_Print_Area">'A) Resumen Ingresos y Egresos'!$A$1:$N$30</definedName>
    <definedName name="__xlnm_Print_Area_1">'C) Costos Directos'!$A$1:$H$38</definedName>
    <definedName name="__xlnm_Print_Area_2">'E) Resumen Tarifado '!$A$4:$G$12</definedName>
    <definedName name="__xlnm_Print_Titles">'A) Resumen Ingresos y Egresos'!$1:$20</definedName>
    <definedName name="__xlnm_Print_Titles_1">'C) Costos Directos'!$1:$11</definedName>
    <definedName name="__xlnm_Print_Titles_2">NA()</definedName>
    <definedName name="_xlnm.Print_Area" localSheetId="2">'A) Resumen Ingresos y Egresos'!$A$1:$Q$41</definedName>
    <definedName name="_xlnm.Print_Area" localSheetId="4">'C) Costos Directos'!$A$1:$H$75</definedName>
    <definedName name="_xlnm.Print_Area" localSheetId="6">'E) Resumen Tarifado '!$A$4:$G$12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Egresos'!$1:$20</definedName>
    <definedName name="_xlnm.Print_Titles" localSheetId="4">'C) Costos Directos'!$1:$11</definedName>
  </definedNames>
  <calcPr calcId="181029"/>
</workbook>
</file>

<file path=xl/calcChain.xml><?xml version="1.0" encoding="utf-8"?>
<calcChain xmlns="http://schemas.openxmlformats.org/spreadsheetml/2006/main">
  <c r="I17" i="13" l="1"/>
  <c r="H17" i="13"/>
  <c r="G17" i="13"/>
  <c r="E34" i="9" l="1"/>
  <c r="D34" i="9"/>
  <c r="D33" i="9"/>
  <c r="E30" i="9"/>
  <c r="E31" i="9"/>
  <c r="E32" i="9"/>
  <c r="E33" i="9"/>
  <c r="D32" i="9"/>
  <c r="I16" i="12"/>
  <c r="H16" i="12"/>
  <c r="G16" i="12"/>
  <c r="I15" i="12" l="1"/>
  <c r="H15" i="12"/>
  <c r="G15" i="12"/>
  <c r="H15" i="13" l="1"/>
  <c r="I40" i="13"/>
  <c r="H40" i="13"/>
  <c r="I15" i="13"/>
  <c r="G40" i="13"/>
  <c r="G15" i="13"/>
  <c r="G23" i="12" l="1"/>
  <c r="H24" i="12"/>
  <c r="H23" i="12"/>
  <c r="H13" i="12"/>
  <c r="H11" i="12"/>
  <c r="I23" i="12"/>
  <c r="I13" i="12"/>
  <c r="I11" i="12"/>
  <c r="I24" i="12"/>
  <c r="G24" i="12"/>
  <c r="G13" i="12"/>
  <c r="G11" i="12"/>
  <c r="E63" i="9" l="1"/>
  <c r="D63" i="9"/>
  <c r="E61" i="9"/>
  <c r="D61" i="9"/>
  <c r="E60" i="9"/>
  <c r="D60" i="9"/>
  <c r="E59" i="9"/>
  <c r="D59" i="9"/>
  <c r="E58" i="9"/>
  <c r="D58" i="9"/>
  <c r="E57" i="9"/>
  <c r="D57" i="9"/>
  <c r="E55" i="9"/>
  <c r="D55" i="9"/>
  <c r="E54" i="9"/>
  <c r="D54" i="9"/>
  <c r="E53" i="9"/>
  <c r="D53" i="9"/>
  <c r="E52" i="9"/>
  <c r="D52" i="9"/>
  <c r="E51" i="9"/>
  <c r="D51" i="9"/>
  <c r="E50" i="9"/>
  <c r="D50" i="9"/>
  <c r="E49" i="9"/>
  <c r="D49" i="9"/>
  <c r="E47" i="9"/>
  <c r="D47" i="9"/>
  <c r="E46" i="9"/>
  <c r="D46" i="9"/>
  <c r="E45" i="9"/>
  <c r="D45" i="9"/>
  <c r="E44" i="9"/>
  <c r="D44" i="9"/>
  <c r="E43" i="9"/>
  <c r="D43" i="9"/>
  <c r="E42" i="9"/>
  <c r="D42" i="9"/>
  <c r="E41" i="9"/>
  <c r="D41" i="9"/>
  <c r="E40" i="9"/>
  <c r="D40" i="9"/>
  <c r="E38" i="9"/>
  <c r="D38" i="9"/>
  <c r="E36" i="9"/>
  <c r="D36" i="9"/>
  <c r="E35" i="9"/>
  <c r="D35" i="9"/>
  <c r="E29" i="9"/>
  <c r="D29" i="9"/>
  <c r="E28" i="9"/>
  <c r="D28" i="9"/>
  <c r="E27" i="9"/>
  <c r="D27" i="9"/>
  <c r="E26" i="9"/>
  <c r="D26" i="9"/>
  <c r="E25" i="9"/>
  <c r="D25" i="9"/>
  <c r="E24" i="9"/>
  <c r="D24" i="9"/>
  <c r="E23" i="9"/>
  <c r="D23" i="9"/>
  <c r="E22" i="9"/>
  <c r="D22" i="9"/>
  <c r="E21" i="9"/>
  <c r="D21" i="9"/>
  <c r="E20" i="9"/>
  <c r="D20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J15" i="12" l="1"/>
  <c r="K15" i="12" s="1"/>
  <c r="J16" i="12"/>
  <c r="K16" i="12" s="1"/>
  <c r="J19" i="12"/>
  <c r="K19" i="12" s="1"/>
  <c r="J20" i="12"/>
  <c r="K20" i="12" s="1"/>
  <c r="J23" i="12"/>
  <c r="K23" i="12" s="1"/>
  <c r="J24" i="12"/>
  <c r="K24" i="12" s="1"/>
  <c r="J27" i="12"/>
  <c r="K27" i="12" s="1"/>
  <c r="J28" i="12"/>
  <c r="K28" i="12" s="1"/>
  <c r="J26" i="12"/>
  <c r="K26" i="12" s="1"/>
  <c r="J13" i="12"/>
  <c r="K13" i="12" s="1"/>
  <c r="J14" i="12"/>
  <c r="K14" i="12" s="1"/>
  <c r="J17" i="12"/>
  <c r="K17" i="12" s="1"/>
  <c r="J18" i="12"/>
  <c r="K18" i="12" s="1"/>
  <c r="J21" i="12"/>
  <c r="K21" i="12" s="1"/>
  <c r="J22" i="12"/>
  <c r="K22" i="12" s="1"/>
  <c r="J25" i="12"/>
  <c r="K25" i="12" s="1"/>
  <c r="J29" i="12"/>
  <c r="K29" i="12" s="1"/>
  <c r="J30" i="12"/>
  <c r="K30" i="12" s="1"/>
  <c r="J12" i="12"/>
  <c r="K12" i="12" s="1"/>
  <c r="L23" i="12" l="1"/>
  <c r="F21" i="16" s="1"/>
  <c r="M21" i="16"/>
  <c r="I21" i="16"/>
  <c r="E21" i="16"/>
  <c r="K21" i="16"/>
  <c r="G21" i="16"/>
  <c r="C21" i="16"/>
  <c r="L21" i="16"/>
  <c r="H21" i="16"/>
  <c r="D21" i="16"/>
  <c r="B21" i="16"/>
  <c r="J21" i="16"/>
  <c r="J11" i="12" l="1"/>
  <c r="K11" i="12" s="1"/>
  <c r="C17" i="16"/>
  <c r="D17" i="16"/>
  <c r="E17" i="16"/>
  <c r="F17" i="16"/>
  <c r="G17" i="16"/>
  <c r="H17" i="16"/>
  <c r="I17" i="16"/>
  <c r="J17" i="16"/>
  <c r="K17" i="16"/>
  <c r="L17" i="16"/>
  <c r="M17" i="16"/>
  <c r="B17" i="16"/>
  <c r="C6" i="16"/>
  <c r="D6" i="16"/>
  <c r="E6" i="16"/>
  <c r="F6" i="16"/>
  <c r="G6" i="16"/>
  <c r="H6" i="16"/>
  <c r="I6" i="16"/>
  <c r="J6" i="16"/>
  <c r="K6" i="16"/>
  <c r="L6" i="16"/>
  <c r="M6" i="16"/>
  <c r="B6" i="16"/>
  <c r="H23" i="7"/>
  <c r="L11" i="12" l="1"/>
  <c r="L37" i="12" l="1"/>
  <c r="J10" i="16"/>
  <c r="D10" i="16"/>
  <c r="H10" i="16"/>
  <c r="L10" i="16"/>
  <c r="E10" i="16"/>
  <c r="I10" i="16"/>
  <c r="M10" i="16"/>
  <c r="F10" i="16"/>
  <c r="B10" i="16"/>
  <c r="C10" i="16"/>
  <c r="G10" i="16"/>
  <c r="K10" i="16"/>
  <c r="H15" i="5" l="1"/>
  <c r="I15" i="5"/>
  <c r="J15" i="5"/>
  <c r="K15" i="5"/>
  <c r="L15" i="5"/>
  <c r="H13" i="5"/>
  <c r="I13" i="5"/>
  <c r="J13" i="5"/>
  <c r="K13" i="5"/>
  <c r="L13" i="5"/>
  <c r="G138" i="3" l="1"/>
  <c r="G137" i="3" s="1"/>
  <c r="D137" i="3"/>
  <c r="G136" i="3"/>
  <c r="G135" i="3"/>
  <c r="G134" i="3"/>
  <c r="G133" i="3"/>
  <c r="G132" i="3"/>
  <c r="G131" i="3"/>
  <c r="G130" i="3"/>
  <c r="G128" i="3"/>
  <c r="G127" i="3"/>
  <c r="G126" i="3"/>
  <c r="G124" i="3"/>
  <c r="G123" i="3"/>
  <c r="G122" i="3"/>
  <c r="G121" i="3"/>
  <c r="G119" i="3"/>
  <c r="G118" i="3"/>
  <c r="G117" i="3"/>
  <c r="G116" i="3"/>
  <c r="G115" i="3"/>
  <c r="G114" i="3"/>
  <c r="G113" i="3"/>
  <c r="G112" i="3"/>
  <c r="G110" i="3"/>
  <c r="G109" i="3" s="1"/>
  <c r="G108" i="3"/>
  <c r="G107" i="3"/>
  <c r="G106" i="3"/>
  <c r="H106" i="3" s="1"/>
  <c r="G105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H85" i="3" s="1"/>
  <c r="G84" i="3"/>
  <c r="H84" i="3" s="1"/>
  <c r="G83" i="3"/>
  <c r="H83" i="3" s="1"/>
  <c r="G81" i="3"/>
  <c r="H81" i="3" s="1"/>
  <c r="G80" i="3"/>
  <c r="H80" i="3" s="1"/>
  <c r="G79" i="3"/>
  <c r="H79" i="3" s="1"/>
  <c r="G78" i="3"/>
  <c r="H28" i="7"/>
  <c r="H26" i="7"/>
  <c r="J38" i="2"/>
  <c r="K38" i="2"/>
  <c r="L38" i="2"/>
  <c r="G38" i="2" s="1"/>
  <c r="M38" i="2"/>
  <c r="I38" i="2"/>
  <c r="J32" i="2"/>
  <c r="K32" i="2"/>
  <c r="F32" i="2" s="1"/>
  <c r="L32" i="2"/>
  <c r="G32" i="2" s="1"/>
  <c r="M32" i="2"/>
  <c r="I32" i="2"/>
  <c r="H25" i="7"/>
  <c r="H24" i="7"/>
  <c r="F38" i="2"/>
  <c r="M35" i="2"/>
  <c r="M36" i="2" s="1"/>
  <c r="L35" i="2"/>
  <c r="L36" i="2" s="1"/>
  <c r="K35" i="2"/>
  <c r="K36" i="2" s="1"/>
  <c r="J35" i="2"/>
  <c r="J36" i="2" s="1"/>
  <c r="I35" i="2"/>
  <c r="I36" i="2" s="1"/>
  <c r="D39" i="2"/>
  <c r="D36" i="2"/>
  <c r="D33" i="2"/>
  <c r="E32" i="2"/>
  <c r="E35" i="2" l="1"/>
  <c r="E36" i="2" s="1"/>
  <c r="H35" i="2"/>
  <c r="H36" i="2" s="1"/>
  <c r="I28" i="7"/>
  <c r="F125" i="3" s="1"/>
  <c r="G125" i="3" s="1"/>
  <c r="H125" i="3" s="1"/>
  <c r="I25" i="7"/>
  <c r="H5" i="16" s="1"/>
  <c r="G111" i="3"/>
  <c r="G129" i="3"/>
  <c r="G77" i="3"/>
  <c r="G35" i="2"/>
  <c r="G36" i="2" s="1"/>
  <c r="G104" i="3"/>
  <c r="F35" i="2"/>
  <c r="F36" i="2" s="1"/>
  <c r="G82" i="3"/>
  <c r="H105" i="3"/>
  <c r="H138" i="3"/>
  <c r="H137" i="3" s="1"/>
  <c r="E38" i="2"/>
  <c r="H32" i="2"/>
  <c r="H38" i="2"/>
  <c r="G76" i="3" l="1"/>
  <c r="K16" i="16"/>
  <c r="E5" i="16"/>
  <c r="G5" i="16"/>
  <c r="M5" i="16"/>
  <c r="D5" i="16"/>
  <c r="D16" i="16"/>
  <c r="G120" i="3"/>
  <c r="G103" i="3" s="1"/>
  <c r="G16" i="16"/>
  <c r="M16" i="16"/>
  <c r="L16" i="16"/>
  <c r="J16" i="16"/>
  <c r="I16" i="16"/>
  <c r="K5" i="16"/>
  <c r="I5" i="16"/>
  <c r="H16" i="16"/>
  <c r="F16" i="16"/>
  <c r="E16" i="16"/>
  <c r="F5" i="16"/>
  <c r="F61" i="3"/>
  <c r="J5" i="16"/>
  <c r="L5" i="16"/>
  <c r="G139" i="3" l="1"/>
  <c r="D201" i="3"/>
  <c r="D193" i="3"/>
  <c r="D184" i="3"/>
  <c r="D175" i="3"/>
  <c r="D173" i="3"/>
  <c r="D172" i="3"/>
  <c r="D171" i="3"/>
  <c r="A19" i="1"/>
  <c r="B19" i="1"/>
  <c r="Q19" i="1"/>
  <c r="B20" i="1"/>
  <c r="B21" i="1"/>
  <c r="Q21" i="1"/>
  <c r="A13" i="5"/>
  <c r="B13" i="5"/>
  <c r="B14" i="5"/>
  <c r="B15" i="5"/>
  <c r="N14" i="3"/>
  <c r="D22" i="3" s="1"/>
  <c r="O14" i="3"/>
  <c r="D86" i="3" s="1"/>
  <c r="N15" i="3"/>
  <c r="D23" i="3" s="1"/>
  <c r="O15" i="3"/>
  <c r="D87" i="3" s="1"/>
  <c r="H87" i="3" s="1"/>
  <c r="N16" i="3"/>
  <c r="D24" i="3" s="1"/>
  <c r="O16" i="3"/>
  <c r="D88" i="3" s="1"/>
  <c r="H88" i="3" s="1"/>
  <c r="N17" i="3"/>
  <c r="D25" i="3" s="1"/>
  <c r="O17" i="3"/>
  <c r="D89" i="3" s="1"/>
  <c r="H89" i="3" s="1"/>
  <c r="N18" i="3"/>
  <c r="D26" i="3" s="1"/>
  <c r="O18" i="3"/>
  <c r="D90" i="3" s="1"/>
  <c r="H90" i="3" s="1"/>
  <c r="N19" i="3"/>
  <c r="D27" i="3" s="1"/>
  <c r="O19" i="3"/>
  <c r="D91" i="3" s="1"/>
  <c r="H91" i="3" s="1"/>
  <c r="N20" i="3"/>
  <c r="D28" i="3" s="1"/>
  <c r="O20" i="3"/>
  <c r="D92" i="3" s="1"/>
  <c r="H92" i="3" s="1"/>
  <c r="N21" i="3"/>
  <c r="D29" i="3" s="1"/>
  <c r="O21" i="3"/>
  <c r="D93" i="3" s="1"/>
  <c r="H93" i="3" s="1"/>
  <c r="N22" i="3"/>
  <c r="D30" i="3" s="1"/>
  <c r="O22" i="3"/>
  <c r="N23" i="3"/>
  <c r="D31" i="3" s="1"/>
  <c r="O23" i="3"/>
  <c r="D95" i="3" s="1"/>
  <c r="H95" i="3" s="1"/>
  <c r="N24" i="3"/>
  <c r="D32" i="3" s="1"/>
  <c r="O24" i="3"/>
  <c r="D96" i="3" s="1"/>
  <c r="H96" i="3" s="1"/>
  <c r="N25" i="3"/>
  <c r="D33" i="3" s="1"/>
  <c r="O25" i="3"/>
  <c r="D97" i="3" s="1"/>
  <c r="H97" i="3" s="1"/>
  <c r="N26" i="3"/>
  <c r="D34" i="3" s="1"/>
  <c r="O26" i="3"/>
  <c r="D98" i="3" s="1"/>
  <c r="H98" i="3" s="1"/>
  <c r="N27" i="3"/>
  <c r="D35" i="3" s="1"/>
  <c r="O27" i="3"/>
  <c r="D99" i="3" s="1"/>
  <c r="H99" i="3" s="1"/>
  <c r="N28" i="3"/>
  <c r="D36" i="3" s="1"/>
  <c r="O28" i="3"/>
  <c r="D100" i="3" s="1"/>
  <c r="H100" i="3" s="1"/>
  <c r="N29" i="3"/>
  <c r="D37" i="3" s="1"/>
  <c r="O29" i="3"/>
  <c r="D101" i="3" s="1"/>
  <c r="H101" i="3" s="1"/>
  <c r="N30" i="3"/>
  <c r="D38" i="3" s="1"/>
  <c r="O30" i="3"/>
  <c r="D102" i="3" s="1"/>
  <c r="H102" i="3" s="1"/>
  <c r="N33" i="3"/>
  <c r="D43" i="3" s="1"/>
  <c r="O33" i="3"/>
  <c r="D107" i="3" s="1"/>
  <c r="N34" i="3"/>
  <c r="D44" i="3" s="1"/>
  <c r="O34" i="3"/>
  <c r="D108" i="3" s="1"/>
  <c r="H108" i="3" s="1"/>
  <c r="N36" i="3"/>
  <c r="D46" i="3" s="1"/>
  <c r="O36" i="3"/>
  <c r="D110" i="3" s="1"/>
  <c r="N38" i="3"/>
  <c r="D48" i="3" s="1"/>
  <c r="O38" i="3"/>
  <c r="D112" i="3" s="1"/>
  <c r="N39" i="3"/>
  <c r="D49" i="3" s="1"/>
  <c r="O39" i="3"/>
  <c r="D113" i="3" s="1"/>
  <c r="H113" i="3" s="1"/>
  <c r="N40" i="3"/>
  <c r="D50" i="3" s="1"/>
  <c r="O40" i="3"/>
  <c r="D114" i="3" s="1"/>
  <c r="H114" i="3" s="1"/>
  <c r="N41" i="3"/>
  <c r="D51" i="3" s="1"/>
  <c r="O41" i="3"/>
  <c r="D115" i="3" s="1"/>
  <c r="H115" i="3" s="1"/>
  <c r="N42" i="3"/>
  <c r="D52" i="3" s="1"/>
  <c r="O42" i="3"/>
  <c r="D116" i="3" s="1"/>
  <c r="H116" i="3" s="1"/>
  <c r="N43" i="3"/>
  <c r="D53" i="3" s="1"/>
  <c r="O43" i="3"/>
  <c r="D117" i="3" s="1"/>
  <c r="H117" i="3" s="1"/>
  <c r="N44" i="3"/>
  <c r="D54" i="3" s="1"/>
  <c r="O44" i="3"/>
  <c r="D118" i="3" s="1"/>
  <c r="H118" i="3" s="1"/>
  <c r="N45" i="3"/>
  <c r="D55" i="3" s="1"/>
  <c r="O45" i="3"/>
  <c r="D119" i="3" s="1"/>
  <c r="H119" i="3" s="1"/>
  <c r="N47" i="3"/>
  <c r="D57" i="3" s="1"/>
  <c r="O47" i="3"/>
  <c r="D121" i="3" s="1"/>
  <c r="N48" i="3"/>
  <c r="D58" i="3" s="1"/>
  <c r="O48" i="3"/>
  <c r="D122" i="3" s="1"/>
  <c r="H122" i="3" s="1"/>
  <c r="N49" i="3"/>
  <c r="D59" i="3" s="1"/>
  <c r="O49" i="3"/>
  <c r="D123" i="3" s="1"/>
  <c r="H123" i="3" s="1"/>
  <c r="N50" i="3"/>
  <c r="D60" i="3" s="1"/>
  <c r="O50" i="3"/>
  <c r="D124" i="3" s="1"/>
  <c r="H124" i="3" s="1"/>
  <c r="N51" i="3"/>
  <c r="D62" i="3" s="1"/>
  <c r="O51" i="3"/>
  <c r="D126" i="3" s="1"/>
  <c r="H126" i="3" s="1"/>
  <c r="N52" i="3"/>
  <c r="D63" i="3" s="1"/>
  <c r="O52" i="3"/>
  <c r="D127" i="3" s="1"/>
  <c r="H127" i="3" s="1"/>
  <c r="N53" i="3"/>
  <c r="D64" i="3" s="1"/>
  <c r="O53" i="3"/>
  <c r="D128" i="3" s="1"/>
  <c r="H128" i="3" s="1"/>
  <c r="N55" i="3"/>
  <c r="D66" i="3" s="1"/>
  <c r="O55" i="3"/>
  <c r="D130" i="3" s="1"/>
  <c r="N56" i="3"/>
  <c r="D67" i="3" s="1"/>
  <c r="O56" i="3"/>
  <c r="D131" i="3" s="1"/>
  <c r="H131" i="3" s="1"/>
  <c r="N57" i="3"/>
  <c r="D68" i="3" s="1"/>
  <c r="O57" i="3"/>
  <c r="D132" i="3" s="1"/>
  <c r="H132" i="3" s="1"/>
  <c r="N58" i="3"/>
  <c r="D69" i="3" s="1"/>
  <c r="O58" i="3"/>
  <c r="D133" i="3" s="1"/>
  <c r="H133" i="3" s="1"/>
  <c r="N59" i="3"/>
  <c r="D70" i="3" s="1"/>
  <c r="O59" i="3"/>
  <c r="D134" i="3" s="1"/>
  <c r="H134" i="3" s="1"/>
  <c r="N60" i="3"/>
  <c r="D71" i="3" s="1"/>
  <c r="O60" i="3"/>
  <c r="D135" i="3" s="1"/>
  <c r="H135" i="3" s="1"/>
  <c r="N61" i="3"/>
  <c r="D72" i="3" s="1"/>
  <c r="O61" i="3"/>
  <c r="D136" i="3" s="1"/>
  <c r="H136" i="3" s="1"/>
  <c r="B34" i="2"/>
  <c r="B31" i="2"/>
  <c r="B37" i="2"/>
  <c r="A31" i="2"/>
  <c r="A19" i="16" s="1"/>
  <c r="P33" i="2"/>
  <c r="P36" i="2"/>
  <c r="P39" i="2"/>
  <c r="B26" i="7"/>
  <c r="B27" i="7"/>
  <c r="B28" i="7"/>
  <c r="B23" i="7"/>
  <c r="A26" i="7"/>
  <c r="D94" i="3" l="1"/>
  <c r="H94" i="3" s="1"/>
  <c r="P40" i="2"/>
  <c r="D168" i="3"/>
  <c r="H130" i="3"/>
  <c r="H129" i="3" s="1"/>
  <c r="D129" i="3"/>
  <c r="D120" i="3"/>
  <c r="H121" i="3"/>
  <c r="H120" i="3" s="1"/>
  <c r="H112" i="3"/>
  <c r="H111" i="3" s="1"/>
  <c r="D111" i="3"/>
  <c r="H110" i="3"/>
  <c r="H109" i="3" s="1"/>
  <c r="D109" i="3"/>
  <c r="H107" i="3"/>
  <c r="H104" i="3" s="1"/>
  <c r="D104" i="3"/>
  <c r="D82" i="3"/>
  <c r="H86" i="3"/>
  <c r="D40" i="2"/>
  <c r="A23" i="7"/>
  <c r="H82" i="3" l="1"/>
  <c r="D78" i="3"/>
  <c r="D77" i="3" s="1"/>
  <c r="D76" i="3" s="1"/>
  <c r="D103" i="3"/>
  <c r="H103" i="3"/>
  <c r="J138" i="3"/>
  <c r="N36" i="2"/>
  <c r="B11" i="2" s="1"/>
  <c r="G202" i="3"/>
  <c r="G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G194" i="3"/>
  <c r="G192" i="3"/>
  <c r="H192" i="3" s="1"/>
  <c r="G191" i="3"/>
  <c r="H191" i="3" s="1"/>
  <c r="G190" i="3"/>
  <c r="H190" i="3" s="1"/>
  <c r="G189" i="3"/>
  <c r="H189" i="3" s="1"/>
  <c r="G188" i="3"/>
  <c r="H188" i="3" s="1"/>
  <c r="G187" i="3"/>
  <c r="H187" i="3" s="1"/>
  <c r="G186" i="3"/>
  <c r="H186" i="3" s="1"/>
  <c r="G185" i="3"/>
  <c r="G183" i="3"/>
  <c r="H183" i="3" s="1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4" i="3"/>
  <c r="G173" i="3" s="1"/>
  <c r="G172" i="3"/>
  <c r="H172" i="3" s="1"/>
  <c r="G171" i="3"/>
  <c r="H171" i="3" s="1"/>
  <c r="G170" i="3"/>
  <c r="H170" i="3" s="1"/>
  <c r="G169" i="3"/>
  <c r="H169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D146" i="3"/>
  <c r="G145" i="3"/>
  <c r="H145" i="3" s="1"/>
  <c r="G144" i="3"/>
  <c r="H144" i="3" s="1"/>
  <c r="G143" i="3"/>
  <c r="H143" i="3" s="1"/>
  <c r="G142" i="3"/>
  <c r="G74" i="3"/>
  <c r="G73" i="3" s="1"/>
  <c r="D73" i="3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D65" i="3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D56" i="3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D47" i="3"/>
  <c r="G46" i="3"/>
  <c r="G45" i="3" s="1"/>
  <c r="D45" i="3"/>
  <c r="G44" i="3"/>
  <c r="H44" i="3" s="1"/>
  <c r="G43" i="3"/>
  <c r="H43" i="3" s="1"/>
  <c r="G42" i="3"/>
  <c r="H42" i="3" s="1"/>
  <c r="G41" i="3"/>
  <c r="H41" i="3" s="1"/>
  <c r="D40" i="3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D18" i="3"/>
  <c r="G17" i="3"/>
  <c r="H17" i="3" s="1"/>
  <c r="G16" i="3"/>
  <c r="H16" i="3" s="1"/>
  <c r="G15" i="3"/>
  <c r="H15" i="3" s="1"/>
  <c r="G14" i="3"/>
  <c r="H78" i="3" l="1"/>
  <c r="H77" i="3" s="1"/>
  <c r="H76" i="3" s="1"/>
  <c r="H139" i="3" s="1"/>
  <c r="N21" i="16"/>
  <c r="D139" i="3"/>
  <c r="D39" i="3"/>
  <c r="G193" i="3"/>
  <c r="G13" i="3"/>
  <c r="G40" i="3"/>
  <c r="G141" i="3"/>
  <c r="G168" i="3"/>
  <c r="G175" i="3"/>
  <c r="G146" i="3"/>
  <c r="G18" i="3"/>
  <c r="G56" i="3"/>
  <c r="G65" i="3"/>
  <c r="G184" i="3"/>
  <c r="O36" i="2"/>
  <c r="D142" i="3"/>
  <c r="H142" i="3" s="1"/>
  <c r="H141" i="3" s="1"/>
  <c r="F11" i="2" s="1"/>
  <c r="H168" i="3"/>
  <c r="H175" i="3"/>
  <c r="H194" i="3"/>
  <c r="H193" i="3" s="1"/>
  <c r="H147" i="3"/>
  <c r="H146" i="3" s="1"/>
  <c r="H174" i="3"/>
  <c r="H173" i="3" s="1"/>
  <c r="H185" i="3"/>
  <c r="H184" i="3" s="1"/>
  <c r="H202" i="3"/>
  <c r="H201" i="3" s="1"/>
  <c r="H47" i="3"/>
  <c r="H40" i="3"/>
  <c r="G47" i="3"/>
  <c r="H66" i="3"/>
  <c r="H19" i="3"/>
  <c r="H18" i="3" s="1"/>
  <c r="H46" i="3"/>
  <c r="H45" i="3" s="1"/>
  <c r="H57" i="3"/>
  <c r="H56" i="3" s="1"/>
  <c r="H74" i="3"/>
  <c r="H73" i="3" s="1"/>
  <c r="F10" i="2" l="1"/>
  <c r="F22" i="16"/>
  <c r="J22" i="16"/>
  <c r="B22" i="16"/>
  <c r="C22" i="16"/>
  <c r="G22" i="16"/>
  <c r="K22" i="16"/>
  <c r="D22" i="16"/>
  <c r="H22" i="16"/>
  <c r="L22" i="16"/>
  <c r="E22" i="16"/>
  <c r="I22" i="16"/>
  <c r="M22" i="16"/>
  <c r="J139" i="3"/>
  <c r="G39" i="3"/>
  <c r="D141" i="3"/>
  <c r="D140" i="3" s="1"/>
  <c r="D203" i="3" s="1"/>
  <c r="Q36" i="2"/>
  <c r="C11" i="2"/>
  <c r="E11" i="2" s="1"/>
  <c r="J202" i="3"/>
  <c r="G167" i="3"/>
  <c r="G12" i="3"/>
  <c r="H140" i="3"/>
  <c r="G140" i="3"/>
  <c r="H65" i="3"/>
  <c r="H39" i="3" s="1"/>
  <c r="J74" i="3"/>
  <c r="H167" i="3"/>
  <c r="G203" i="3" l="1"/>
  <c r="N22" i="16"/>
  <c r="G75" i="3"/>
  <c r="J206" i="3"/>
  <c r="H203" i="3"/>
  <c r="J203" i="3" l="1"/>
  <c r="E204" i="3" l="1"/>
  <c r="F204" i="3"/>
  <c r="G204" i="3"/>
  <c r="J25" i="2" l="1"/>
  <c r="K25" i="2"/>
  <c r="L25" i="2"/>
  <c r="M25" i="2"/>
  <c r="I25" i="2"/>
  <c r="Q17" i="1"/>
  <c r="B17" i="1"/>
  <c r="H11" i="5"/>
  <c r="I11" i="5"/>
  <c r="J11" i="5"/>
  <c r="K11" i="5"/>
  <c r="L11" i="5"/>
  <c r="B11" i="5"/>
  <c r="P24" i="2"/>
  <c r="B24" i="7" l="1"/>
  <c r="B25" i="7"/>
  <c r="P26" i="2" l="1"/>
  <c r="G25" i="2"/>
  <c r="E25" i="2"/>
  <c r="F25" i="2" l="1"/>
  <c r="D25" i="2"/>
  <c r="H25" i="2"/>
  <c r="S16" i="13" l="1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H12" i="5"/>
  <c r="I12" i="5"/>
  <c r="J12" i="5"/>
  <c r="K12" i="5"/>
  <c r="L12" i="5"/>
  <c r="J10" i="5"/>
  <c r="K10" i="5"/>
  <c r="L10" i="5"/>
  <c r="W78" i="13"/>
  <c r="W70" i="13"/>
  <c r="W60" i="13"/>
  <c r="W49" i="13"/>
  <c r="W46" i="13"/>
  <c r="W41" i="13"/>
  <c r="W20" i="13"/>
  <c r="W16" i="13"/>
  <c r="J69" i="13"/>
  <c r="K69" i="13" s="1"/>
  <c r="J68" i="13"/>
  <c r="K68" i="13" s="1"/>
  <c r="J67" i="13"/>
  <c r="K67" i="13" s="1"/>
  <c r="J66" i="13"/>
  <c r="K66" i="13" s="1"/>
  <c r="J65" i="13"/>
  <c r="K65" i="13" s="1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K70" i="13" l="1"/>
  <c r="K62" i="13"/>
  <c r="N15" i="13"/>
  <c r="W40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I22" i="2"/>
  <c r="R62" i="13" l="1"/>
  <c r="P62" i="13"/>
  <c r="N62" i="13"/>
  <c r="W80" i="13"/>
  <c r="Q62" i="13" l="1"/>
  <c r="AD15" i="13" s="1"/>
  <c r="AK15" i="13" s="1"/>
  <c r="AL15" i="13" s="1"/>
  <c r="AE15" i="13"/>
  <c r="O62" i="13"/>
  <c r="AB15" i="13" s="1"/>
  <c r="AI15" i="13" s="1"/>
  <c r="AJ15" i="13" s="1"/>
  <c r="AC15" i="13"/>
  <c r="M62" i="13"/>
  <c r="Z15" i="13" s="1"/>
  <c r="AG15" i="13" s="1"/>
  <c r="AH15" i="13" s="1"/>
  <c r="AA15" i="13"/>
  <c r="AP15" i="13" l="1"/>
  <c r="AN15" i="13"/>
  <c r="AR15" i="13"/>
  <c r="P21" i="2" l="1"/>
  <c r="P27" i="2" l="1"/>
  <c r="P29" i="2" s="1"/>
  <c r="P23" i="2" l="1"/>
  <c r="P30" i="2" s="1"/>
  <c r="B9" i="16" s="1"/>
  <c r="P41" i="2" l="1"/>
  <c r="K28" i="2"/>
  <c r="F28" i="2" s="1"/>
  <c r="K22" i="2"/>
  <c r="F22" i="2" s="1"/>
  <c r="D9" i="2" l="1"/>
  <c r="D12" i="2" s="1"/>
  <c r="E4" i="12" l="1"/>
  <c r="B11" i="12"/>
  <c r="D14" i="3" l="1"/>
  <c r="N10" i="16" l="1"/>
  <c r="H14" i="3"/>
  <c r="H13" i="3" s="1"/>
  <c r="H12" i="3" s="1"/>
  <c r="H75" i="3" s="1"/>
  <c r="D13" i="3"/>
  <c r="D12" i="3" s="1"/>
  <c r="J28" i="2"/>
  <c r="E28" i="2" s="1"/>
  <c r="L28" i="2"/>
  <c r="M28" i="2"/>
  <c r="I28" i="2"/>
  <c r="J22" i="2"/>
  <c r="E22" i="2" s="1"/>
  <c r="L22" i="2"/>
  <c r="G22" i="2" s="1"/>
  <c r="M22" i="2"/>
  <c r="D22" i="2"/>
  <c r="B27" i="2"/>
  <c r="B21" i="2"/>
  <c r="I10" i="5"/>
  <c r="H10" i="5"/>
  <c r="B12" i="5"/>
  <c r="B18" i="1"/>
  <c r="B16" i="1"/>
  <c r="A16" i="1"/>
  <c r="C8" i="2"/>
  <c r="B8" i="2"/>
  <c r="B11" i="16" l="1"/>
  <c r="B12" i="16" s="1"/>
  <c r="E11" i="16"/>
  <c r="I11" i="16"/>
  <c r="M11" i="16"/>
  <c r="K11" i="16"/>
  <c r="H11" i="16"/>
  <c r="F11" i="16"/>
  <c r="J11" i="16"/>
  <c r="D11" i="16"/>
  <c r="G11" i="16"/>
  <c r="C11" i="16"/>
  <c r="L11" i="16"/>
  <c r="J75" i="3"/>
  <c r="J207" i="3" s="1"/>
  <c r="H204" i="3"/>
  <c r="H22" i="2"/>
  <c r="D28" i="2"/>
  <c r="H28" i="2"/>
  <c r="G28" i="2"/>
  <c r="N11" i="16" l="1"/>
  <c r="J4" i="9" l="1"/>
  <c r="Q18" i="1" l="1"/>
  <c r="G4" i="5" l="1"/>
  <c r="D4" i="1"/>
  <c r="B10" i="5" l="1"/>
  <c r="A10" i="5"/>
  <c r="A21" i="2" l="1"/>
  <c r="A8" i="16" s="1"/>
  <c r="A9" i="2"/>
  <c r="A12" i="3"/>
  <c r="A9" i="5" l="1"/>
  <c r="B9" i="5"/>
  <c r="F9" i="2" l="1"/>
  <c r="F12" i="2" l="1"/>
  <c r="G9" i="2" s="1"/>
  <c r="G11" i="2" l="1"/>
  <c r="G10" i="2"/>
  <c r="H11" i="2" l="1"/>
  <c r="I11" i="2" s="1"/>
  <c r="H10" i="2"/>
  <c r="H9" i="2"/>
  <c r="G12" i="2"/>
  <c r="L9" i="2" s="1"/>
  <c r="L10" i="2" l="1"/>
  <c r="L11" i="2"/>
  <c r="H12" i="2"/>
  <c r="L12" i="2" l="1"/>
  <c r="D75" i="3" l="1"/>
  <c r="D204" i="3" s="1"/>
  <c r="L17" i="7" l="1"/>
  <c r="V15" i="5" s="1"/>
  <c r="I17" i="7"/>
  <c r="K15" i="7"/>
  <c r="K14" i="7"/>
  <c r="P14" i="7" s="1"/>
  <c r="M14" i="7"/>
  <c r="R12" i="5"/>
  <c r="I14" i="7"/>
  <c r="J14" i="7"/>
  <c r="T12" i="5" s="1"/>
  <c r="L13" i="7"/>
  <c r="Q13" i="7" s="1"/>
  <c r="I13" i="7"/>
  <c r="S11" i="5" s="1"/>
  <c r="R11" i="5"/>
  <c r="J13" i="7"/>
  <c r="K13" i="7"/>
  <c r="U11" i="5" s="1"/>
  <c r="I12" i="7"/>
  <c r="S10" i="5" s="1"/>
  <c r="L12" i="7"/>
  <c r="V10" i="5" s="1"/>
  <c r="R10" i="5"/>
  <c r="K12" i="7"/>
  <c r="M12" i="7"/>
  <c r="C10" i="5" s="1"/>
  <c r="N13" i="7" l="1"/>
  <c r="D11" i="5" s="1"/>
  <c r="M10" i="5"/>
  <c r="S12" i="5"/>
  <c r="N14" i="7"/>
  <c r="U10" i="5"/>
  <c r="P12" i="7"/>
  <c r="T11" i="5"/>
  <c r="O13" i="7"/>
  <c r="G17" i="1"/>
  <c r="L17" i="1" s="1"/>
  <c r="M24" i="2"/>
  <c r="G11" i="5"/>
  <c r="C18" i="1"/>
  <c r="H18" i="1" s="1"/>
  <c r="I27" i="2"/>
  <c r="P15" i="7"/>
  <c r="U13" i="5"/>
  <c r="M13" i="7"/>
  <c r="F18" i="1"/>
  <c r="K18" i="1" s="1"/>
  <c r="F12" i="5"/>
  <c r="L27" i="2"/>
  <c r="J12" i="7"/>
  <c r="V11" i="5"/>
  <c r="O14" i="7"/>
  <c r="L14" i="7"/>
  <c r="R13" i="5"/>
  <c r="L15" i="7"/>
  <c r="I15" i="7"/>
  <c r="J17" i="7"/>
  <c r="J15" i="7"/>
  <c r="S15" i="5"/>
  <c r="N17" i="7"/>
  <c r="N12" i="7"/>
  <c r="I21" i="2"/>
  <c r="C16" i="1"/>
  <c r="H16" i="1" s="1"/>
  <c r="Q12" i="7"/>
  <c r="P13" i="7"/>
  <c r="C12" i="5"/>
  <c r="U12" i="5"/>
  <c r="M15" i="7"/>
  <c r="R15" i="5"/>
  <c r="M17" i="7"/>
  <c r="Q17" i="7"/>
  <c r="K17" i="7"/>
  <c r="N11" i="5" l="1"/>
  <c r="J24" i="2"/>
  <c r="J26" i="2" s="1"/>
  <c r="D17" i="1"/>
  <c r="I17" i="1" s="1"/>
  <c r="M12" i="5"/>
  <c r="E18" i="1"/>
  <c r="J18" i="1" s="1"/>
  <c r="K27" i="2"/>
  <c r="E12" i="5"/>
  <c r="P12" i="5"/>
  <c r="H24" i="2"/>
  <c r="H26" i="2" s="1"/>
  <c r="M26" i="2"/>
  <c r="F16" i="1"/>
  <c r="K16" i="1" s="1"/>
  <c r="L21" i="2"/>
  <c r="F10" i="5"/>
  <c r="C21" i="1"/>
  <c r="H21" i="1" s="1"/>
  <c r="I37" i="2"/>
  <c r="I39" i="2" s="1"/>
  <c r="C15" i="5"/>
  <c r="D21" i="2"/>
  <c r="D23" i="2" s="1"/>
  <c r="I23" i="2"/>
  <c r="T13" i="5"/>
  <c r="O15" i="7"/>
  <c r="N15" i="7"/>
  <c r="S13" i="5"/>
  <c r="L31" i="2"/>
  <c r="F19" i="1"/>
  <c r="K19" i="1" s="1"/>
  <c r="F13" i="5"/>
  <c r="L24" i="2"/>
  <c r="F17" i="1"/>
  <c r="K17" i="1" s="1"/>
  <c r="F11" i="5"/>
  <c r="D16" i="1"/>
  <c r="I16" i="1" s="1"/>
  <c r="J21" i="2"/>
  <c r="D10" i="5"/>
  <c r="E24" i="2"/>
  <c r="E26" i="2" s="1"/>
  <c r="V13" i="5"/>
  <c r="Q15" i="7"/>
  <c r="I29" i="2"/>
  <c r="D27" i="2"/>
  <c r="D29" i="2" s="1"/>
  <c r="C19" i="1"/>
  <c r="H19" i="1" s="1"/>
  <c r="I31" i="2"/>
  <c r="I33" i="2" s="1"/>
  <c r="C13" i="5"/>
  <c r="M21" i="2"/>
  <c r="G16" i="1"/>
  <c r="L16" i="1" s="1"/>
  <c r="G10" i="5"/>
  <c r="O12" i="7"/>
  <c r="T10" i="5"/>
  <c r="I24" i="2"/>
  <c r="C17" i="1"/>
  <c r="H17" i="1" s="1"/>
  <c r="C11" i="5"/>
  <c r="E17" i="1"/>
  <c r="J17" i="1" s="1"/>
  <c r="K24" i="2"/>
  <c r="E11" i="5"/>
  <c r="D18" i="1"/>
  <c r="I18" i="1" s="1"/>
  <c r="J27" i="2"/>
  <c r="D12" i="5"/>
  <c r="P17" i="7"/>
  <c r="U15" i="5"/>
  <c r="D21" i="1"/>
  <c r="I21" i="1" s="1"/>
  <c r="J37" i="2"/>
  <c r="D15" i="5"/>
  <c r="M37" i="2"/>
  <c r="G21" i="1"/>
  <c r="L21" i="1" s="1"/>
  <c r="G15" i="5"/>
  <c r="T15" i="5"/>
  <c r="O17" i="7"/>
  <c r="V12" i="5"/>
  <c r="Q14" i="7"/>
  <c r="G27" i="2"/>
  <c r="G29" i="2" s="1"/>
  <c r="L29" i="2"/>
  <c r="Q11" i="5"/>
  <c r="J39" i="2" l="1"/>
  <c r="E37" i="2"/>
  <c r="E39" i="2" s="1"/>
  <c r="E27" i="2"/>
  <c r="E29" i="2" s="1"/>
  <c r="J29" i="2"/>
  <c r="H21" i="2"/>
  <c r="H23" i="2" s="1"/>
  <c r="M23" i="2"/>
  <c r="J31" i="2"/>
  <c r="D19" i="1"/>
  <c r="I19" i="1" s="1"/>
  <c r="D13" i="5"/>
  <c r="P10" i="5"/>
  <c r="F27" i="2"/>
  <c r="F29" i="2" s="1"/>
  <c r="K29" i="2"/>
  <c r="G18" i="1"/>
  <c r="L18" i="1" s="1"/>
  <c r="M27" i="2"/>
  <c r="G12" i="5"/>
  <c r="N12" i="5"/>
  <c r="D24" i="2"/>
  <c r="D26" i="2" s="1"/>
  <c r="D30" i="2" s="1"/>
  <c r="D41" i="2" s="1"/>
  <c r="I26" i="2"/>
  <c r="I30" i="2" s="1"/>
  <c r="G24" i="2"/>
  <c r="G26" i="2" s="1"/>
  <c r="L26" i="2"/>
  <c r="O12" i="5"/>
  <c r="P13" i="5"/>
  <c r="E21" i="1"/>
  <c r="J21" i="1" s="1"/>
  <c r="K37" i="2"/>
  <c r="E15" i="5"/>
  <c r="H37" i="2"/>
  <c r="H39" i="2" s="1"/>
  <c r="M39" i="2"/>
  <c r="M11" i="5"/>
  <c r="E16" i="1"/>
  <c r="J16" i="1" s="1"/>
  <c r="K21" i="2"/>
  <c r="E10" i="5"/>
  <c r="M13" i="5"/>
  <c r="P11" i="5"/>
  <c r="K31" i="2"/>
  <c r="E19" i="1"/>
  <c r="J19" i="1" s="1"/>
  <c r="E13" i="5"/>
  <c r="M15" i="5"/>
  <c r="G21" i="2"/>
  <c r="G23" i="2" s="1"/>
  <c r="L23" i="2"/>
  <c r="Q15" i="5"/>
  <c r="F24" i="2"/>
  <c r="F26" i="2" s="1"/>
  <c r="K26" i="2"/>
  <c r="J23" i="2"/>
  <c r="E21" i="2"/>
  <c r="E23" i="2" s="1"/>
  <c r="N15" i="5"/>
  <c r="F21" i="1"/>
  <c r="K21" i="1" s="1"/>
  <c r="L37" i="2"/>
  <c r="F15" i="5"/>
  <c r="O11" i="5"/>
  <c r="Q10" i="5"/>
  <c r="I40" i="2"/>
  <c r="M31" i="2"/>
  <c r="G19" i="1"/>
  <c r="L19" i="1" s="1"/>
  <c r="G13" i="5"/>
  <c r="N10" i="5"/>
  <c r="L33" i="2"/>
  <c r="G31" i="2"/>
  <c r="G33" i="2" s="1"/>
  <c r="J30" i="2" l="1"/>
  <c r="G30" i="2"/>
  <c r="E30" i="2"/>
  <c r="O15" i="5"/>
  <c r="P15" i="5"/>
  <c r="M33" i="2"/>
  <c r="M40" i="2" s="1"/>
  <c r="H31" i="2"/>
  <c r="H33" i="2" s="1"/>
  <c r="H40" i="2" s="1"/>
  <c r="G37" i="2"/>
  <c r="G39" i="2" s="1"/>
  <c r="G40" i="2" s="1"/>
  <c r="L39" i="2"/>
  <c r="L40" i="2" s="1"/>
  <c r="I41" i="2"/>
  <c r="L30" i="2"/>
  <c r="O13" i="5"/>
  <c r="O10" i="5"/>
  <c r="F37" i="2"/>
  <c r="F39" i="2" s="1"/>
  <c r="K39" i="2"/>
  <c r="O39" i="2" s="1"/>
  <c r="E31" i="2"/>
  <c r="E33" i="2" s="1"/>
  <c r="J33" i="2"/>
  <c r="F21" i="2"/>
  <c r="F23" i="2" s="1"/>
  <c r="F30" i="2" s="1"/>
  <c r="K23" i="2"/>
  <c r="O26" i="2"/>
  <c r="Q12" i="5"/>
  <c r="Q13" i="5"/>
  <c r="F31" i="2"/>
  <c r="F33" i="2" s="1"/>
  <c r="F40" i="2" s="1"/>
  <c r="K33" i="2"/>
  <c r="N26" i="2"/>
  <c r="H27" i="2"/>
  <c r="H29" i="2" s="1"/>
  <c r="N29" i="2" s="1"/>
  <c r="M29" i="2"/>
  <c r="O29" i="2" s="1"/>
  <c r="N13" i="5"/>
  <c r="K40" i="2" l="1"/>
  <c r="G41" i="2"/>
  <c r="Q26" i="2"/>
  <c r="Q29" i="2"/>
  <c r="N39" i="2"/>
  <c r="Q39" i="2" s="1"/>
  <c r="M30" i="2"/>
  <c r="M41" i="2" s="1"/>
  <c r="H30" i="2"/>
  <c r="H41" i="2" s="1"/>
  <c r="N23" i="2"/>
  <c r="N30" i="2" s="1"/>
  <c r="L41" i="2"/>
  <c r="K30" i="2"/>
  <c r="K41" i="2" s="1"/>
  <c r="O23" i="2"/>
  <c r="O30" i="2" s="1"/>
  <c r="J40" i="2"/>
  <c r="J41" i="2" s="1"/>
  <c r="O33" i="2"/>
  <c r="N33" i="2"/>
  <c r="E40" i="2"/>
  <c r="E41" i="2" s="1"/>
  <c r="F41" i="2"/>
  <c r="Q23" i="2" l="1"/>
  <c r="Q30" i="2" s="1"/>
  <c r="B9" i="2"/>
  <c r="C9" i="16"/>
  <c r="D9" i="16"/>
  <c r="D12" i="16" s="1"/>
  <c r="B10" i="2"/>
  <c r="N40" i="2"/>
  <c r="N41" i="2" s="1"/>
  <c r="Q33" i="2"/>
  <c r="Q40" i="2" s="1"/>
  <c r="C10" i="2"/>
  <c r="O40" i="2"/>
  <c r="O41" i="2" s="1"/>
  <c r="M9" i="16"/>
  <c r="M12" i="16" s="1"/>
  <c r="E9" i="16"/>
  <c r="E12" i="16" s="1"/>
  <c r="G9" i="16"/>
  <c r="G12" i="16" s="1"/>
  <c r="L9" i="16"/>
  <c r="L12" i="16" s="1"/>
  <c r="C9" i="2"/>
  <c r="K9" i="16"/>
  <c r="K12" i="16" s="1"/>
  <c r="I9" i="16"/>
  <c r="I12" i="16" s="1"/>
  <c r="J9" i="16"/>
  <c r="J12" i="16" s="1"/>
  <c r="F9" i="16"/>
  <c r="F12" i="16" s="1"/>
  <c r="H9" i="16"/>
  <c r="H12" i="16" s="1"/>
  <c r="E10" i="2" l="1"/>
  <c r="C12" i="2"/>
  <c r="Q41" i="2"/>
  <c r="C12" i="16"/>
  <c r="N9" i="16"/>
  <c r="N12" i="16" s="1"/>
  <c r="E20" i="16"/>
  <c r="E23" i="16" s="1"/>
  <c r="H20" i="16"/>
  <c r="H23" i="16" s="1"/>
  <c r="M20" i="16"/>
  <c r="M23" i="16" s="1"/>
  <c r="K20" i="16"/>
  <c r="K23" i="16" s="1"/>
  <c r="L20" i="16"/>
  <c r="L23" i="16" s="1"/>
  <c r="B20" i="16"/>
  <c r="C20" i="16"/>
  <c r="C23" i="16" s="1"/>
  <c r="J20" i="16"/>
  <c r="J23" i="16" s="1"/>
  <c r="I20" i="16"/>
  <c r="I23" i="16" s="1"/>
  <c r="D20" i="16"/>
  <c r="D23" i="16" s="1"/>
  <c r="G20" i="16"/>
  <c r="G23" i="16" s="1"/>
  <c r="F20" i="16"/>
  <c r="F23" i="16" s="1"/>
  <c r="B12" i="2"/>
  <c r="E9" i="2"/>
  <c r="I10" i="2" l="1"/>
  <c r="I9" i="2"/>
  <c r="E12" i="2"/>
  <c r="N20" i="16"/>
  <c r="N23" i="16" s="1"/>
  <c r="B23" i="16"/>
  <c r="I12" i="2" l="1"/>
</calcChain>
</file>

<file path=xl/sharedStrings.xml><?xml version="1.0" encoding="utf-8"?>
<sst xmlns="http://schemas.openxmlformats.org/spreadsheetml/2006/main" count="845" uniqueCount="315">
  <si>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</si>
  <si>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</si>
  <si>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</si>
  <si>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</si>
  <si>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</si>
  <si>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</si>
  <si>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</si>
  <si>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</si>
  <si>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</si>
  <si>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</si>
  <si>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</si>
  <si>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</si>
  <si>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</si>
  <si>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</si>
  <si>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</si>
  <si>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</si>
  <si>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</si>
  <si>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</si>
  <si>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</si>
  <si>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</si>
  <si>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</si>
  <si>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</si>
  <si>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</si>
  <si>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</si>
  <si>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</si>
  <si>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</si>
  <si>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</si>
  <si>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</si>
  <si>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</si>
  <si>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</si>
  <si>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</si>
  <si>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</si>
  <si>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</si>
  <si>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</si>
  <si>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</si>
  <si>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</si>
  <si>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</si>
  <si>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</si>
  <si>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</si>
  <si>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</si>
  <si>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</si>
  <si>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</si>
  <si>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</si>
  <si>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</si>
  <si>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</si>
  <si>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</si>
  <si>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</si>
  <si>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</si>
  <si>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</si>
  <si>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</si>
  <si>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</si>
  <si>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</si>
  <si>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</si>
  <si>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</si>
  <si>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</si>
  <si>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</si>
  <si>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</si>
  <si>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</si>
  <si>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</si>
  <si>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</si>
  <si>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</si>
  <si>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</si>
  <si>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</si>
  <si>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</si>
  <si>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</si>
  <si>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</si>
  <si>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</si>
  <si>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</si>
  <si>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</si>
  <si>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</si>
  <si>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</si>
  <si>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</si>
  <si>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</si>
  <si>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</si>
  <si>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</si>
  <si>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</si>
  <si>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</si>
  <si>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</si>
  <si>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</si>
  <si>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</si>
  <si>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</si>
  <si>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</si>
  <si>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</si>
  <si>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</si>
  <si>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</si>
  <si>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</si>
  <si>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</si>
  <si>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</si>
  <si>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</si>
  <si>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</si>
  <si>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</si>
  <si>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</si>
  <si>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</si>
  <si>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</si>
  <si>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</si>
  <si>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</si>
  <si>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</si>
  <si>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</si>
  <si>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</si>
  <si>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</si>
  <si>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</si>
  <si>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</si>
  <si>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</si>
  <si>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</si>
  <si>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</si>
  <si>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</si>
  <si>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</si>
  <si>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</si>
  <si>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</si>
  <si>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</si>
  <si>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</si>
  <si>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</si>
  <si>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</si>
  <si>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</si>
  <si>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</si>
  <si>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</si>
  <si>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</si>
  <si>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</si>
  <si>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</si>
  <si>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</si>
  <si>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</si>
  <si>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</si>
  <si>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</si>
  <si>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</si>
  <si>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</si>
  <si>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</si>
  <si>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</si>
  <si>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</si>
  <si>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</si>
  <si>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SERVICIO DE SUSCRIPCION</t>
  </si>
  <si>
    <t>EQUIPOS COMPUTACIONALES</t>
  </si>
  <si>
    <t>Total Meta Ocupación</t>
  </si>
  <si>
    <t>Jardines Infantiles</t>
  </si>
  <si>
    <t>PDI</t>
  </si>
  <si>
    <t>GENDARMERIA</t>
  </si>
  <si>
    <t>ÁREA APOYO A. EDUCACIONAL</t>
  </si>
  <si>
    <t>ADMINISTRACIÓN CENTRAL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</si>
  <si>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</si>
  <si>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</si>
  <si>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</si>
  <si>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</si>
  <si>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</si>
  <si>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</si>
  <si>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</si>
  <si>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</si>
  <si>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</si>
  <si>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</si>
  <si>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</si>
  <si>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</si>
  <si>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</si>
  <si>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</si>
  <si>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</si>
  <si>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</si>
  <si>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</si>
  <si>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</si>
  <si>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</si>
  <si>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</si>
  <si>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</si>
  <si>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</si>
  <si>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</si>
  <si>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</si>
  <si>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</si>
  <si>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</si>
  <si>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</si>
  <si>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</si>
  <si>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</si>
  <si>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</si>
  <si>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</si>
  <si>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</si>
  <si>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</si>
  <si>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</si>
  <si>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</si>
  <si>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</si>
  <si>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</si>
  <si>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</si>
  <si>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</si>
  <si>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</si>
  <si>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</si>
  <si>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</si>
  <si>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</si>
  <si>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</si>
  <si>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</si>
  <si>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</si>
  <si>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</si>
  <si>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</si>
  <si>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</si>
  <si>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</si>
  <si>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</si>
  <si>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</si>
  <si>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</si>
  <si>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</si>
  <si>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</si>
  <si>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</si>
  <si>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</si>
  <si>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</si>
  <si>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</si>
  <si>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</si>
  <si>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</si>
  <si>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</si>
  <si>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</si>
  <si>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</si>
  <si>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</si>
  <si>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</si>
  <si>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</si>
  <si>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Media jornada Extendida</t>
  </si>
  <si>
    <t>Jornada Completa</t>
  </si>
  <si>
    <t>TABLA 9: RESUMEN DISTRIBUCION COSTOS REMUNERACIONES ADMINISTRACION CENTRAL</t>
  </si>
  <si>
    <t>Jardín Infantil Olitas de Mar</t>
  </si>
  <si>
    <t xml:space="preserve">C) ESTIMACION DE COSTOS DIRECTOS </t>
  </si>
  <si>
    <t>PRODUCTOS QUIMICOS (EXTINTOR)</t>
  </si>
  <si>
    <t>PROD.QUIMIC,FARMACEUTICOS IND. (BOTIQUIN)</t>
  </si>
  <si>
    <t>OTROS MANTEN. Y REP.MENORES</t>
  </si>
  <si>
    <t>CUOTA DE PADRES</t>
  </si>
  <si>
    <t>AFL</t>
  </si>
  <si>
    <t>PAF</t>
  </si>
  <si>
    <t>TOTAL AFL</t>
  </si>
  <si>
    <t>TOTAL PAF</t>
  </si>
  <si>
    <t>Gasto Total Empresa</t>
  </si>
  <si>
    <t xml:space="preserve"> Sala Cuna Olitas de Mar</t>
  </si>
  <si>
    <t>Sala Cuna Olitas de Mar</t>
  </si>
  <si>
    <t>Media Jornada</t>
  </si>
  <si>
    <t>Nocturna</t>
  </si>
  <si>
    <t>Diurna</t>
  </si>
  <si>
    <t>Sala Cuna Olitas de Mar Diurna</t>
  </si>
  <si>
    <t>Sala Cuna Olitas de Mar Nocturna</t>
  </si>
  <si>
    <t>TOTAL</t>
  </si>
  <si>
    <t xml:space="preserve"> COSTOS DIRECTOS COMUNES  "JARDIN INFANTIL Y SALA CUNA OLITAS DE MAR"</t>
  </si>
  <si>
    <t>JI (80%)</t>
  </si>
  <si>
    <t>SC (20%)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</si>
  <si>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</si>
  <si>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</si>
  <si>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</si>
  <si>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</si>
  <si>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</si>
  <si>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</si>
  <si>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</si>
  <si>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</si>
  <si>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</si>
  <si>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</si>
  <si>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</si>
  <si>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</si>
  <si>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DE OPERACION</t>
  </si>
  <si>
    <t>REMUNERACIONES COD.DEL TRABAJO</t>
  </si>
  <si>
    <t>COSTOS  DE OPERACION</t>
  </si>
  <si>
    <t>I) Proyección Mensual</t>
  </si>
  <si>
    <t>TABLA N°15: PROYECCIÓN MENSUAL</t>
  </si>
  <si>
    <t>MATRICULA</t>
  </si>
  <si>
    <t>PERSONAL</t>
  </si>
  <si>
    <t>ACUMULADO A DICIEMBRE</t>
  </si>
  <si>
    <t>RESULTADO OPERACIONAL</t>
  </si>
  <si>
    <t>DELBIENSAN</t>
  </si>
  <si>
    <t>INSTRUCCIONES</t>
  </si>
  <si>
    <t>Mensualidad 2025</t>
  </si>
  <si>
    <t>Matrícula 2026</t>
  </si>
  <si>
    <t>Mensualidad 2026</t>
  </si>
  <si>
    <t>Tarifa 2026</t>
  </si>
  <si>
    <t>Propuesta Mensualidad 2026</t>
  </si>
  <si>
    <t>Meta Ocupación niños 2026</t>
  </si>
  <si>
    <t>COSTO DIRECTO ESTIMADO 2026</t>
  </si>
  <si>
    <t>REMUNERACIONES 2025</t>
  </si>
  <si>
    <t>Costo Total anual por Servidor 2025</t>
  </si>
  <si>
    <t>Costo Total por Servidor Reajustado 2026</t>
  </si>
  <si>
    <t>COSTO INDIRECTO ESTIMADO 2026</t>
  </si>
  <si>
    <t xml:space="preserve">DE ACUERDO A LA GESTIÓN DEL NUEVO CONTATO DE SERVICIO DE ASEO Y MANTENCIÓN </t>
  </si>
  <si>
    <t xml:space="preserve">MONTO ANTERIOR PROYECTADO COMO GASTO ANUAL, EL QUE PUEDE VARIAR EN ÉPOCA DE INVIERNO DEBIDO ALZAS PROGRAMAS A NIVEL NACIONAL </t>
  </si>
  <si>
    <t>MONTO ANTERIOR PROYECTADO COMO GASTO ANUAL</t>
  </si>
  <si>
    <t>MATERIAL DIDÁCTICO PARA NIVELES EDUCATIVOS</t>
  </si>
  <si>
    <t xml:space="preserve">INCOORPORAR CÁMARAS DE VIGILANCIA EN PATIO DE SALA CUNA Y JARDÍN INFANTIL </t>
  </si>
  <si>
    <t>CONSIDERANDO MATERIALES QUE PUEDAN SER REQUERIDOS POR EL ÁREA TÉCNICA</t>
  </si>
  <si>
    <t>Jardín Infantil KIM</t>
  </si>
  <si>
    <t>Sala Cuna KIM</t>
  </si>
  <si>
    <t>Jardín Infantil ZUMBAYLLU</t>
  </si>
  <si>
    <t>Sala Cuna ZUMBAYLLU</t>
  </si>
  <si>
    <t xml:space="preserve">EN CASO DE FALLA DE IMPRESORA </t>
  </si>
  <si>
    <t>RECAMBIO DE ROLLER EN MAL ESTADO EN ALGUNAS DEPENDENCIAS DEL ESTABLECIMIENTO</t>
  </si>
  <si>
    <t xml:space="preserve">BENCINA PARA MAQUINA CORTADORA DE PASTO </t>
  </si>
  <si>
    <t>PARA CURSO DE CONVIVENCIA ESCOLAR DE ACUERDO A LO SOLICITADO POR LA SUPERINTENDENCIA DE EDUCACIÓN.</t>
  </si>
  <si>
    <t xml:space="preserve">PARA SEMINARIOS ANUALES </t>
  </si>
  <si>
    <t>PARA DAR CUMPLIMEINTO A REGLAMENTOS DE SEGURIDAD ESCOLAR</t>
  </si>
  <si>
    <t>PARA ARTÍCULOS DE COCINA CENTRAL Y MENAJE DE COMEDORES</t>
  </si>
  <si>
    <t xml:space="preserve">OPTIMIZAR AHORRO DE ENERGÍA CON LA COMPRA DE PANELES LED Y SUSTITUIR FOCOS EXISTENTES LOS QUE SE ENCUENTRAN QUEMADOS </t>
  </si>
  <si>
    <t>ARIELA</t>
  </si>
  <si>
    <t>GONZALEZ</t>
  </si>
  <si>
    <t>Ed. De Párvulos</t>
  </si>
  <si>
    <t>NN</t>
  </si>
  <si>
    <t>SUSANA</t>
  </si>
  <si>
    <t>COLLINAO</t>
  </si>
  <si>
    <t xml:space="preserve">GABRIELA </t>
  </si>
  <si>
    <t>GONZÁLEZ</t>
  </si>
  <si>
    <t>KARINA</t>
  </si>
  <si>
    <t>CLAVERO</t>
  </si>
  <si>
    <t>Auxiliar de Servicios</t>
  </si>
  <si>
    <t>Asistente de Párvulos (Reemplazo Pre-Post Natal)</t>
  </si>
  <si>
    <t>Edilia</t>
  </si>
  <si>
    <t>Vidal Alvarez</t>
  </si>
  <si>
    <t xml:space="preserve"> Contador General</t>
  </si>
  <si>
    <t>Myriam</t>
  </si>
  <si>
    <t>Flores Vasquez</t>
  </si>
  <si>
    <t xml:space="preserve"> Encargado Rendición Cuentas</t>
  </si>
  <si>
    <t xml:space="preserve">Matias </t>
  </si>
  <si>
    <t>Torres Tapia</t>
  </si>
  <si>
    <t>Administrador de Contratos</t>
  </si>
  <si>
    <t>Asistente de Párvulos</t>
  </si>
  <si>
    <t>Asistente de Párvulos Reemplazo (TT) servidora manifiesta en instancia de calificaciones que renunciará para el período 2026</t>
  </si>
  <si>
    <t>ESTE MONTO FUE PROYECTADO DE DE ACUERDOA   UN VALOR DE CUOTA DE PADRES POR UN MONTO DE $2000 PESOS MENSUALES POR NIÑO MATRICULADO, ES DECIR CONSIDERANDO 62 PÁRVULOS EN JARDIN INFATIL Y 6 GUAGUAS.</t>
  </si>
  <si>
    <t xml:space="preserve">ESTE VALOR CONSIDERA EL PAGO MENSUAL DE ALUMNAS DE PRACTICA PROFESIONAL. SE CONSIDERAN 8 ALUMNAS, 4 PARA CADA SEMESTRE Y CADA PERIOSO DE PRACTICA SE REALZIA EN UN PERIODO DE 4 MESES. </t>
  </si>
  <si>
    <t>SEGURO ESCOLAR</t>
  </si>
  <si>
    <t>SE CONSIDERA UNA MATRICULA DE 62 PARVULOS EN JARDIN 6 GUAGUAS EN SALA CUNA. EL VALOR DE SEGURO POR NIÑO ES DE $8.300.- PESOS</t>
  </si>
  <si>
    <r>
      <rPr>
        <b/>
        <sz val="9"/>
        <color theme="1"/>
        <rFont val="Arial"/>
        <family val="2"/>
      </rPr>
      <t xml:space="preserve">IMPLEMENTACIÓN DE TECHO EXTERIOR </t>
    </r>
    <r>
      <rPr>
        <sz val="9"/>
        <color theme="1"/>
        <rFont val="Arial"/>
        <family val="2"/>
      </rPr>
      <t xml:space="preserve">DADO QUE EL PATIO DE SERVICIO SE ENCUENTRA EXPUESTO A CONDICIONES DE ALTAS  Y BAJASTEMPERATURAS EN VERANO , LLUVIAS EN INVIERNO Y BAJAS TEMPERATURAS EN TEMPORADA DE OTOÑO E INVIERNO, SE SOLICITA CONISDERAR UN CUBIERTA PARA QUE EL PERSONAL PUEDA MOVILIZARSE SEGURO Y RESGUARDADO,  MITIGANDO ACCIDENTES LABORALES. </t>
    </r>
    <r>
      <rPr>
        <b/>
        <sz val="9"/>
        <color theme="1"/>
        <rFont val="Arial"/>
        <family val="2"/>
      </rPr>
      <t>ADQUISICIÓN DE BICICLETERO</t>
    </r>
    <r>
      <rPr>
        <sz val="9"/>
        <color theme="1"/>
        <rFont val="Arial"/>
        <family val="2"/>
      </rPr>
      <t xml:space="preserve"> PARA CUMPLIR CON CERTIFICACIÓN MEDIO AMBIENTAL PROMOVIENDO HÁBITOS SALUDABLES EN LA COMUNIDAD. DE ESTA MANERA SE DESPEJA AREA NO APTA PARA DEJAR BICICLETAS DEL PERSONAL Y NIÑOS.</t>
    </r>
    <r>
      <rPr>
        <b/>
        <sz val="9"/>
        <color theme="1"/>
        <rFont val="Arial"/>
        <family val="2"/>
      </rPr>
      <t>ADQUISIÓN DE 2 BODEGAS EXTERIORES</t>
    </r>
    <r>
      <rPr>
        <sz val="9"/>
        <color theme="1"/>
        <rFont val="Arial"/>
        <family val="2"/>
      </rPr>
      <t xml:space="preserve"> OBJETO OPTIMIZAR OREDEN DE ESPACIOS EXTERIORES RESPECTO  A MATERIAL DIDÁCTICO Y JARDINERÍA 
</t>
    </r>
  </si>
  <si>
    <t>ALIMENTACIÓN PÁRVULOS J.I. Y S.C.</t>
  </si>
  <si>
    <t xml:space="preserve">SE CONSIDERAN RACIONES DE 62 NIÑOS DE JARDÍN Y 6 DE SALA CUNA, POR 21 DÍAS ASISTIDOS MENSUALES. VALOR DE RACIÓN UNITARIA SE CALCULA DE ACUERDO A MONTOS FACTURADOS TANTO EN VÍVERES COMO EN FRUTAS Y VERDURAS (CONTRATOS). </t>
  </si>
  <si>
    <t>ALIMENTACIÓN ADULTOS</t>
  </si>
  <si>
    <t>SE CONSIDERAN RACIONES DE 6 ADULTOS (FF.PP.) PARA J.I. Y S.C.</t>
  </si>
  <si>
    <t>ALIMENTACIÓN ALUMNAS EN PRÁCTICA</t>
  </si>
  <si>
    <t>SE CONSIDERAN LAS RACIONES PARA 8 ALUMNAS EN PRÁCTICA ANUALES. 4 ALUMNAS POR SEMESTRE EN PERÍODOS DE 4 MESES.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</si>
</sst>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 &quot;$&quot;* #,##0_ ;_ &quot;$&quot;* \-#,##0_ ;_ &quot;$&quot;* &quot;-&quot;_ ;_ @_ "/>
    <numFmt numFmtId="164" formatCode="_-* #,##0.00_-;\-* #,##0.00_-;_-* &quot;-&quot;??_-;_-@_-"/>
    <numFmt numFmtId="165" formatCode="_-\$* #,##0.00_-;&quot;-$&quot;* #,##0.00_-;_-\$* \-??_-;_-@_-"/>
    <numFmt numFmtId="166" formatCode="\$#,##0_);&quot;($&quot;#,##0\)"/>
    <numFmt numFmtId="167" formatCode="_-&quot;$ &quot;* #,##0_-;&quot;-$ &quot;* #,##0_-;_-&quot;$ &quot;* \-_-;_-@_-"/>
    <numFmt numFmtId="168" formatCode="0\ %"/>
    <numFmt numFmtId="169" formatCode="0.0%"/>
    <numFmt numFmtId="170" formatCode="#,##0_ ;[Red]\-#,##0\ "/>
    <numFmt numFmtId="171" formatCode="_-* #,##0.00_-;\-* #,##0.00_-;_-* \-??_-;_-@_-"/>
    <numFmt numFmtId="172" formatCode="_-\ * #,##0_-;&quot;$ &quot;* #,##0_-;_-\ * \-_-;_-@_-"/>
    <numFmt numFmtId="173" formatCode="_-* #,##0.0_-;\-* #,##0.0_-;_-* \-??_-;_-@_-"/>
    <numFmt numFmtId="174" formatCode="_(* #,##0_);_(* \(#,##0\);_(* \-_);_(@_)"/>
    <numFmt numFmtId="175" formatCode="_-* #,##0_-;\-* #,##0_-;_-* \-??_-;_-@_-"/>
    <numFmt numFmtId="176" formatCode="&quot;$&quot;\ #,##0"/>
    <numFmt numFmtId="177" formatCode="_-&quot;$&quot;* #,##0_-;\-&quot;$&quot;* #,##0_-;_-&quot;$&quot;* &quot;-&quot;??_-;_-@_-"/>
    <numFmt numFmtId="178" formatCode="#,##0_ ;\-#,##0\ "/>
    <numFmt numFmtId="179" formatCode="0.00\ %"/>
    <numFmt numFmtId="180" formatCode="_-\$* #,##0_-;&quot;-$&quot;* #,##0_-;_-\$* \-??_-;_-@_-"/>
    <numFmt numFmtId="181" formatCode="_-[$$-340A]\ * #,##0_-;\-[$$-340A]\ * #,##0_-;_-[$$-340A]\ * &quot;-&quot;??_-;_-@_-"/>
    <numFmt numFmtId="182" formatCode="_-* #,##0.00\ &quot;€&quot;_-;\-* #,##0.00\ &quot;€&quot;_-;_-* &quot;-&quot;??\ &quot;€&quot;_-;_-@_-"/>
    <numFmt numFmtId="183" formatCode="_-[$€]* #,##0.00_-;\-[$€]* #,##0.00_-;_-[$€]* &quot;-&quot;??_-;_-@_-"/>
    <numFmt numFmtId="184" formatCode="_-[$€-2]\ * #,##0.00_-;\-[$€-2]\ * #,##0.00_-;_-[$€-2]\ * &quot;-&quot;??_-"/>
    <numFmt numFmtId="185" formatCode="_-&quot;$&quot;\ * #,##0_-;\-&quot;$&quot;\ * #,##0_-;_-&quot;$&quot;\ * &quot;-&quot;??_-;_-@_-"/>
    <numFmt numFmtId="186" formatCode="_-&quot;$&quot;\ * #,##0_-;\-&quot;$&quot;\ * #,##0_-;_-&quot;$&quot;\ * &quot;-&quot;_-;_-@_-"/>
    <numFmt numFmtId="187" formatCode="_-&quot;$&quot;\ * #,##0.00_-;\-&quot;$&quot;\ * #,##0.00_-;_-&quot;$&quot;\ * &quot;-&quot;??_-;_-@_-"/>
  </numFmts>
  <fonts count="4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8"/>
      <name val="Arial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b/>
      <sz val="9"/>
      <color theme="0"/>
      <name val="Arial Narrow"/>
      <family val="2"/>
    </font>
    <font>
      <b/>
      <sz val="9"/>
      <color theme="1"/>
      <name val="Arial Narrow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44"/>
      </patternFill>
    </fill>
    <fill>
      <patternFill patternType="solid">
        <fgColor theme="9"/>
        <bgColor indexed="64"/>
      </patternFill>
    </fill>
    <fill>
      <patternFill patternType="solid">
        <fgColor rgb="FF002060"/>
        <bgColor indexed="64"/>
      </patternFill>
    </fill>
    <fill>
      <patternFill patternType="gray125">
        <fgColor auto="1"/>
        <bgColor rgb="FFFFFF00"/>
      </patternFill>
    </fill>
    <fill>
      <patternFill patternType="gray125">
        <bgColor theme="9"/>
      </patternFill>
    </fill>
    <fill>
      <patternFill patternType="gray125">
        <bgColor theme="0" tint="-0.14999847407452621"/>
      </patternFill>
    </fill>
    <fill>
      <patternFill patternType="gray125">
        <bgColor rgb="FFFFFF00"/>
      </patternFill>
    </fill>
    <fill>
      <patternFill patternType="gray125">
        <bgColor theme="4" tint="0.59999389629810485"/>
      </patternFill>
    </fill>
    <fill>
      <patternFill patternType="gray125">
        <bgColor theme="3" tint="0.79998168889431442"/>
      </patternFill>
    </fill>
    <fill>
      <patternFill patternType="solid">
        <fgColor theme="5" tint="0.39994506668294322"/>
        <bgColor auto="1"/>
      </patternFill>
    </fill>
    <fill>
      <patternFill patternType="gray125">
        <bgColor theme="5" tint="0.79992065187536243"/>
      </patternFill>
    </fill>
    <fill>
      <patternFill patternType="gray125">
        <bgColor theme="5" tint="0.39994506668294322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auto="1"/>
      </patternFill>
    </fill>
    <fill>
      <patternFill patternType="gray125">
        <fgColor indexed="24"/>
        <bgColor theme="5" tint="0.39997558519241921"/>
      </patternFill>
    </fill>
    <fill>
      <patternFill patternType="gray125">
        <fgColor indexed="40"/>
        <bgColor theme="5" tint="0.39997558519241921"/>
      </patternFill>
    </fill>
    <fill>
      <patternFill patternType="gray125">
        <fgColor indexed="24"/>
        <bgColor theme="5" tint="0.79998168889431442"/>
      </patternFill>
    </fill>
    <fill>
      <patternFill patternType="gray125">
        <bgColor theme="3" tint="0.59999389629810485"/>
      </patternFill>
    </fill>
    <fill>
      <patternFill patternType="gray125">
        <bgColor theme="0"/>
      </patternFill>
    </fill>
    <fill>
      <patternFill patternType="gray125">
        <fgColor indexed="24"/>
        <bgColor theme="3" tint="0.39997558519241921"/>
      </patternFill>
    </fill>
    <fill>
      <patternFill patternType="gray125">
        <fgColor indexed="44"/>
        <bgColor theme="3" tint="0.39997558519241921"/>
      </patternFill>
    </fill>
    <fill>
      <patternFill patternType="gray125">
        <bgColor theme="3" tint="0.79995117038483843"/>
      </patternFill>
    </fill>
    <fill>
      <patternFill patternType="solid">
        <fgColor theme="4" tint="0.79998168889431442"/>
        <bgColor indexed="64"/>
      </patternFill>
    </fill>
    <fill>
      <patternFill patternType="gray125">
        <bgColor theme="4" tint="0.79998168889431442"/>
      </patternFill>
    </fill>
    <fill>
      <patternFill patternType="gray125">
        <bgColor theme="9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2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7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1" fontId="15" fillId="0" borderId="0"/>
    <xf numFmtId="165" fontId="15" fillId="0" borderId="0"/>
    <xf numFmtId="0" fontId="9" fillId="8" borderId="0" applyNumberFormat="0" applyBorder="0" applyAlignment="0" applyProtection="0"/>
    <xf numFmtId="0" fontId="6" fillId="8" borderId="1" applyNumberFormat="0" applyAlignment="0" applyProtection="0"/>
    <xf numFmtId="168" fontId="1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83" fontId="3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1" fontId="15" fillId="0" borderId="0" applyFill="0" applyBorder="0" applyAlignment="0" applyProtection="0"/>
    <xf numFmtId="165" fontId="15" fillId="0" borderId="0" applyFill="0" applyBorder="0" applyAlignment="0" applyProtection="0"/>
    <xf numFmtId="182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9" fontId="15" fillId="0" borderId="0" applyFill="0" applyBorder="0" applyAlignment="0" applyProtection="0"/>
    <xf numFmtId="42" fontId="15" fillId="0" borderId="0" applyFont="0" applyFill="0" applyBorder="0" applyAlignment="0" applyProtection="0"/>
    <xf numFmtId="0" fontId="6" fillId="8" borderId="210" applyNumberFormat="0" applyAlignment="0" applyProtection="0"/>
    <xf numFmtId="0" fontId="6" fillId="8" borderId="207" applyNumberFormat="0" applyAlignment="0" applyProtection="0"/>
    <xf numFmtId="0" fontId="6" fillId="8" borderId="208" applyNumberFormat="0" applyAlignment="0" applyProtection="0"/>
    <xf numFmtId="0" fontId="6" fillId="8" borderId="220" applyNumberFormat="0" applyAlignment="0" applyProtection="0"/>
    <xf numFmtId="0" fontId="6" fillId="8" borderId="214" applyNumberFormat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962">
    <xf numFmtId="0" fontId="0" fillId="0" borderId="0" xfId="0"/>
    <xf numFmtId="168" fontId="0" fillId="0" borderId="0" xfId="16" applyFont="1"/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9" borderId="0" xfId="0" applyFont="1" applyFill="1" applyAlignment="1">
      <alignment horizontal="left" vertical="center"/>
    </xf>
    <xf numFmtId="167" fontId="14" fillId="9" borderId="0" xfId="13" applyNumberFormat="1" applyFont="1" applyFill="1" applyAlignment="1">
      <alignment vertical="center"/>
    </xf>
    <xf numFmtId="165" fontId="14" fillId="0" borderId="0" xfId="13" applyFont="1" applyAlignment="1">
      <alignment vertical="center"/>
    </xf>
    <xf numFmtId="170" fontId="14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67" fontId="14" fillId="0" borderId="0" xfId="0" applyNumberFormat="1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65" fontId="0" fillId="0" borderId="0" xfId="13" applyFont="1" applyAlignment="1">
      <alignment vertical="center"/>
    </xf>
    <xf numFmtId="168" fontId="17" fillId="0" borderId="0" xfId="16" applyFont="1" applyAlignment="1">
      <alignment vertical="center"/>
    </xf>
    <xf numFmtId="173" fontId="0" fillId="0" borderId="0" xfId="12" applyNumberFormat="1" applyFont="1" applyAlignment="1">
      <alignment vertical="center"/>
    </xf>
    <xf numFmtId="0" fontId="0" fillId="11" borderId="0" xfId="0" applyFill="1" applyAlignment="1">
      <alignment horizontal="left" vertical="center"/>
    </xf>
    <xf numFmtId="176" fontId="0" fillId="11" borderId="0" xfId="0" applyNumberFormat="1" applyFill="1" applyAlignment="1">
      <alignment horizontal="right" vertical="center"/>
    </xf>
    <xf numFmtId="0" fontId="0" fillId="11" borderId="0" xfId="0" applyFill="1"/>
    <xf numFmtId="176" fontId="14" fillId="11" borderId="0" xfId="0" applyNumberFormat="1" applyFont="1" applyFill="1" applyAlignment="1">
      <alignment horizontal="right" vertical="center"/>
    </xf>
    <xf numFmtId="9" fontId="0" fillId="11" borderId="0" xfId="0" applyNumberFormat="1" applyFill="1" applyAlignment="1">
      <alignment horizontal="center" vertical="center"/>
    </xf>
    <xf numFmtId="176" fontId="0" fillId="0" borderId="0" xfId="0" applyNumberFormat="1"/>
    <xf numFmtId="176" fontId="0" fillId="11" borderId="0" xfId="0" applyNumberFormat="1" applyFill="1"/>
    <xf numFmtId="0" fontId="0" fillId="11" borderId="0" xfId="0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168" fontId="14" fillId="0" borderId="0" xfId="16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" fontId="0" fillId="0" borderId="0" xfId="16" applyNumberFormat="1" applyFont="1"/>
    <xf numFmtId="0" fontId="14" fillId="0" borderId="0" xfId="0" applyFont="1" applyAlignment="1">
      <alignment horizontal="center"/>
    </xf>
    <xf numFmtId="176" fontId="14" fillId="0" borderId="0" xfId="0" applyNumberFormat="1" applyFont="1" applyAlignment="1">
      <alignment horizontal="center" vertical="center" wrapText="1"/>
    </xf>
    <xf numFmtId="0" fontId="14" fillId="16" borderId="19" xfId="0" applyFont="1" applyFill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76" fontId="14" fillId="26" borderId="19" xfId="0" applyNumberFormat="1" applyFont="1" applyFill="1" applyBorder="1" applyAlignment="1">
      <alignment horizontal="center" vertical="center"/>
    </xf>
    <xf numFmtId="169" fontId="14" fillId="19" borderId="19" xfId="16" applyNumberFormat="1" applyFont="1" applyFill="1" applyBorder="1" applyAlignment="1">
      <alignment horizontal="center" vertical="center"/>
    </xf>
    <xf numFmtId="176" fontId="0" fillId="26" borderId="19" xfId="0" applyNumberFormat="1" applyFill="1" applyBorder="1" applyAlignment="1">
      <alignment horizontal="center" vertical="center"/>
    </xf>
    <xf numFmtId="176" fontId="24" fillId="26" borderId="15" xfId="0" applyNumberFormat="1" applyFont="1" applyFill="1" applyBorder="1" applyAlignment="1">
      <alignment horizontal="right" vertical="center"/>
    </xf>
    <xf numFmtId="168" fontId="16" fillId="19" borderId="6" xfId="16" applyFont="1" applyFill="1" applyBorder="1" applyAlignment="1">
      <alignment horizontal="center" vertical="center"/>
    </xf>
    <xf numFmtId="177" fontId="0" fillId="0" borderId="0" xfId="13" applyNumberFormat="1" applyFont="1" applyAlignment="1">
      <alignment vertical="center"/>
    </xf>
    <xf numFmtId="0" fontId="0" fillId="12" borderId="26" xfId="0" applyFill="1" applyBorder="1" applyAlignment="1" applyProtection="1">
      <alignment horizontal="left" vertical="center"/>
      <protection locked="0"/>
    </xf>
    <xf numFmtId="0" fontId="0" fillId="12" borderId="31" xfId="0" applyFill="1" applyBorder="1" applyAlignment="1" applyProtection="1">
      <alignment horizontal="left" vertical="center"/>
      <protection locked="0"/>
    </xf>
    <xf numFmtId="0" fontId="0" fillId="12" borderId="14" xfId="0" applyFill="1" applyBorder="1" applyAlignment="1" applyProtection="1">
      <alignment horizontal="left" vertical="center"/>
      <protection locked="0"/>
    </xf>
    <xf numFmtId="0" fontId="0" fillId="12" borderId="20" xfId="0" applyFill="1" applyBorder="1" applyAlignment="1" applyProtection="1">
      <alignment horizontal="left" vertical="center"/>
      <protection locked="0"/>
    </xf>
    <xf numFmtId="0" fontId="0" fillId="12" borderId="20" xfId="0" applyFill="1" applyBorder="1" applyProtection="1">
      <protection locked="0"/>
    </xf>
    <xf numFmtId="0" fontId="0" fillId="12" borderId="17" xfId="0" applyFill="1" applyBorder="1" applyProtection="1">
      <protection locked="0"/>
    </xf>
    <xf numFmtId="168" fontId="15" fillId="0" borderId="19" xfId="16" applyBorder="1" applyAlignment="1">
      <alignment horizontal="center" vertical="center"/>
    </xf>
    <xf numFmtId="168" fontId="14" fillId="16" borderId="19" xfId="16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 wrapText="1"/>
      <protection locked="0"/>
    </xf>
    <xf numFmtId="167" fontId="14" fillId="34" borderId="44" xfId="0" applyNumberFormat="1" applyFont="1" applyFill="1" applyBorder="1" applyAlignment="1">
      <alignment horizontal="center" vertical="center" wrapText="1"/>
    </xf>
    <xf numFmtId="167" fontId="14" fillId="34" borderId="47" xfId="0" applyNumberFormat="1" applyFont="1" applyFill="1" applyBorder="1" applyAlignment="1">
      <alignment horizontal="center" vertical="center" wrapText="1"/>
    </xf>
    <xf numFmtId="0" fontId="0" fillId="12" borderId="49" xfId="0" applyFill="1" applyBorder="1" applyProtection="1">
      <protection locked="0"/>
    </xf>
    <xf numFmtId="0" fontId="29" fillId="0" borderId="0" xfId="0" applyFont="1" applyAlignment="1">
      <alignment horizontal="center" vertical="center" wrapText="1"/>
    </xf>
    <xf numFmtId="168" fontId="30" fillId="0" borderId="0" xfId="16" applyFont="1" applyAlignment="1">
      <alignment horizontal="center" vertical="center"/>
    </xf>
    <xf numFmtId="0" fontId="14" fillId="0" borderId="2" xfId="0" applyFont="1" applyBorder="1" applyAlignment="1">
      <alignment horizontal="right" vertical="center"/>
    </xf>
    <xf numFmtId="0" fontId="26" fillId="11" borderId="0" xfId="0" applyFont="1" applyFill="1" applyAlignment="1">
      <alignment horizontal="left" vertical="center" indent="2"/>
    </xf>
    <xf numFmtId="0" fontId="26" fillId="0" borderId="0" xfId="0" applyFont="1" applyAlignment="1">
      <alignment horizontal="left" vertical="center" indent="2"/>
    </xf>
    <xf numFmtId="0" fontId="0" fillId="12" borderId="64" xfId="0" applyFill="1" applyBorder="1" applyProtection="1">
      <protection locked="0"/>
    </xf>
    <xf numFmtId="177" fontId="0" fillId="12" borderId="65" xfId="13" applyNumberFormat="1" applyFont="1" applyFill="1" applyBorder="1" applyAlignment="1" applyProtection="1">
      <alignment vertical="center"/>
      <protection locked="0"/>
    </xf>
    <xf numFmtId="177" fontId="0" fillId="12" borderId="66" xfId="13" applyNumberFormat="1" applyFont="1" applyFill="1" applyBorder="1" applyAlignment="1" applyProtection="1">
      <alignment vertical="center"/>
      <protection locked="0"/>
    </xf>
    <xf numFmtId="0" fontId="0" fillId="12" borderId="67" xfId="0" applyFill="1" applyBorder="1" applyAlignment="1" applyProtection="1">
      <alignment horizontal="left" vertical="center"/>
      <protection locked="0"/>
    </xf>
    <xf numFmtId="0" fontId="0" fillId="12" borderId="67" xfId="0" applyFill="1" applyBorder="1" applyProtection="1">
      <protection locked="0"/>
    </xf>
    <xf numFmtId="0" fontId="0" fillId="12" borderId="68" xfId="0" applyFill="1" applyBorder="1" applyProtection="1">
      <protection locked="0"/>
    </xf>
    <xf numFmtId="177" fontId="0" fillId="12" borderId="67" xfId="13" applyNumberFormat="1" applyFont="1" applyFill="1" applyBorder="1" applyAlignment="1" applyProtection="1">
      <alignment vertical="center"/>
      <protection locked="0"/>
    </xf>
    <xf numFmtId="0" fontId="0" fillId="12" borderId="65" xfId="0" applyFill="1" applyBorder="1" applyAlignment="1" applyProtection="1">
      <alignment horizontal="left" vertical="center"/>
      <protection locked="0"/>
    </xf>
    <xf numFmtId="0" fontId="0" fillId="12" borderId="65" xfId="0" applyFill="1" applyBorder="1" applyProtection="1">
      <protection locked="0"/>
    </xf>
    <xf numFmtId="0" fontId="0" fillId="12" borderId="70" xfId="0" applyFill="1" applyBorder="1" applyProtection="1">
      <protection locked="0"/>
    </xf>
    <xf numFmtId="0" fontId="0" fillId="12" borderId="62" xfId="0" applyFill="1" applyBorder="1" applyAlignment="1" applyProtection="1">
      <alignment horizontal="left" vertical="center"/>
      <protection locked="0"/>
    </xf>
    <xf numFmtId="0" fontId="0" fillId="12" borderId="62" xfId="0" applyFill="1" applyBorder="1" applyProtection="1">
      <protection locked="0"/>
    </xf>
    <xf numFmtId="0" fontId="0" fillId="12" borderId="66" xfId="0" applyFill="1" applyBorder="1" applyAlignment="1" applyProtection="1">
      <alignment horizontal="left" vertical="center"/>
      <protection locked="0"/>
    </xf>
    <xf numFmtId="0" fontId="0" fillId="12" borderId="66" xfId="0" applyFill="1" applyBorder="1" applyProtection="1">
      <protection locked="0"/>
    </xf>
    <xf numFmtId="0" fontId="0" fillId="12" borderId="72" xfId="0" applyFill="1" applyBorder="1" applyProtection="1">
      <protection locked="0"/>
    </xf>
    <xf numFmtId="176" fontId="0" fillId="0" borderId="73" xfId="0" applyNumberFormat="1" applyBorder="1" applyAlignment="1">
      <alignment horizontal="right" vertical="center"/>
    </xf>
    <xf numFmtId="176" fontId="0" fillId="0" borderId="75" xfId="0" applyNumberFormat="1" applyBorder="1" applyAlignment="1">
      <alignment horizontal="right" vertical="center"/>
    </xf>
    <xf numFmtId="176" fontId="0" fillId="0" borderId="76" xfId="0" applyNumberFormat="1" applyBorder="1" applyAlignment="1">
      <alignment horizontal="right" vertical="center"/>
    </xf>
    <xf numFmtId="177" fontId="0" fillId="12" borderId="70" xfId="13" applyNumberFormat="1" applyFont="1" applyFill="1" applyBorder="1" applyAlignment="1" applyProtection="1">
      <alignment vertical="center"/>
      <protection locked="0"/>
    </xf>
    <xf numFmtId="177" fontId="0" fillId="12" borderId="72" xfId="13" applyNumberFormat="1" applyFont="1" applyFill="1" applyBorder="1" applyAlignment="1" applyProtection="1">
      <alignment vertical="center"/>
      <protection locked="0"/>
    </xf>
    <xf numFmtId="177" fontId="0" fillId="12" borderId="68" xfId="13" applyNumberFormat="1" applyFont="1" applyFill="1" applyBorder="1" applyAlignment="1" applyProtection="1">
      <alignment vertical="center"/>
      <protection locked="0"/>
    </xf>
    <xf numFmtId="176" fontId="0" fillId="29" borderId="75" xfId="0" applyNumberFormat="1" applyFill="1" applyBorder="1" applyAlignment="1">
      <alignment horizontal="right" vertical="center"/>
    </xf>
    <xf numFmtId="176" fontId="0" fillId="29" borderId="76" xfId="0" applyNumberFormat="1" applyFill="1" applyBorder="1" applyAlignment="1">
      <alignment horizontal="right" vertical="center"/>
    </xf>
    <xf numFmtId="176" fontId="0" fillId="29" borderId="73" xfId="0" applyNumberFormat="1" applyFill="1" applyBorder="1" applyAlignment="1">
      <alignment horizontal="right" vertical="center"/>
    </xf>
    <xf numFmtId="176" fontId="0" fillId="29" borderId="69" xfId="0" applyNumberFormat="1" applyFill="1" applyBorder="1" applyAlignment="1">
      <alignment horizontal="right" vertical="center"/>
    </xf>
    <xf numFmtId="176" fontId="0" fillId="29" borderId="77" xfId="0" applyNumberFormat="1" applyFill="1" applyBorder="1" applyAlignment="1">
      <alignment horizontal="right" vertical="center"/>
    </xf>
    <xf numFmtId="176" fontId="0" fillId="0" borderId="69" xfId="0" applyNumberFormat="1" applyBorder="1" applyAlignment="1">
      <alignment horizontal="right" vertical="center"/>
    </xf>
    <xf numFmtId="176" fontId="0" fillId="0" borderId="77" xfId="0" applyNumberFormat="1" applyBorder="1" applyAlignment="1">
      <alignment horizontal="right" vertical="center"/>
    </xf>
    <xf numFmtId="0" fontId="0" fillId="12" borderId="78" xfId="0" applyFill="1" applyBorder="1" applyAlignment="1" applyProtection="1">
      <alignment horizontal="left" vertical="center"/>
      <protection locked="0"/>
    </xf>
    <xf numFmtId="0" fontId="0" fillId="12" borderId="79" xfId="0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vertical="center"/>
    </xf>
    <xf numFmtId="0" fontId="12" fillId="23" borderId="66" xfId="0" applyFont="1" applyFill="1" applyBorder="1" applyAlignment="1">
      <alignment horizontal="left" vertical="center"/>
    </xf>
    <xf numFmtId="0" fontId="12" fillId="20" borderId="66" xfId="0" applyFont="1" applyFill="1" applyBorder="1" applyAlignment="1">
      <alignment horizontal="left" vertical="center"/>
    </xf>
    <xf numFmtId="174" fontId="20" fillId="0" borderId="66" xfId="0" applyNumberFormat="1" applyFont="1" applyBorder="1" applyAlignment="1">
      <alignment horizontal="left"/>
    </xf>
    <xf numFmtId="0" fontId="14" fillId="21" borderId="66" xfId="0" applyFont="1" applyFill="1" applyBorder="1" applyAlignment="1">
      <alignment horizontal="center" vertical="center"/>
    </xf>
    <xf numFmtId="0" fontId="14" fillId="20" borderId="66" xfId="0" applyFont="1" applyFill="1" applyBorder="1" applyAlignment="1">
      <alignment horizontal="center" vertical="center" wrapText="1"/>
    </xf>
    <xf numFmtId="1" fontId="0" fillId="0" borderId="66" xfId="0" applyNumberFormat="1" applyBorder="1" applyAlignment="1">
      <alignment horizontal="center" vertical="center" wrapText="1"/>
    </xf>
    <xf numFmtId="167" fontId="12" fillId="23" borderId="66" xfId="13" applyNumberFormat="1" applyFont="1" applyFill="1" applyBorder="1" applyAlignment="1">
      <alignment horizontal="center" vertical="center"/>
    </xf>
    <xf numFmtId="167" fontId="12" fillId="20" borderId="66" xfId="13" applyNumberFormat="1" applyFont="1" applyFill="1" applyBorder="1" applyAlignment="1">
      <alignment horizontal="center" vertical="center"/>
    </xf>
    <xf numFmtId="167" fontId="0" fillId="12" borderId="66" xfId="13" applyNumberFormat="1" applyFont="1" applyFill="1" applyBorder="1" applyAlignment="1" applyProtection="1">
      <alignment vertical="center"/>
      <protection locked="0"/>
    </xf>
    <xf numFmtId="0" fontId="14" fillId="30" borderId="66" xfId="0" applyFont="1" applyFill="1" applyBorder="1" applyAlignment="1">
      <alignment horizontal="center" vertical="center" wrapText="1"/>
    </xf>
    <xf numFmtId="0" fontId="14" fillId="31" borderId="66" xfId="0" applyFont="1" applyFill="1" applyBorder="1" applyAlignment="1">
      <alignment horizontal="left" vertical="center"/>
    </xf>
    <xf numFmtId="167" fontId="14" fillId="30" borderId="66" xfId="0" applyNumberFormat="1" applyFont="1" applyFill="1" applyBorder="1" applyAlignment="1">
      <alignment horizontal="center" vertical="center" wrapText="1"/>
    </xf>
    <xf numFmtId="9" fontId="0" fillId="12" borderId="80" xfId="0" applyNumberFormat="1" applyFill="1" applyBorder="1" applyAlignment="1" applyProtection="1">
      <alignment horizontal="center" vertical="center"/>
      <protection locked="0"/>
    </xf>
    <xf numFmtId="181" fontId="0" fillId="11" borderId="0" xfId="0" applyNumberFormat="1" applyFill="1"/>
    <xf numFmtId="180" fontId="0" fillId="11" borderId="0" xfId="0" applyNumberFormat="1" applyFill="1"/>
    <xf numFmtId="179" fontId="15" fillId="36" borderId="101" xfId="16" applyNumberFormat="1" applyFill="1" applyBorder="1" applyAlignment="1">
      <alignment horizontal="center" vertical="center"/>
    </xf>
    <xf numFmtId="179" fontId="15" fillId="36" borderId="102" xfId="16" applyNumberFormat="1" applyFill="1" applyBorder="1" applyAlignment="1">
      <alignment horizontal="center" vertical="center"/>
    </xf>
    <xf numFmtId="179" fontId="15" fillId="36" borderId="103" xfId="16" applyNumberFormat="1" applyFill="1" applyBorder="1" applyAlignment="1">
      <alignment horizontal="center" vertical="center"/>
    </xf>
    <xf numFmtId="179" fontId="15" fillId="36" borderId="104" xfId="16" applyNumberFormat="1" applyFill="1" applyBorder="1" applyAlignment="1">
      <alignment horizontal="center" vertical="center"/>
    </xf>
    <xf numFmtId="178" fontId="0" fillId="12" borderId="106" xfId="13" applyNumberFormat="1" applyFont="1" applyFill="1" applyBorder="1" applyAlignment="1" applyProtection="1">
      <alignment horizontal="center" vertical="center"/>
      <protection locked="0"/>
    </xf>
    <xf numFmtId="168" fontId="15" fillId="0" borderId="0" xfId="16"/>
    <xf numFmtId="180" fontId="15" fillId="0" borderId="0" xfId="13" applyNumberFormat="1"/>
    <xf numFmtId="0" fontId="24" fillId="12" borderId="36" xfId="0" applyFont="1" applyFill="1" applyBorder="1" applyAlignment="1" applyProtection="1">
      <alignment horizontal="center" vertical="center"/>
      <protection locked="0"/>
    </xf>
    <xf numFmtId="9" fontId="0" fillId="12" borderId="104" xfId="0" applyNumberFormat="1" applyFill="1" applyBorder="1" applyAlignment="1" applyProtection="1">
      <alignment horizontal="center" vertical="center"/>
      <protection locked="0"/>
    </xf>
    <xf numFmtId="176" fontId="0" fillId="0" borderId="105" xfId="0" applyNumberFormat="1" applyBorder="1" applyAlignment="1">
      <alignment horizontal="right" vertical="center"/>
    </xf>
    <xf numFmtId="176" fontId="0" fillId="0" borderId="70" xfId="0" applyNumberFormat="1" applyBorder="1" applyAlignment="1">
      <alignment horizontal="right" vertical="center"/>
    </xf>
    <xf numFmtId="176" fontId="0" fillId="0" borderId="113" xfId="0" applyNumberFormat="1" applyBorder="1" applyAlignment="1">
      <alignment horizontal="right" vertical="center"/>
    </xf>
    <xf numFmtId="176" fontId="0" fillId="0" borderId="99" xfId="0" applyNumberFormat="1" applyBorder="1" applyAlignment="1">
      <alignment horizontal="right" vertical="center"/>
    </xf>
    <xf numFmtId="9" fontId="0" fillId="12" borderId="108" xfId="0" applyNumberFormat="1" applyFill="1" applyBorder="1" applyAlignment="1" applyProtection="1">
      <alignment horizontal="center" vertical="center"/>
      <protection locked="0"/>
    </xf>
    <xf numFmtId="0" fontId="11" fillId="14" borderId="108" xfId="0" applyFont="1" applyFill="1" applyBorder="1" applyAlignment="1">
      <alignment horizontal="center" vertical="center"/>
    </xf>
    <xf numFmtId="0" fontId="11" fillId="45" borderId="107" xfId="0" applyFont="1" applyFill="1" applyBorder="1" applyAlignment="1">
      <alignment horizontal="center" vertical="center"/>
    </xf>
    <xf numFmtId="0" fontId="11" fillId="14" borderId="99" xfId="0" applyFont="1" applyFill="1" applyBorder="1" applyAlignment="1">
      <alignment horizontal="center" vertical="center"/>
    </xf>
    <xf numFmtId="0" fontId="11" fillId="45" borderId="120" xfId="0" applyFont="1" applyFill="1" applyBorder="1" applyAlignment="1">
      <alignment horizontal="center" vertical="center"/>
    </xf>
    <xf numFmtId="168" fontId="0" fillId="12" borderId="82" xfId="16" applyFont="1" applyFill="1" applyBorder="1" applyAlignment="1" applyProtection="1">
      <alignment horizontal="center" vertical="center"/>
      <protection locked="0"/>
    </xf>
    <xf numFmtId="168" fontId="0" fillId="12" borderId="121" xfId="16" applyFont="1" applyFill="1" applyBorder="1" applyAlignment="1" applyProtection="1">
      <alignment horizontal="center" vertical="center"/>
      <protection locked="0"/>
    </xf>
    <xf numFmtId="168" fontId="0" fillId="12" borderId="120" xfId="16" applyFont="1" applyFill="1" applyBorder="1" applyAlignment="1" applyProtection="1">
      <alignment horizontal="center" vertical="center"/>
      <protection locked="0"/>
    </xf>
    <xf numFmtId="176" fontId="0" fillId="0" borderId="102" xfId="0" applyNumberFormat="1" applyBorder="1" applyAlignment="1">
      <alignment horizontal="right" vertical="center"/>
    </xf>
    <xf numFmtId="176" fontId="0" fillId="0" borderId="107" xfId="0" applyNumberFormat="1" applyBorder="1" applyAlignment="1">
      <alignment horizontal="right" vertical="center"/>
    </xf>
    <xf numFmtId="0" fontId="26" fillId="0" borderId="0" xfId="0" applyFont="1" applyAlignment="1">
      <alignment vertical="center" wrapText="1"/>
    </xf>
    <xf numFmtId="0" fontId="11" fillId="46" borderId="108" xfId="0" applyFont="1" applyFill="1" applyBorder="1" applyAlignment="1">
      <alignment horizontal="center" vertical="center"/>
    </xf>
    <xf numFmtId="0" fontId="11" fillId="46" borderId="107" xfId="0" applyFont="1" applyFill="1" applyBorder="1" applyAlignment="1">
      <alignment horizontal="center" vertical="center"/>
    </xf>
    <xf numFmtId="168" fontId="31" fillId="0" borderId="84" xfId="16" applyFont="1" applyBorder="1" applyAlignment="1">
      <alignment horizontal="center" vertical="center"/>
    </xf>
    <xf numFmtId="168" fontId="31" fillId="0" borderId="87" xfId="16" applyFont="1" applyBorder="1" applyAlignment="1">
      <alignment horizontal="center" vertical="center"/>
    </xf>
    <xf numFmtId="176" fontId="0" fillId="27" borderId="86" xfId="0" applyNumberFormat="1" applyFill="1" applyBorder="1" applyAlignment="1">
      <alignment horizontal="right" vertical="center"/>
    </xf>
    <xf numFmtId="176" fontId="0" fillId="27" borderId="124" xfId="0" applyNumberFormat="1" applyFill="1" applyBorder="1" applyAlignment="1">
      <alignment horizontal="right" vertical="center"/>
    </xf>
    <xf numFmtId="0" fontId="0" fillId="11" borderId="126" xfId="0" applyFill="1" applyBorder="1"/>
    <xf numFmtId="0" fontId="0" fillId="11" borderId="127" xfId="0" applyFill="1" applyBorder="1"/>
    <xf numFmtId="0" fontId="0" fillId="11" borderId="128" xfId="0" applyFill="1" applyBorder="1"/>
    <xf numFmtId="0" fontId="0" fillId="11" borderId="116" xfId="0" applyFill="1" applyBorder="1"/>
    <xf numFmtId="0" fontId="0" fillId="11" borderId="60" xfId="0" applyFill="1" applyBorder="1"/>
    <xf numFmtId="0" fontId="26" fillId="0" borderId="116" xfId="0" applyFont="1" applyBorder="1" applyAlignment="1">
      <alignment vertical="center"/>
    </xf>
    <xf numFmtId="0" fontId="11" fillId="14" borderId="109" xfId="0" applyFont="1" applyFill="1" applyBorder="1" applyAlignment="1">
      <alignment horizontal="center" vertical="center"/>
    </xf>
    <xf numFmtId="0" fontId="11" fillId="14" borderId="125" xfId="0" applyFont="1" applyFill="1" applyBorder="1" applyAlignment="1">
      <alignment horizontal="center" vertical="center"/>
    </xf>
    <xf numFmtId="0" fontId="11" fillId="46" borderId="109" xfId="0" applyFont="1" applyFill="1" applyBorder="1" applyAlignment="1">
      <alignment horizontal="center" vertical="center"/>
    </xf>
    <xf numFmtId="0" fontId="11" fillId="46" borderId="125" xfId="0" applyFont="1" applyFill="1" applyBorder="1" applyAlignment="1">
      <alignment horizontal="center" vertical="center"/>
    </xf>
    <xf numFmtId="0" fontId="11" fillId="45" borderId="109" xfId="0" applyFont="1" applyFill="1" applyBorder="1" applyAlignment="1">
      <alignment horizontal="center" vertical="center"/>
    </xf>
    <xf numFmtId="0" fontId="11" fillId="45" borderId="125" xfId="0" applyFont="1" applyFill="1" applyBorder="1" applyAlignment="1">
      <alignment horizontal="center" vertical="center"/>
    </xf>
    <xf numFmtId="176" fontId="0" fillId="26" borderId="101" xfId="0" applyNumberFormat="1" applyFill="1" applyBorder="1" applyAlignment="1">
      <alignment horizontal="right" vertical="center"/>
    </xf>
    <xf numFmtId="176" fontId="0" fillId="26" borderId="102" xfId="0" applyNumberFormat="1" applyFill="1" applyBorder="1" applyAlignment="1">
      <alignment horizontal="right" vertical="center"/>
    </xf>
    <xf numFmtId="0" fontId="0" fillId="11" borderId="117" xfId="0" applyFill="1" applyBorder="1"/>
    <xf numFmtId="0" fontId="0" fillId="11" borderId="123" xfId="0" applyFill="1" applyBorder="1"/>
    <xf numFmtId="0" fontId="0" fillId="11" borderId="56" xfId="0" applyFill="1" applyBorder="1"/>
    <xf numFmtId="167" fontId="12" fillId="20" borderId="66" xfId="13" applyNumberFormat="1" applyFont="1" applyFill="1" applyBorder="1" applyAlignment="1" applyProtection="1">
      <alignment horizontal="center" vertical="center"/>
      <protection locked="0"/>
    </xf>
    <xf numFmtId="9" fontId="0" fillId="42" borderId="80" xfId="0" applyNumberFormat="1" applyFill="1" applyBorder="1" applyAlignment="1">
      <alignment horizontal="center" vertical="center"/>
    </xf>
    <xf numFmtId="9" fontId="0" fillId="42" borderId="101" xfId="0" applyNumberFormat="1" applyFill="1" applyBorder="1" applyAlignment="1">
      <alignment horizontal="center" vertical="center"/>
    </xf>
    <xf numFmtId="168" fontId="0" fillId="42" borderId="101" xfId="16" applyFont="1" applyFill="1" applyBorder="1" applyAlignment="1">
      <alignment horizontal="center" vertical="center"/>
    </xf>
    <xf numFmtId="0" fontId="14" fillId="16" borderId="125" xfId="0" applyFont="1" applyFill="1" applyBorder="1" applyAlignment="1">
      <alignment horizontal="center" vertical="center" wrapText="1"/>
    </xf>
    <xf numFmtId="176" fontId="23" fillId="28" borderId="115" xfId="0" applyNumberFormat="1" applyFont="1" applyFill="1" applyBorder="1" applyAlignment="1">
      <alignment horizontal="center" vertical="center"/>
    </xf>
    <xf numFmtId="176" fontId="24" fillId="28" borderId="48" xfId="0" applyNumberFormat="1" applyFont="1" applyFill="1" applyBorder="1" applyAlignment="1">
      <alignment vertical="center"/>
    </xf>
    <xf numFmtId="167" fontId="0" fillId="12" borderId="102" xfId="13" applyNumberFormat="1" applyFont="1" applyFill="1" applyBorder="1" applyAlignment="1" applyProtection="1">
      <alignment vertical="center"/>
      <protection locked="0"/>
    </xf>
    <xf numFmtId="0" fontId="0" fillId="12" borderId="104" xfId="0" applyFill="1" applyBorder="1" applyAlignment="1" applyProtection="1">
      <alignment horizontal="left" vertical="center"/>
      <protection locked="0"/>
    </xf>
    <xf numFmtId="167" fontId="0" fillId="12" borderId="105" xfId="13" applyNumberFormat="1" applyFont="1" applyFill="1" applyBorder="1" applyAlignment="1" applyProtection="1">
      <alignment vertical="center"/>
      <protection locked="0"/>
    </xf>
    <xf numFmtId="0" fontId="0" fillId="12" borderId="108" xfId="0" applyFill="1" applyBorder="1" applyAlignment="1" applyProtection="1">
      <alignment horizontal="left" vertical="center"/>
      <protection locked="0"/>
    </xf>
    <xf numFmtId="167" fontId="0" fillId="12" borderId="107" xfId="13" applyNumberFormat="1" applyFont="1" applyFill="1" applyBorder="1" applyAlignment="1" applyProtection="1">
      <alignment vertical="center"/>
      <protection locked="0"/>
    </xf>
    <xf numFmtId="179" fontId="15" fillId="36" borderId="108" xfId="16" applyNumberFormat="1" applyFill="1" applyBorder="1" applyAlignment="1">
      <alignment horizontal="center" vertical="center"/>
    </xf>
    <xf numFmtId="179" fontId="15" fillId="36" borderId="106" xfId="16" applyNumberFormat="1" applyFill="1" applyBorder="1" applyAlignment="1">
      <alignment horizontal="center" vertical="center"/>
    </xf>
    <xf numFmtId="179" fontId="15" fillId="36" borderId="107" xfId="16" applyNumberFormat="1" applyFill="1" applyBorder="1" applyAlignment="1">
      <alignment horizontal="center" vertical="center"/>
    </xf>
    <xf numFmtId="0" fontId="22" fillId="0" borderId="0" xfId="20" applyFill="1" applyBorder="1" applyAlignment="1" applyProtection="1">
      <alignment vertical="center"/>
    </xf>
    <xf numFmtId="0" fontId="22" fillId="11" borderId="0" xfId="20" applyFill="1" applyBorder="1" applyAlignment="1" applyProtection="1">
      <alignment vertical="center"/>
    </xf>
    <xf numFmtId="0" fontId="22" fillId="0" borderId="0" xfId="20" applyProtection="1"/>
    <xf numFmtId="0" fontId="22" fillId="0" borderId="0" xfId="20" applyBorder="1" applyAlignment="1" applyProtection="1">
      <alignment vertical="center"/>
    </xf>
    <xf numFmtId="0" fontId="22" fillId="0" borderId="0" xfId="20" applyBorder="1" applyAlignment="1" applyProtection="1">
      <alignment horizontal="left" vertical="center"/>
    </xf>
    <xf numFmtId="0" fontId="26" fillId="0" borderId="0" xfId="0" applyFont="1" applyAlignment="1">
      <alignment horizontal="left" vertical="center"/>
    </xf>
    <xf numFmtId="0" fontId="22" fillId="0" borderId="0" xfId="20" quotePrefix="1" applyBorder="1" applyAlignment="1" applyProtection="1">
      <alignment horizontal="left" vertical="center"/>
    </xf>
    <xf numFmtId="0" fontId="22" fillId="0" borderId="0" xfId="20"/>
    <xf numFmtId="0" fontId="22" fillId="11" borderId="0" xfId="20" applyFill="1" applyBorder="1" applyAlignment="1" applyProtection="1">
      <alignment horizontal="left" vertical="center"/>
    </xf>
    <xf numFmtId="0" fontId="22" fillId="0" borderId="0" xfId="20" applyAlignment="1" applyProtection="1">
      <alignment horizontal="left"/>
    </xf>
    <xf numFmtId="0" fontId="14" fillId="17" borderId="103" xfId="0" applyFont="1" applyFill="1" applyBorder="1" applyAlignment="1">
      <alignment horizontal="center" vertical="center" wrapText="1"/>
    </xf>
    <xf numFmtId="173" fontId="14" fillId="17" borderId="103" xfId="12" applyNumberFormat="1" applyFont="1" applyFill="1" applyBorder="1" applyAlignment="1">
      <alignment horizontal="center" vertical="center" wrapText="1"/>
    </xf>
    <xf numFmtId="0" fontId="12" fillId="17" borderId="103" xfId="0" applyFont="1" applyFill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4" fillId="0" borderId="0" xfId="0" applyFont="1" applyAlignment="1" applyProtection="1">
      <alignment vertical="center"/>
      <protection locked="0"/>
    </xf>
    <xf numFmtId="167" fontId="0" fillId="0" borderId="0" xfId="0" applyNumberFormat="1" applyAlignment="1">
      <alignment vertical="center"/>
    </xf>
    <xf numFmtId="167" fontId="14" fillId="0" borderId="0" xfId="0" applyNumberFormat="1" applyFont="1" applyAlignment="1">
      <alignment vertical="center"/>
    </xf>
    <xf numFmtId="0" fontId="0" fillId="12" borderId="50" xfId="0" applyFill="1" applyBorder="1" applyAlignment="1" applyProtection="1">
      <alignment horizontal="left" vertical="center"/>
      <protection locked="0"/>
    </xf>
    <xf numFmtId="178" fontId="0" fillId="12" borderId="144" xfId="13" applyNumberFormat="1" applyFont="1" applyFill="1" applyBorder="1" applyAlignment="1" applyProtection="1">
      <alignment horizontal="center" vertical="center"/>
      <protection locked="0"/>
    </xf>
    <xf numFmtId="167" fontId="0" fillId="0" borderId="152" xfId="0" applyNumberFormat="1" applyBorder="1" applyAlignment="1">
      <alignment vertical="center"/>
    </xf>
    <xf numFmtId="167" fontId="14" fillId="34" borderId="153" xfId="0" applyNumberFormat="1" applyFont="1" applyFill="1" applyBorder="1" applyAlignment="1">
      <alignment horizontal="center" vertical="center" wrapText="1"/>
    </xf>
    <xf numFmtId="167" fontId="14" fillId="34" borderId="154" xfId="0" applyNumberFormat="1" applyFont="1" applyFill="1" applyBorder="1" applyAlignment="1">
      <alignment horizontal="center" vertical="center" wrapText="1"/>
    </xf>
    <xf numFmtId="167" fontId="14" fillId="34" borderId="155" xfId="0" applyNumberFormat="1" applyFont="1" applyFill="1" applyBorder="1" applyAlignment="1">
      <alignment horizontal="center" vertical="center" wrapText="1"/>
    </xf>
    <xf numFmtId="167" fontId="0" fillId="10" borderId="103" xfId="13" applyNumberFormat="1" applyFont="1" applyFill="1" applyBorder="1" applyAlignment="1">
      <alignment horizontal="right" vertical="center"/>
    </xf>
    <xf numFmtId="172" fontId="0" fillId="0" borderId="103" xfId="12" applyNumberFormat="1" applyFont="1" applyBorder="1" applyAlignment="1">
      <alignment vertical="center"/>
    </xf>
    <xf numFmtId="167" fontId="15" fillId="0" borderId="101" xfId="13" applyNumberFormat="1" applyBorder="1" applyAlignment="1">
      <alignment vertical="center"/>
    </xf>
    <xf numFmtId="167" fontId="0" fillId="10" borderId="101" xfId="13" applyNumberFormat="1" applyFont="1" applyFill="1" applyBorder="1" applyAlignment="1">
      <alignment horizontal="right" vertical="center"/>
    </xf>
    <xf numFmtId="167" fontId="14" fillId="39" borderId="158" xfId="0" applyNumberFormat="1" applyFont="1" applyFill="1" applyBorder="1" applyAlignment="1">
      <alignment vertical="center"/>
    </xf>
    <xf numFmtId="167" fontId="14" fillId="39" borderId="106" xfId="13" applyNumberFormat="1" applyFont="1" applyFill="1" applyBorder="1" applyAlignment="1">
      <alignment vertical="center"/>
    </xf>
    <xf numFmtId="167" fontId="14" fillId="39" borderId="106" xfId="13" applyNumberFormat="1" applyFont="1" applyFill="1" applyBorder="1" applyAlignment="1">
      <alignment horizontal="right" vertical="center"/>
    </xf>
    <xf numFmtId="167" fontId="15" fillId="0" borderId="50" xfId="13" applyNumberFormat="1" applyBorder="1" applyAlignment="1">
      <alignment vertical="center"/>
    </xf>
    <xf numFmtId="167" fontId="15" fillId="0" borderId="102" xfId="13" applyNumberFormat="1" applyBorder="1" applyAlignment="1">
      <alignment vertical="center"/>
    </xf>
    <xf numFmtId="172" fontId="0" fillId="0" borderId="104" xfId="12" applyNumberFormat="1" applyFont="1" applyBorder="1" applyAlignment="1">
      <alignment vertical="center"/>
    </xf>
    <xf numFmtId="172" fontId="0" fillId="0" borderId="105" xfId="12" applyNumberFormat="1" applyFont="1" applyBorder="1" applyAlignment="1">
      <alignment vertical="center"/>
    </xf>
    <xf numFmtId="167" fontId="14" fillId="39" borderId="108" xfId="13" applyNumberFormat="1" applyFont="1" applyFill="1" applyBorder="1" applyAlignment="1">
      <alignment vertical="center"/>
    </xf>
    <xf numFmtId="167" fontId="14" fillId="39" borderId="107" xfId="13" applyNumberFormat="1" applyFont="1" applyFill="1" applyBorder="1" applyAlignment="1">
      <alignment vertical="center"/>
    </xf>
    <xf numFmtId="167" fontId="0" fillId="10" borderId="140" xfId="13" applyNumberFormat="1" applyFont="1" applyFill="1" applyBorder="1" applyAlignment="1">
      <alignment horizontal="right" vertical="center"/>
    </xf>
    <xf numFmtId="167" fontId="0" fillId="10" borderId="121" xfId="13" applyNumberFormat="1" applyFont="1" applyFill="1" applyBorder="1" applyAlignment="1">
      <alignment horizontal="right" vertical="center"/>
    </xf>
    <xf numFmtId="167" fontId="14" fillId="39" borderId="120" xfId="13" applyNumberFormat="1" applyFont="1" applyFill="1" applyBorder="1" applyAlignment="1">
      <alignment horizontal="right" vertical="center"/>
    </xf>
    <xf numFmtId="167" fontId="15" fillId="42" borderId="54" xfId="13" applyNumberFormat="1" applyFill="1" applyBorder="1" applyAlignment="1">
      <alignment vertical="center"/>
    </xf>
    <xf numFmtId="172" fontId="0" fillId="12" borderId="113" xfId="12" applyNumberFormat="1" applyFont="1" applyFill="1" applyBorder="1" applyAlignment="1" applyProtection="1">
      <alignment vertical="center"/>
      <protection locked="0"/>
    </xf>
    <xf numFmtId="167" fontId="14" fillId="39" borderId="99" xfId="13" applyNumberFormat="1" applyFont="1" applyFill="1" applyBorder="1" applyAlignment="1">
      <alignment vertical="center"/>
    </xf>
    <xf numFmtId="167" fontId="14" fillId="39" borderId="133" xfId="13" applyNumberFormat="1" applyFont="1" applyFill="1" applyBorder="1" applyAlignment="1">
      <alignment horizontal="right" vertical="center"/>
    </xf>
    <xf numFmtId="0" fontId="14" fillId="15" borderId="139" xfId="0" applyFont="1" applyFill="1" applyBorder="1" applyAlignment="1">
      <alignment horizontal="center" vertical="center" wrapText="1"/>
    </xf>
    <xf numFmtId="167" fontId="19" fillId="35" borderId="91" xfId="0" applyNumberFormat="1" applyFont="1" applyFill="1" applyBorder="1" applyAlignment="1">
      <alignment horizontal="center" vertical="center" wrapText="1"/>
    </xf>
    <xf numFmtId="167" fontId="19" fillId="35" borderId="168" xfId="0" applyNumberFormat="1" applyFont="1" applyFill="1" applyBorder="1" applyAlignment="1">
      <alignment horizontal="center" vertical="center" wrapText="1"/>
    </xf>
    <xf numFmtId="0" fontId="19" fillId="35" borderId="90" xfId="0" applyFont="1" applyFill="1" applyBorder="1" applyAlignment="1">
      <alignment horizontal="center" vertical="center" wrapText="1"/>
    </xf>
    <xf numFmtId="0" fontId="19" fillId="25" borderId="169" xfId="0" applyFont="1" applyFill="1" applyBorder="1" applyAlignment="1">
      <alignment horizontal="center" vertical="center" wrapText="1"/>
    </xf>
    <xf numFmtId="0" fontId="19" fillId="25" borderId="166" xfId="0" applyFont="1" applyFill="1" applyBorder="1" applyAlignment="1">
      <alignment horizontal="center" vertical="center" wrapText="1"/>
    </xf>
    <xf numFmtId="0" fontId="19" fillId="25" borderId="91" xfId="0" applyFont="1" applyFill="1" applyBorder="1" applyAlignment="1">
      <alignment horizontal="center" vertical="center" wrapText="1"/>
    </xf>
    <xf numFmtId="0" fontId="14" fillId="15" borderId="94" xfId="0" applyFont="1" applyFill="1" applyBorder="1" applyAlignment="1">
      <alignment horizontal="center" vertical="center" wrapText="1"/>
    </xf>
    <xf numFmtId="0" fontId="14" fillId="0" borderId="170" xfId="0" applyFont="1" applyBorder="1" applyAlignment="1">
      <alignment horizontal="left" vertical="center"/>
    </xf>
    <xf numFmtId="167" fontId="0" fillId="29" borderId="146" xfId="13" applyNumberFormat="1" applyFont="1" applyFill="1" applyBorder="1" applyAlignment="1">
      <alignment vertical="center"/>
    </xf>
    <xf numFmtId="167" fontId="0" fillId="29" borderId="152" xfId="13" applyNumberFormat="1" applyFont="1" applyFill="1" applyBorder="1" applyAlignment="1">
      <alignment vertical="center"/>
    </xf>
    <xf numFmtId="167" fontId="14" fillId="29" borderId="171" xfId="13" applyNumberFormat="1" applyFont="1" applyFill="1" applyBorder="1" applyAlignment="1">
      <alignment vertical="center"/>
    </xf>
    <xf numFmtId="167" fontId="0" fillId="19" borderId="172" xfId="13" applyNumberFormat="1" applyFont="1" applyFill="1" applyBorder="1" applyAlignment="1">
      <alignment vertical="center"/>
    </xf>
    <xf numFmtId="167" fontId="0" fillId="19" borderId="173" xfId="13" applyNumberFormat="1" applyFont="1" applyFill="1" applyBorder="1" applyAlignment="1">
      <alignment vertical="center"/>
    </xf>
    <xf numFmtId="167" fontId="14" fillId="19" borderId="146" xfId="13" applyNumberFormat="1" applyFont="1" applyFill="1" applyBorder="1" applyAlignment="1">
      <alignment vertical="center"/>
    </xf>
    <xf numFmtId="167" fontId="14" fillId="0" borderId="174" xfId="13" applyNumberFormat="1" applyFont="1" applyBorder="1" applyAlignment="1">
      <alignment vertical="center"/>
    </xf>
    <xf numFmtId="0" fontId="14" fillId="15" borderId="175" xfId="0" applyFont="1" applyFill="1" applyBorder="1" applyAlignment="1">
      <alignment horizontal="center" vertical="center"/>
    </xf>
    <xf numFmtId="167" fontId="23" fillId="15" borderId="176" xfId="13" applyNumberFormat="1" applyFont="1" applyFill="1" applyBorder="1" applyAlignment="1">
      <alignment vertical="center"/>
    </xf>
    <xf numFmtId="167" fontId="14" fillId="39" borderId="147" xfId="13" applyNumberFormat="1" applyFont="1" applyFill="1" applyBorder="1" applyAlignment="1">
      <alignment horizontal="right" vertical="center"/>
    </xf>
    <xf numFmtId="167" fontId="14" fillId="39" borderId="177" xfId="13" applyNumberFormat="1" applyFont="1" applyFill="1" applyBorder="1" applyAlignment="1">
      <alignment horizontal="right" vertical="center"/>
    </xf>
    <xf numFmtId="167" fontId="14" fillId="39" borderId="178" xfId="13" applyNumberFormat="1" applyFont="1" applyFill="1" applyBorder="1" applyAlignment="1">
      <alignment vertical="center"/>
    </xf>
    <xf numFmtId="167" fontId="14" fillId="39" borderId="114" xfId="13" applyNumberFormat="1" applyFont="1" applyFill="1" applyBorder="1" applyAlignment="1">
      <alignment horizontal="right" vertical="center"/>
    </xf>
    <xf numFmtId="169" fontId="0" fillId="44" borderId="106" xfId="13" applyNumberFormat="1" applyFont="1" applyFill="1" applyBorder="1" applyAlignment="1">
      <alignment horizontal="center" vertical="center"/>
    </xf>
    <xf numFmtId="166" fontId="0" fillId="0" borderId="110" xfId="13" applyNumberFormat="1" applyFont="1" applyBorder="1" applyAlignment="1">
      <alignment vertical="center"/>
    </xf>
    <xf numFmtId="166" fontId="0" fillId="0" borderId="184" xfId="13" applyNumberFormat="1" applyFont="1" applyBorder="1" applyAlignment="1">
      <alignment vertical="center"/>
    </xf>
    <xf numFmtId="166" fontId="0" fillId="0" borderId="111" xfId="13" applyNumberFormat="1" applyFont="1" applyBorder="1" applyAlignment="1">
      <alignment vertical="center"/>
    </xf>
    <xf numFmtId="167" fontId="0" fillId="29" borderId="103" xfId="13" applyNumberFormat="1" applyFont="1" applyFill="1" applyBorder="1" applyAlignment="1">
      <alignment vertical="center"/>
    </xf>
    <xf numFmtId="167" fontId="0" fillId="29" borderId="50" xfId="13" applyNumberFormat="1" applyFont="1" applyFill="1" applyBorder="1" applyAlignment="1">
      <alignment vertical="center"/>
    </xf>
    <xf numFmtId="167" fontId="0" fillId="29" borderId="101" xfId="13" applyNumberFormat="1" applyFont="1" applyFill="1" applyBorder="1" applyAlignment="1">
      <alignment vertical="center"/>
    </xf>
    <xf numFmtId="167" fontId="0" fillId="29" borderId="102" xfId="13" applyNumberFormat="1" applyFont="1" applyFill="1" applyBorder="1" applyAlignment="1">
      <alignment vertical="center"/>
    </xf>
    <xf numFmtId="167" fontId="0" fillId="29" borderId="104" xfId="13" applyNumberFormat="1" applyFont="1" applyFill="1" applyBorder="1" applyAlignment="1">
      <alignment vertical="center"/>
    </xf>
    <xf numFmtId="167" fontId="0" fillId="29" borderId="105" xfId="13" applyNumberFormat="1" applyFont="1" applyFill="1" applyBorder="1" applyAlignment="1">
      <alignment vertical="center"/>
    </xf>
    <xf numFmtId="167" fontId="0" fillId="29" borderId="108" xfId="13" applyNumberFormat="1" applyFont="1" applyFill="1" applyBorder="1" applyAlignment="1">
      <alignment vertical="center"/>
    </xf>
    <xf numFmtId="167" fontId="0" fillId="29" borderId="106" xfId="13" applyNumberFormat="1" applyFont="1" applyFill="1" applyBorder="1" applyAlignment="1">
      <alignment vertical="center"/>
    </xf>
    <xf numFmtId="167" fontId="0" fillId="29" borderId="107" xfId="13" applyNumberFormat="1" applyFont="1" applyFill="1" applyBorder="1" applyAlignment="1">
      <alignment vertical="center"/>
    </xf>
    <xf numFmtId="167" fontId="0" fillId="36" borderId="108" xfId="13" applyNumberFormat="1" applyFont="1" applyFill="1" applyBorder="1" applyAlignment="1">
      <alignment vertical="center"/>
    </xf>
    <xf numFmtId="167" fontId="0" fillId="36" borderId="106" xfId="13" applyNumberFormat="1" applyFont="1" applyFill="1" applyBorder="1" applyAlignment="1">
      <alignment vertical="center"/>
    </xf>
    <xf numFmtId="167" fontId="0" fillId="36" borderId="99" xfId="13" applyNumberFormat="1" applyFont="1" applyFill="1" applyBorder="1" applyAlignment="1">
      <alignment vertical="center"/>
    </xf>
    <xf numFmtId="167" fontId="0" fillId="0" borderId="108" xfId="13" applyNumberFormat="1" applyFont="1" applyBorder="1" applyAlignment="1">
      <alignment vertical="center"/>
    </xf>
    <xf numFmtId="167" fontId="0" fillId="0" borderId="106" xfId="13" applyNumberFormat="1" applyFont="1" applyBorder="1" applyAlignment="1">
      <alignment vertical="center"/>
    </xf>
    <xf numFmtId="169" fontId="0" fillId="0" borderId="106" xfId="0" applyNumberFormat="1" applyBorder="1" applyAlignment="1">
      <alignment horizontal="center" vertical="center"/>
    </xf>
    <xf numFmtId="169" fontId="0" fillId="0" borderId="107" xfId="0" applyNumberFormat="1" applyBorder="1" applyAlignment="1">
      <alignment horizontal="center" vertical="center"/>
    </xf>
    <xf numFmtId="167" fontId="14" fillId="34" borderId="185" xfId="0" applyNumberFormat="1" applyFont="1" applyFill="1" applyBorder="1" applyAlignment="1">
      <alignment horizontal="center" vertical="center" wrapText="1"/>
    </xf>
    <xf numFmtId="167" fontId="14" fillId="34" borderId="186" xfId="0" applyNumberFormat="1" applyFont="1" applyFill="1" applyBorder="1" applyAlignment="1">
      <alignment horizontal="center" vertical="center" wrapText="1"/>
    </xf>
    <xf numFmtId="167" fontId="14" fillId="34" borderId="187" xfId="0" applyNumberFormat="1" applyFont="1" applyFill="1" applyBorder="1" applyAlignment="1">
      <alignment horizontal="center" vertical="center" wrapText="1"/>
    </xf>
    <xf numFmtId="167" fontId="14" fillId="15" borderId="188" xfId="0" applyNumberFormat="1" applyFont="1" applyFill="1" applyBorder="1" applyAlignment="1">
      <alignment horizontal="center" vertical="center" wrapText="1"/>
    </xf>
    <xf numFmtId="167" fontId="14" fillId="15" borderId="186" xfId="0" applyNumberFormat="1" applyFont="1" applyFill="1" applyBorder="1" applyAlignment="1">
      <alignment horizontal="center" vertical="center" wrapText="1"/>
    </xf>
    <xf numFmtId="167" fontId="14" fillId="15" borderId="189" xfId="0" applyNumberFormat="1" applyFont="1" applyFill="1" applyBorder="1" applyAlignment="1">
      <alignment horizontal="center" vertical="center" wrapText="1"/>
    </xf>
    <xf numFmtId="0" fontId="14" fillId="15" borderId="185" xfId="0" applyFont="1" applyFill="1" applyBorder="1" applyAlignment="1">
      <alignment horizontal="center" vertical="center"/>
    </xf>
    <xf numFmtId="0" fontId="14" fillId="15" borderId="190" xfId="0" applyFont="1" applyFill="1" applyBorder="1" applyAlignment="1">
      <alignment horizontal="center" vertical="center"/>
    </xf>
    <xf numFmtId="166" fontId="0" fillId="0" borderId="191" xfId="13" applyNumberFormat="1" applyFont="1" applyBorder="1" applyAlignment="1">
      <alignment vertical="center"/>
    </xf>
    <xf numFmtId="166" fontId="0" fillId="0" borderId="192" xfId="13" applyNumberFormat="1" applyFont="1" applyBorder="1" applyAlignment="1">
      <alignment vertical="center"/>
    </xf>
    <xf numFmtId="166" fontId="0" fillId="0" borderId="193" xfId="13" applyNumberFormat="1" applyFont="1" applyBorder="1" applyAlignment="1">
      <alignment vertical="center"/>
    </xf>
    <xf numFmtId="179" fontId="15" fillId="36" borderId="50" xfId="16" applyNumberFormat="1" applyFill="1" applyBorder="1" applyAlignment="1">
      <alignment horizontal="center" vertical="center"/>
    </xf>
    <xf numFmtId="179" fontId="15" fillId="36" borderId="105" xfId="16" applyNumberFormat="1" applyFill="1" applyBorder="1" applyAlignment="1">
      <alignment horizontal="center" vertical="center"/>
    </xf>
    <xf numFmtId="167" fontId="0" fillId="29" borderId="131" xfId="13" applyNumberFormat="1" applyFont="1" applyFill="1" applyBorder="1" applyAlignment="1">
      <alignment vertical="center"/>
    </xf>
    <xf numFmtId="167" fontId="0" fillId="29" borderId="132" xfId="13" applyNumberFormat="1" applyFont="1" applyFill="1" applyBorder="1" applyAlignment="1">
      <alignment vertical="center"/>
    </xf>
    <xf numFmtId="167" fontId="0" fillId="29" borderId="133" xfId="13" applyNumberFormat="1" applyFont="1" applyFill="1" applyBorder="1" applyAlignment="1">
      <alignment vertical="center"/>
    </xf>
    <xf numFmtId="167" fontId="15" fillId="0" borderId="54" xfId="13" applyNumberFormat="1" applyBorder="1" applyAlignment="1">
      <alignment vertical="center"/>
    </xf>
    <xf numFmtId="167" fontId="14" fillId="39" borderId="109" xfId="13" applyNumberFormat="1" applyFont="1" applyFill="1" applyBorder="1" applyAlignment="1">
      <alignment vertical="center"/>
    </xf>
    <xf numFmtId="167" fontId="14" fillId="39" borderId="177" xfId="13" applyNumberFormat="1" applyFont="1" applyFill="1" applyBorder="1" applyAlignment="1">
      <alignment vertical="center"/>
    </xf>
    <xf numFmtId="167" fontId="14" fillId="39" borderId="125" xfId="13" applyNumberFormat="1" applyFont="1" applyFill="1" applyBorder="1" applyAlignment="1">
      <alignment vertical="center"/>
    </xf>
    <xf numFmtId="172" fontId="0" fillId="0" borderId="113" xfId="12" applyNumberFormat="1" applyFont="1" applyBorder="1" applyAlignment="1">
      <alignment vertical="center"/>
    </xf>
    <xf numFmtId="167" fontId="0" fillId="0" borderId="83" xfId="13" applyNumberFormat="1" applyFont="1" applyBorder="1" applyAlignment="1">
      <alignment vertical="center"/>
    </xf>
    <xf numFmtId="167" fontId="0" fillId="0" borderId="157" xfId="13" applyNumberFormat="1" applyFont="1" applyBorder="1" applyAlignment="1">
      <alignment vertical="center"/>
    </xf>
    <xf numFmtId="167" fontId="0" fillId="0" borderId="136" xfId="13" applyNumberFormat="1" applyFont="1" applyBorder="1" applyAlignment="1">
      <alignment vertical="center"/>
    </xf>
    <xf numFmtId="167" fontId="23" fillId="31" borderId="181" xfId="13" applyNumberFormat="1" applyFont="1" applyFill="1" applyBorder="1" applyAlignment="1">
      <alignment vertical="center" wrapText="1"/>
    </xf>
    <xf numFmtId="167" fontId="23" fillId="31" borderId="129" xfId="13" applyNumberFormat="1" applyFont="1" applyFill="1" applyBorder="1" applyAlignment="1">
      <alignment vertical="center" wrapText="1"/>
    </xf>
    <xf numFmtId="176" fontId="24" fillId="26" borderId="63" xfId="0" applyNumberFormat="1" applyFont="1" applyFill="1" applyBorder="1" applyAlignment="1">
      <alignment horizontal="right" vertical="center"/>
    </xf>
    <xf numFmtId="9" fontId="0" fillId="12" borderId="109" xfId="0" applyNumberFormat="1" applyFill="1" applyBorder="1" applyAlignment="1" applyProtection="1">
      <alignment horizontal="center" vertical="center"/>
      <protection locked="0"/>
    </xf>
    <xf numFmtId="176" fontId="0" fillId="0" borderId="178" xfId="0" applyNumberFormat="1" applyBorder="1" applyAlignment="1">
      <alignment horizontal="right" vertical="center"/>
    </xf>
    <xf numFmtId="176" fontId="0" fillId="0" borderId="125" xfId="0" applyNumberFormat="1" applyBorder="1" applyAlignment="1">
      <alignment horizontal="right" vertical="center"/>
    </xf>
    <xf numFmtId="168" fontId="0" fillId="12" borderId="196" xfId="16" applyFont="1" applyFill="1" applyBorder="1" applyAlignment="1" applyProtection="1">
      <alignment horizontal="center" vertical="center"/>
      <protection locked="0"/>
    </xf>
    <xf numFmtId="168" fontId="16" fillId="19" borderId="52" xfId="16" applyFont="1" applyFill="1" applyBorder="1" applyAlignment="1">
      <alignment horizontal="center" vertical="center"/>
    </xf>
    <xf numFmtId="176" fontId="24" fillId="26" borderId="53" xfId="0" applyNumberFormat="1" applyFont="1" applyFill="1" applyBorder="1" applyAlignment="1">
      <alignment horizontal="right" vertical="center"/>
    </xf>
    <xf numFmtId="0" fontId="19" fillId="33" borderId="28" xfId="0" applyFont="1" applyFill="1" applyBorder="1" applyAlignment="1">
      <alignment horizontal="center" vertical="center" wrapText="1"/>
    </xf>
    <xf numFmtId="0" fontId="19" fillId="47" borderId="29" xfId="0" applyFont="1" applyFill="1" applyBorder="1" applyAlignment="1">
      <alignment vertical="center"/>
    </xf>
    <xf numFmtId="166" fontId="19" fillId="47" borderId="103" xfId="13" applyNumberFormat="1" applyFont="1" applyFill="1" applyBorder="1" applyAlignment="1">
      <alignment vertical="center"/>
    </xf>
    <xf numFmtId="0" fontId="14" fillId="20" borderId="141" xfId="0" applyFont="1" applyFill="1" applyBorder="1" applyAlignment="1">
      <alignment horizontal="center" vertical="center" wrapText="1"/>
    </xf>
    <xf numFmtId="167" fontId="12" fillId="20" borderId="141" xfId="13" applyNumberFormat="1" applyFont="1" applyFill="1" applyBorder="1" applyAlignment="1">
      <alignment horizontal="center" vertical="center"/>
    </xf>
    <xf numFmtId="1" fontId="0" fillId="0" borderId="141" xfId="0" applyNumberFormat="1" applyBorder="1" applyAlignment="1">
      <alignment horizontal="center" vertical="center" wrapText="1"/>
    </xf>
    <xf numFmtId="174" fontId="20" fillId="0" borderId="152" xfId="0" applyNumberFormat="1" applyFont="1" applyBorder="1" applyAlignment="1">
      <alignment horizontal="left"/>
    </xf>
    <xf numFmtId="1" fontId="0" fillId="0" borderId="143" xfId="0" applyNumberFormat="1" applyBorder="1"/>
    <xf numFmtId="167" fontId="12" fillId="23" borderId="141" xfId="13" applyNumberFormat="1" applyFont="1" applyFill="1" applyBorder="1" applyAlignment="1">
      <alignment horizontal="center" vertical="center"/>
    </xf>
    <xf numFmtId="1" fontId="0" fillId="42" borderId="141" xfId="0" applyNumberFormat="1" applyFill="1" applyBorder="1" applyAlignment="1">
      <alignment horizontal="center" vertical="center" wrapText="1"/>
    </xf>
    <xf numFmtId="167" fontId="14" fillId="42" borderId="103" xfId="13" applyNumberFormat="1" applyFont="1" applyFill="1" applyBorder="1" applyAlignment="1">
      <alignment horizontal="center" vertical="center"/>
    </xf>
    <xf numFmtId="167" fontId="0" fillId="28" borderId="103" xfId="13" applyNumberFormat="1" applyFont="1" applyFill="1" applyBorder="1" applyAlignment="1">
      <alignment vertical="center"/>
    </xf>
    <xf numFmtId="0" fontId="14" fillId="42" borderId="103" xfId="0" applyFont="1" applyFill="1" applyBorder="1" applyAlignment="1">
      <alignment horizontal="center" vertical="center"/>
    </xf>
    <xf numFmtId="180" fontId="15" fillId="28" borderId="103" xfId="13" applyNumberFormat="1" applyFill="1" applyBorder="1"/>
    <xf numFmtId="0" fontId="0" fillId="12" borderId="157" xfId="0" applyFill="1" applyBorder="1" applyAlignment="1" applyProtection="1">
      <alignment horizontal="left" vertical="center"/>
      <protection locked="0"/>
    </xf>
    <xf numFmtId="0" fontId="0" fillId="12" borderId="205" xfId="0" applyFill="1" applyBorder="1" applyAlignment="1" applyProtection="1">
      <alignment horizontal="left" vertical="center"/>
      <protection locked="0"/>
    </xf>
    <xf numFmtId="0" fontId="0" fillId="12" borderId="107" xfId="0" applyFill="1" applyBorder="1" applyAlignment="1" applyProtection="1">
      <alignment horizontal="left" vertical="center"/>
      <protection locked="0"/>
    </xf>
    <xf numFmtId="0" fontId="14" fillId="0" borderId="206" xfId="0" applyFont="1" applyBorder="1" applyAlignment="1">
      <alignment horizontal="left" vertical="center"/>
    </xf>
    <xf numFmtId="167" fontId="0" fillId="10" borderId="212" xfId="13" applyNumberFormat="1" applyFont="1" applyFill="1" applyBorder="1" applyAlignment="1">
      <alignment horizontal="right" vertical="center"/>
    </xf>
    <xf numFmtId="0" fontId="14" fillId="21" borderId="221" xfId="0" applyFont="1" applyFill="1" applyBorder="1" applyAlignment="1">
      <alignment horizontal="center" vertical="center"/>
    </xf>
    <xf numFmtId="167" fontId="0" fillId="10" borderId="213" xfId="13" applyNumberFormat="1" applyFont="1" applyFill="1" applyBorder="1" applyAlignment="1">
      <alignment horizontal="right" vertical="center"/>
    </xf>
    <xf numFmtId="167" fontId="14" fillId="39" borderId="107" xfId="13" applyNumberFormat="1" applyFont="1" applyFill="1" applyBorder="1" applyAlignment="1">
      <alignment horizontal="right" vertical="center"/>
    </xf>
    <xf numFmtId="167" fontId="0" fillId="10" borderId="204" xfId="13" applyNumberFormat="1" applyFont="1" applyFill="1" applyBorder="1" applyAlignment="1">
      <alignment horizontal="right" vertical="center"/>
    </xf>
    <xf numFmtId="167" fontId="0" fillId="10" borderId="211" xfId="13" applyNumberFormat="1" applyFont="1" applyFill="1" applyBorder="1" applyAlignment="1">
      <alignment horizontal="right" vertical="center"/>
    </xf>
    <xf numFmtId="1" fontId="0" fillId="0" borderId="222" xfId="0" applyNumberFormat="1" applyBorder="1" applyAlignment="1">
      <alignment horizontal="center"/>
    </xf>
    <xf numFmtId="42" fontId="0" fillId="44" borderId="204" xfId="31" applyFont="1" applyFill="1" applyBorder="1" applyAlignment="1" applyProtection="1">
      <alignment horizontal="center" vertical="center"/>
    </xf>
    <xf numFmtId="174" fontId="20" fillId="0" borderId="152" xfId="0" applyNumberFormat="1" applyFont="1" applyBorder="1" applyAlignment="1">
      <alignment horizontal="left" wrapText="1"/>
    </xf>
    <xf numFmtId="17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right" vertical="center"/>
    </xf>
    <xf numFmtId="177" fontId="0" fillId="12" borderId="204" xfId="13" applyNumberFormat="1" applyFont="1" applyFill="1" applyBorder="1" applyAlignment="1" applyProtection="1">
      <alignment vertical="center"/>
      <protection locked="0"/>
    </xf>
    <xf numFmtId="0" fontId="0" fillId="12" borderId="106" xfId="0" applyFill="1" applyBorder="1" applyAlignment="1" applyProtection="1">
      <alignment horizontal="left" vertical="center"/>
      <protection locked="0"/>
    </xf>
    <xf numFmtId="177" fontId="0" fillId="12" borderId="106" xfId="13" applyNumberFormat="1" applyFont="1" applyFill="1" applyBorder="1" applyAlignment="1" applyProtection="1">
      <alignment vertical="center"/>
      <protection locked="0"/>
    </xf>
    <xf numFmtId="0" fontId="0" fillId="12" borderId="204" xfId="0" applyFill="1" applyBorder="1" applyAlignment="1" applyProtection="1">
      <alignment horizontal="left" vertical="center"/>
      <protection locked="0"/>
    </xf>
    <xf numFmtId="167" fontId="0" fillId="29" borderId="99" xfId="13" applyNumberFormat="1" applyFont="1" applyFill="1" applyBorder="1" applyAlignment="1">
      <alignment vertical="center"/>
    </xf>
    <xf numFmtId="0" fontId="0" fillId="12" borderId="216" xfId="0" applyFill="1" applyBorder="1" applyAlignment="1" applyProtection="1">
      <alignment horizontal="left" vertical="center"/>
      <protection locked="0"/>
    </xf>
    <xf numFmtId="177" fontId="0" fillId="12" borderId="216" xfId="13" applyNumberFormat="1" applyFont="1" applyFill="1" applyBorder="1" applyAlignment="1" applyProtection="1">
      <alignment vertical="center"/>
      <protection locked="0"/>
    </xf>
    <xf numFmtId="167" fontId="15" fillId="1" borderId="215" xfId="13" applyNumberFormat="1" applyFill="1" applyBorder="1" applyAlignment="1">
      <alignment vertical="center"/>
    </xf>
    <xf numFmtId="167" fontId="15" fillId="0" borderId="216" xfId="13" applyNumberFormat="1" applyBorder="1" applyAlignment="1">
      <alignment vertical="center"/>
    </xf>
    <xf numFmtId="167" fontId="15" fillId="1" borderId="203" xfId="13" applyNumberFormat="1" applyFill="1" applyBorder="1" applyAlignment="1">
      <alignment vertical="center"/>
    </xf>
    <xf numFmtId="172" fontId="0" fillId="0" borderId="204" xfId="12" applyNumberFormat="1" applyFont="1" applyBorder="1" applyAlignment="1">
      <alignment vertical="center"/>
    </xf>
    <xf numFmtId="172" fontId="0" fillId="0" borderId="202" xfId="12" applyNumberFormat="1" applyFont="1" applyBorder="1" applyAlignment="1">
      <alignment vertical="center"/>
    </xf>
    <xf numFmtId="167" fontId="15" fillId="1" borderId="204" xfId="13" applyNumberFormat="1" applyFill="1" applyBorder="1" applyAlignment="1">
      <alignment vertical="center"/>
    </xf>
    <xf numFmtId="167" fontId="15" fillId="1" borderId="202" xfId="13" applyNumberFormat="1" applyFill="1" applyBorder="1" applyAlignment="1">
      <alignment vertical="center"/>
    </xf>
    <xf numFmtId="172" fontId="0" fillId="1" borderId="204" xfId="12" applyNumberFormat="1" applyFont="1" applyFill="1" applyBorder="1" applyAlignment="1">
      <alignment vertical="center"/>
    </xf>
    <xf numFmtId="172" fontId="0" fillId="1" borderId="202" xfId="12" applyNumberFormat="1" applyFont="1" applyFill="1" applyBorder="1" applyAlignment="1">
      <alignment vertical="center"/>
    </xf>
    <xf numFmtId="167" fontId="15" fillId="0" borderId="215" xfId="13" applyNumberFormat="1" applyBorder="1" applyAlignment="1">
      <alignment vertical="center"/>
    </xf>
    <xf numFmtId="167" fontId="15" fillId="0" borderId="217" xfId="13" applyNumberFormat="1" applyBorder="1" applyAlignment="1">
      <alignment vertical="center"/>
    </xf>
    <xf numFmtId="172" fontId="0" fillId="0" borderId="203" xfId="12" applyNumberFormat="1" applyFont="1" applyBorder="1" applyAlignment="1">
      <alignment vertical="center"/>
    </xf>
    <xf numFmtId="172" fontId="0" fillId="0" borderId="205" xfId="12" applyNumberFormat="1" applyFont="1" applyBorder="1" applyAlignment="1">
      <alignment vertical="center"/>
    </xf>
    <xf numFmtId="167" fontId="14" fillId="39" borderId="225" xfId="13" applyNumberFormat="1" applyFont="1" applyFill="1" applyBorder="1" applyAlignment="1">
      <alignment vertical="center"/>
    </xf>
    <xf numFmtId="167" fontId="14" fillId="39" borderId="226" xfId="13" applyNumberFormat="1" applyFont="1" applyFill="1" applyBorder="1" applyAlignment="1">
      <alignment vertical="center"/>
    </xf>
    <xf numFmtId="167" fontId="14" fillId="39" borderId="201" xfId="13" applyNumberFormat="1" applyFont="1" applyFill="1" applyBorder="1" applyAlignment="1">
      <alignment vertical="center"/>
    </xf>
    <xf numFmtId="172" fontId="0" fillId="1" borderId="203" xfId="12" applyNumberFormat="1" applyFont="1" applyFill="1" applyBorder="1" applyAlignment="1">
      <alignment vertical="center"/>
    </xf>
    <xf numFmtId="172" fontId="0" fillId="1" borderId="205" xfId="12" applyNumberFormat="1" applyFont="1" applyFill="1" applyBorder="1" applyAlignment="1">
      <alignment vertical="center"/>
    </xf>
    <xf numFmtId="178" fontId="0" fillId="12" borderId="216" xfId="13" applyNumberFormat="1" applyFont="1" applyFill="1" applyBorder="1" applyAlignment="1" applyProtection="1">
      <alignment horizontal="center" vertical="center"/>
      <protection locked="0"/>
    </xf>
    <xf numFmtId="167" fontId="15" fillId="1" borderId="83" xfId="13" applyNumberFormat="1" applyFill="1" applyBorder="1" applyAlignment="1">
      <alignment vertical="center"/>
    </xf>
    <xf numFmtId="167" fontId="15" fillId="1" borderId="209" xfId="13" applyNumberFormat="1" applyFill="1" applyBorder="1" applyAlignment="1">
      <alignment vertical="center"/>
    </xf>
    <xf numFmtId="167" fontId="15" fillId="1" borderId="136" xfId="13" applyNumberFormat="1" applyFill="1" applyBorder="1" applyAlignment="1">
      <alignment vertical="center"/>
    </xf>
    <xf numFmtId="0" fontId="14" fillId="21" borderId="204" xfId="0" applyFont="1" applyFill="1" applyBorder="1" applyAlignment="1">
      <alignment horizontal="left" vertical="center"/>
    </xf>
    <xf numFmtId="0" fontId="12" fillId="23" borderId="204" xfId="0" applyFont="1" applyFill="1" applyBorder="1" applyAlignment="1">
      <alignment horizontal="left" vertical="center"/>
    </xf>
    <xf numFmtId="0" fontId="12" fillId="20" borderId="142" xfId="0" applyFont="1" applyFill="1" applyBorder="1" applyAlignment="1">
      <alignment horizontal="left" vertical="center"/>
    </xf>
    <xf numFmtId="180" fontId="14" fillId="19" borderId="157" xfId="13" applyNumberFormat="1" applyFont="1" applyFill="1" applyBorder="1" applyAlignment="1" applyProtection="1">
      <alignment horizontal="center"/>
      <protection locked="0"/>
    </xf>
    <xf numFmtId="180" fontId="14" fillId="19" borderId="157" xfId="13" applyNumberFormat="1" applyFont="1" applyFill="1" applyBorder="1" applyAlignment="1">
      <alignment horizontal="center"/>
    </xf>
    <xf numFmtId="174" fontId="20" fillId="0" borderId="228" xfId="0" applyNumberFormat="1" applyFont="1" applyBorder="1" applyAlignment="1">
      <alignment horizontal="left"/>
    </xf>
    <xf numFmtId="42" fontId="0" fillId="48" borderId="204" xfId="31" applyFont="1" applyFill="1" applyBorder="1" applyAlignment="1" applyProtection="1">
      <alignment horizontal="center" vertical="center"/>
      <protection locked="0"/>
    </xf>
    <xf numFmtId="42" fontId="0" fillId="12" borderId="204" xfId="31" applyFont="1" applyFill="1" applyBorder="1" applyAlignment="1" applyProtection="1">
      <alignment horizontal="center" vertical="center"/>
      <protection locked="0"/>
    </xf>
    <xf numFmtId="0" fontId="12" fillId="23" borderId="228" xfId="0" applyFont="1" applyFill="1" applyBorder="1" applyAlignment="1">
      <alignment horizontal="left" vertical="center"/>
    </xf>
    <xf numFmtId="167" fontId="12" fillId="40" borderId="204" xfId="13" applyNumberFormat="1" applyFont="1" applyFill="1" applyBorder="1" applyAlignment="1" applyProtection="1">
      <alignment vertical="center"/>
      <protection locked="0"/>
    </xf>
    <xf numFmtId="167" fontId="12" fillId="40" borderId="204" xfId="13" applyNumberFormat="1" applyFont="1" applyFill="1" applyBorder="1" applyAlignment="1">
      <alignment vertical="center"/>
    </xf>
    <xf numFmtId="0" fontId="12" fillId="20" borderId="228" xfId="0" applyFont="1" applyFill="1" applyBorder="1" applyAlignment="1">
      <alignment horizontal="left" vertical="center"/>
    </xf>
    <xf numFmtId="180" fontId="14" fillId="19" borderId="204" xfId="13" applyNumberFormat="1" applyFont="1" applyFill="1" applyBorder="1" applyAlignment="1" applyProtection="1">
      <alignment horizontal="center"/>
      <protection locked="0"/>
    </xf>
    <xf numFmtId="180" fontId="14" fillId="19" borderId="204" xfId="13" applyNumberFormat="1" applyFont="1" applyFill="1" applyBorder="1" applyAlignment="1">
      <alignment horizontal="center"/>
    </xf>
    <xf numFmtId="0" fontId="12" fillId="20" borderId="228" xfId="0" applyFont="1" applyFill="1" applyBorder="1" applyAlignment="1" applyProtection="1">
      <alignment horizontal="left" vertical="center"/>
      <protection locked="0"/>
    </xf>
    <xf numFmtId="0" fontId="12" fillId="20" borderId="204" xfId="0" applyFont="1" applyFill="1" applyBorder="1" applyAlignment="1">
      <alignment horizontal="left" vertical="center"/>
    </xf>
    <xf numFmtId="0" fontId="12" fillId="20" borderId="204" xfId="0" applyFont="1" applyFill="1" applyBorder="1" applyAlignment="1" applyProtection="1">
      <alignment horizontal="left" vertical="center"/>
      <protection locked="0"/>
    </xf>
    <xf numFmtId="167" fontId="12" fillId="23" borderId="204" xfId="13" applyNumberFormat="1" applyFont="1" applyFill="1" applyBorder="1" applyAlignment="1">
      <alignment horizontal="center" vertical="center"/>
    </xf>
    <xf numFmtId="167" fontId="12" fillId="56" borderId="204" xfId="13" applyNumberFormat="1" applyFont="1" applyFill="1" applyBorder="1" applyAlignment="1">
      <alignment vertical="center"/>
    </xf>
    <xf numFmtId="167" fontId="14" fillId="40" borderId="204" xfId="13" applyNumberFormat="1" applyFont="1" applyFill="1" applyBorder="1" applyAlignment="1">
      <alignment vertical="center"/>
    </xf>
    <xf numFmtId="167" fontId="12" fillId="23" borderId="221" xfId="13" applyNumberFormat="1" applyFont="1" applyFill="1" applyBorder="1" applyAlignment="1">
      <alignment horizontal="center" vertical="center"/>
    </xf>
    <xf numFmtId="167" fontId="12" fillId="20" borderId="204" xfId="13" applyNumberFormat="1" applyFont="1" applyFill="1" applyBorder="1" applyAlignment="1">
      <alignment horizontal="center" vertical="center"/>
    </xf>
    <xf numFmtId="167" fontId="12" fillId="57" borderId="204" xfId="13" applyNumberFormat="1" applyFont="1" applyFill="1" applyBorder="1" applyAlignment="1">
      <alignment vertical="center"/>
    </xf>
    <xf numFmtId="167" fontId="14" fillId="41" borderId="204" xfId="13" applyNumberFormat="1" applyFont="1" applyFill="1" applyBorder="1" applyAlignment="1">
      <alignment vertical="center"/>
    </xf>
    <xf numFmtId="167" fontId="0" fillId="44" borderId="204" xfId="13" applyNumberFormat="1" applyFont="1" applyFill="1" applyBorder="1" applyAlignment="1">
      <alignment vertical="center"/>
    </xf>
    <xf numFmtId="167" fontId="20" fillId="29" borderId="204" xfId="13" applyNumberFormat="1" applyFont="1" applyFill="1" applyBorder="1" applyAlignment="1">
      <alignment vertical="center"/>
    </xf>
    <xf numFmtId="175" fontId="20" fillId="29" borderId="204" xfId="12" applyNumberFormat="1" applyFont="1" applyFill="1" applyBorder="1" applyAlignment="1">
      <alignment vertical="center"/>
    </xf>
    <xf numFmtId="167" fontId="12" fillId="28" borderId="221" xfId="13" applyNumberFormat="1" applyFont="1" applyFill="1" applyBorder="1" applyAlignment="1">
      <alignment vertical="center"/>
    </xf>
    <xf numFmtId="167" fontId="0" fillId="12" borderId="204" xfId="13" applyNumberFormat="1" applyFont="1" applyFill="1" applyBorder="1" applyAlignment="1" applyProtection="1">
      <alignment vertical="center"/>
      <protection locked="0"/>
    </xf>
    <xf numFmtId="167" fontId="20" fillId="12" borderId="204" xfId="13" applyNumberFormat="1" applyFont="1" applyFill="1" applyBorder="1" applyAlignment="1" applyProtection="1">
      <alignment vertical="center"/>
      <protection locked="0"/>
    </xf>
    <xf numFmtId="175" fontId="20" fillId="12" borderId="204" xfId="12" applyNumberFormat="1" applyFont="1" applyFill="1" applyBorder="1" applyAlignment="1" applyProtection="1">
      <alignment vertical="center"/>
      <protection locked="0"/>
    </xf>
    <xf numFmtId="174" fontId="31" fillId="0" borderId="228" xfId="0" applyNumberFormat="1" applyFont="1" applyBorder="1" applyAlignment="1">
      <alignment horizontal="left"/>
    </xf>
    <xf numFmtId="167" fontId="12" fillId="29" borderId="204" xfId="13" applyNumberFormat="1" applyFont="1" applyFill="1" applyBorder="1" applyAlignment="1">
      <alignment vertical="center"/>
    </xf>
    <xf numFmtId="175" fontId="15" fillId="29" borderId="204" xfId="12" applyNumberFormat="1" applyFill="1" applyBorder="1"/>
    <xf numFmtId="167" fontId="12" fillId="58" borderId="204" xfId="13" applyNumberFormat="1" applyFont="1" applyFill="1" applyBorder="1" applyAlignment="1">
      <alignment vertical="center"/>
    </xf>
    <xf numFmtId="167" fontId="20" fillId="59" borderId="204" xfId="13" applyNumberFormat="1" applyFont="1" applyFill="1" applyBorder="1" applyAlignment="1">
      <alignment vertical="center"/>
    </xf>
    <xf numFmtId="175" fontId="15" fillId="59" borderId="204" xfId="12" applyNumberFormat="1" applyFill="1" applyBorder="1"/>
    <xf numFmtId="167" fontId="12" fillId="20" borderId="204" xfId="13" applyNumberFormat="1" applyFont="1" applyFill="1" applyBorder="1" applyAlignment="1">
      <alignment vertical="center"/>
    </xf>
    <xf numFmtId="167" fontId="12" fillId="20" borderId="221" xfId="13" applyNumberFormat="1" applyFont="1" applyFill="1" applyBorder="1" applyAlignment="1">
      <alignment vertical="center"/>
    </xf>
    <xf numFmtId="167" fontId="20" fillId="60" borderId="204" xfId="13" applyNumberFormat="1" applyFont="1" applyFill="1" applyBorder="1" applyAlignment="1">
      <alignment vertical="center"/>
    </xf>
    <xf numFmtId="1" fontId="0" fillId="0" borderId="58" xfId="0" applyNumberFormat="1" applyBorder="1" applyAlignment="1">
      <alignment horizontal="center" vertical="center" wrapText="1"/>
    </xf>
    <xf numFmtId="174" fontId="20" fillId="0" borderId="189" xfId="0" applyNumberFormat="1" applyFont="1" applyBorder="1" applyAlignment="1">
      <alignment horizontal="left"/>
    </xf>
    <xf numFmtId="167" fontId="12" fillId="28" borderId="190" xfId="13" applyNumberFormat="1" applyFont="1" applyFill="1" applyBorder="1" applyAlignment="1">
      <alignment vertical="center"/>
    </xf>
    <xf numFmtId="167" fontId="14" fillId="42" borderId="204" xfId="13" applyNumberFormat="1" applyFont="1" applyFill="1" applyBorder="1" applyAlignment="1">
      <alignment horizontal="center" vertical="center"/>
    </xf>
    <xf numFmtId="167" fontId="0" fillId="28" borderId="204" xfId="13" applyNumberFormat="1" applyFont="1" applyFill="1" applyBorder="1" applyAlignment="1">
      <alignment vertical="center"/>
    </xf>
    <xf numFmtId="0" fontId="14" fillId="30" borderId="229" xfId="0" applyFont="1" applyFill="1" applyBorder="1" applyAlignment="1">
      <alignment horizontal="center" vertical="center" wrapText="1"/>
    </xf>
    <xf numFmtId="0" fontId="14" fillId="31" borderId="230" xfId="0" applyFont="1" applyFill="1" applyBorder="1" applyAlignment="1">
      <alignment vertical="center"/>
    </xf>
    <xf numFmtId="166" fontId="14" fillId="31" borderId="204" xfId="13" applyNumberFormat="1" applyFont="1" applyFill="1" applyBorder="1" applyAlignment="1">
      <alignment vertical="center"/>
    </xf>
    <xf numFmtId="166" fontId="14" fillId="32" borderId="204" xfId="13" applyNumberFormat="1" applyFont="1" applyFill="1" applyBorder="1" applyAlignment="1">
      <alignment vertical="center"/>
    </xf>
    <xf numFmtId="166" fontId="14" fillId="31" borderId="229" xfId="13" applyNumberFormat="1" applyFont="1" applyFill="1" applyBorder="1" applyAlignment="1">
      <alignment vertical="center"/>
    </xf>
    <xf numFmtId="0" fontId="14" fillId="42" borderId="204" xfId="0" applyFont="1" applyFill="1" applyBorder="1" applyAlignment="1">
      <alignment horizontal="center" vertical="center"/>
    </xf>
    <xf numFmtId="180" fontId="15" fillId="28" borderId="204" xfId="13" applyNumberFormat="1" applyFill="1" applyBorder="1"/>
    <xf numFmtId="0" fontId="14" fillId="61" borderId="221" xfId="0" applyFont="1" applyFill="1" applyBorder="1" applyAlignment="1">
      <alignment horizontal="center" vertical="center"/>
    </xf>
    <xf numFmtId="0" fontId="12" fillId="62" borderId="152" xfId="0" applyFont="1" applyFill="1" applyBorder="1" applyAlignment="1">
      <alignment horizontal="left" vertical="center"/>
    </xf>
    <xf numFmtId="167" fontId="12" fillId="62" borderId="103" xfId="13" applyNumberFormat="1" applyFont="1" applyFill="1" applyBorder="1" applyAlignment="1">
      <alignment horizontal="center" vertical="center"/>
    </xf>
    <xf numFmtId="167" fontId="12" fillId="24" borderId="103" xfId="13" applyNumberFormat="1" applyFont="1" applyFill="1" applyBorder="1" applyAlignment="1">
      <alignment vertical="center"/>
    </xf>
    <xf numFmtId="167" fontId="14" fillId="24" borderId="103" xfId="13" applyNumberFormat="1" applyFont="1" applyFill="1" applyBorder="1" applyAlignment="1">
      <alignment vertical="center"/>
    </xf>
    <xf numFmtId="167" fontId="12" fillId="62" borderId="173" xfId="13" applyNumberFormat="1" applyFont="1" applyFill="1" applyBorder="1" applyAlignment="1">
      <alignment horizontal="center" vertical="center"/>
    </xf>
    <xf numFmtId="0" fontId="0" fillId="1" borderId="0" xfId="0" applyFill="1" applyAlignment="1">
      <alignment vertical="center"/>
    </xf>
    <xf numFmtId="0" fontId="14" fillId="63" borderId="141" xfId="0" applyFont="1" applyFill="1" applyBorder="1" applyAlignment="1">
      <alignment horizontal="center" vertical="center" wrapText="1"/>
    </xf>
    <xf numFmtId="0" fontId="12" fillId="63" borderId="152" xfId="0" applyFont="1" applyFill="1" applyBorder="1" applyAlignment="1">
      <alignment horizontal="left" vertical="center"/>
    </xf>
    <xf numFmtId="167" fontId="12" fillId="63" borderId="103" xfId="13" applyNumberFormat="1" applyFont="1" applyFill="1" applyBorder="1" applyAlignment="1">
      <alignment horizontal="center" vertical="center"/>
    </xf>
    <xf numFmtId="167" fontId="12" fillId="22" borderId="103" xfId="13" applyNumberFormat="1" applyFont="1" applyFill="1" applyBorder="1" applyAlignment="1">
      <alignment vertical="center"/>
    </xf>
    <xf numFmtId="167" fontId="14" fillId="22" borderId="103" xfId="13" applyNumberFormat="1" applyFont="1" applyFill="1" applyBorder="1" applyAlignment="1">
      <alignment vertical="center"/>
    </xf>
    <xf numFmtId="167" fontId="12" fillId="63" borderId="141" xfId="13" applyNumberFormat="1" applyFont="1" applyFill="1" applyBorder="1" applyAlignment="1">
      <alignment horizontal="center" vertical="center"/>
    </xf>
    <xf numFmtId="1" fontId="0" fillId="1" borderId="141" xfId="0" applyNumberFormat="1" applyFill="1" applyBorder="1" applyAlignment="1">
      <alignment horizontal="center" vertical="center" wrapText="1"/>
    </xf>
    <xf numFmtId="174" fontId="20" fillId="1" borderId="152" xfId="0" applyNumberFormat="1" applyFont="1" applyFill="1" applyBorder="1" applyAlignment="1">
      <alignment horizontal="left"/>
    </xf>
    <xf numFmtId="167" fontId="0" fillId="54" borderId="103" xfId="13" applyNumberFormat="1" applyFont="1" applyFill="1" applyBorder="1" applyAlignment="1">
      <alignment vertical="center"/>
    </xf>
    <xf numFmtId="167" fontId="20" fillId="1" borderId="103" xfId="13" applyNumberFormat="1" applyFont="1" applyFill="1" applyBorder="1" applyAlignment="1">
      <alignment vertical="center"/>
    </xf>
    <xf numFmtId="175" fontId="20" fillId="1" borderId="103" xfId="12" applyNumberFormat="1" applyFont="1" applyFill="1" applyBorder="1" applyAlignment="1">
      <alignment vertical="center"/>
    </xf>
    <xf numFmtId="167" fontId="20" fillId="55" borderId="103" xfId="13" applyNumberFormat="1" applyFont="1" applyFill="1" applyBorder="1" applyAlignment="1">
      <alignment vertical="center"/>
    </xf>
    <xf numFmtId="167" fontId="12" fillId="64" borderId="173" xfId="13" applyNumberFormat="1" applyFont="1" applyFill="1" applyBorder="1" applyAlignment="1">
      <alignment vertical="center"/>
    </xf>
    <xf numFmtId="167" fontId="0" fillId="53" borderId="103" xfId="13" applyNumberFormat="1" applyFont="1" applyFill="1" applyBorder="1" applyAlignment="1">
      <alignment vertical="center"/>
    </xf>
    <xf numFmtId="167" fontId="20" fillId="53" borderId="103" xfId="13" applyNumberFormat="1" applyFont="1" applyFill="1" applyBorder="1" applyAlignment="1">
      <alignment vertical="center"/>
    </xf>
    <xf numFmtId="175" fontId="20" fillId="53" borderId="103" xfId="12" applyNumberFormat="1" applyFont="1" applyFill="1" applyBorder="1" applyAlignment="1">
      <alignment vertical="center"/>
    </xf>
    <xf numFmtId="1" fontId="0" fillId="1" borderId="222" xfId="0" applyNumberFormat="1" applyFill="1" applyBorder="1" applyAlignment="1">
      <alignment horizontal="center"/>
    </xf>
    <xf numFmtId="1" fontId="0" fillId="1" borderId="143" xfId="0" applyNumberFormat="1" applyFill="1" applyBorder="1"/>
    <xf numFmtId="174" fontId="31" fillId="1" borderId="152" xfId="0" applyNumberFormat="1" applyFont="1" applyFill="1" applyBorder="1" applyAlignment="1">
      <alignment horizontal="left"/>
    </xf>
    <xf numFmtId="167" fontId="0" fillId="51" borderId="103" xfId="13" applyNumberFormat="1" applyFont="1" applyFill="1" applyBorder="1" applyAlignment="1">
      <alignment vertical="center"/>
    </xf>
    <xf numFmtId="167" fontId="20" fillId="51" borderId="103" xfId="13" applyNumberFormat="1" applyFont="1" applyFill="1" applyBorder="1" applyAlignment="1">
      <alignment vertical="center"/>
    </xf>
    <xf numFmtId="175" fontId="20" fillId="51" borderId="103" xfId="12" applyNumberFormat="1" applyFont="1" applyFill="1" applyBorder="1" applyAlignment="1">
      <alignment vertical="center"/>
    </xf>
    <xf numFmtId="167" fontId="12" fillId="62" borderId="141" xfId="13" applyNumberFormat="1" applyFont="1" applyFill="1" applyBorder="1" applyAlignment="1">
      <alignment horizontal="center" vertical="center"/>
    </xf>
    <xf numFmtId="167" fontId="12" fillId="63" borderId="103" xfId="13" applyNumberFormat="1" applyFont="1" applyFill="1" applyBorder="1" applyAlignment="1">
      <alignment vertical="center"/>
    </xf>
    <xf numFmtId="167" fontId="12" fillId="63" borderId="173" xfId="13" applyNumberFormat="1" applyFont="1" applyFill="1" applyBorder="1" applyAlignment="1">
      <alignment vertical="center"/>
    </xf>
    <xf numFmtId="1" fontId="0" fillId="65" borderId="141" xfId="0" applyNumberFormat="1" applyFill="1" applyBorder="1" applyAlignment="1">
      <alignment horizontal="center" vertical="center" wrapText="1"/>
    </xf>
    <xf numFmtId="167" fontId="12" fillId="50" borderId="103" xfId="13" applyNumberFormat="1" applyFont="1" applyFill="1" applyBorder="1" applyAlignment="1">
      <alignment vertical="center"/>
    </xf>
    <xf numFmtId="1" fontId="0" fillId="1" borderId="2" xfId="0" applyNumberFormat="1" applyFill="1" applyBorder="1" applyAlignment="1">
      <alignment horizontal="center" vertical="center" wrapText="1"/>
    </xf>
    <xf numFmtId="174" fontId="20" fillId="1" borderId="199" xfId="0" applyNumberFormat="1" applyFont="1" applyFill="1" applyBorder="1" applyAlignment="1">
      <alignment horizontal="left"/>
    </xf>
    <xf numFmtId="167" fontId="12" fillId="64" borderId="200" xfId="13" applyNumberFormat="1" applyFont="1" applyFill="1" applyBorder="1" applyAlignment="1">
      <alignment vertical="center"/>
    </xf>
    <xf numFmtId="167" fontId="14" fillId="65" borderId="103" xfId="13" applyNumberFormat="1" applyFont="1" applyFill="1" applyBorder="1" applyAlignment="1">
      <alignment horizontal="center" vertical="center"/>
    </xf>
    <xf numFmtId="0" fontId="14" fillId="66" borderId="223" xfId="0" applyFont="1" applyFill="1" applyBorder="1" applyAlignment="1">
      <alignment horizontal="center" vertical="center" wrapText="1"/>
    </xf>
    <xf numFmtId="0" fontId="14" fillId="67" borderId="198" xfId="0" applyFont="1" applyFill="1" applyBorder="1" applyAlignment="1">
      <alignment vertical="center"/>
    </xf>
    <xf numFmtId="166" fontId="14" fillId="67" borderId="103" xfId="13" applyNumberFormat="1" applyFont="1" applyFill="1" applyBorder="1" applyAlignment="1">
      <alignment vertical="center"/>
    </xf>
    <xf numFmtId="166" fontId="14" fillId="32" borderId="103" xfId="13" applyNumberFormat="1" applyFont="1" applyFill="1" applyBorder="1" applyAlignment="1">
      <alignment vertical="center"/>
    </xf>
    <xf numFmtId="166" fontId="14" fillId="67" borderId="197" xfId="13" applyNumberFormat="1" applyFont="1" applyFill="1" applyBorder="1" applyAlignment="1">
      <alignment vertical="center"/>
    </xf>
    <xf numFmtId="0" fontId="14" fillId="65" borderId="103" xfId="0" applyFont="1" applyFill="1" applyBorder="1" applyAlignment="1">
      <alignment horizontal="center" vertical="center"/>
    </xf>
    <xf numFmtId="0" fontId="14" fillId="16" borderId="226" xfId="0" applyFont="1" applyFill="1" applyBorder="1" applyAlignment="1">
      <alignment horizontal="center" vertical="center" wrapText="1"/>
    </xf>
    <xf numFmtId="0" fontId="14" fillId="16" borderId="233" xfId="0" applyFont="1" applyFill="1" applyBorder="1" applyAlignment="1">
      <alignment horizontal="center" vertical="center" wrapText="1"/>
    </xf>
    <xf numFmtId="0" fontId="0" fillId="12" borderId="216" xfId="0" applyFill="1" applyBorder="1" applyProtection="1">
      <protection locked="0"/>
    </xf>
    <xf numFmtId="0" fontId="0" fillId="12" borderId="54" xfId="0" applyFill="1" applyBorder="1" applyProtection="1">
      <protection locked="0"/>
    </xf>
    <xf numFmtId="176" fontId="0" fillId="29" borderId="131" xfId="0" applyNumberFormat="1" applyFill="1" applyBorder="1" applyAlignment="1">
      <alignment horizontal="right" vertical="center"/>
    </xf>
    <xf numFmtId="176" fontId="0" fillId="0" borderId="131" xfId="0" applyNumberFormat="1" applyBorder="1" applyAlignment="1">
      <alignment horizontal="right" vertical="center"/>
    </xf>
    <xf numFmtId="0" fontId="0" fillId="12" borderId="211" xfId="0" applyFill="1" applyBorder="1" applyAlignment="1" applyProtection="1">
      <alignment horizontal="left" vertical="center"/>
      <protection locked="0"/>
    </xf>
    <xf numFmtId="0" fontId="0" fillId="12" borderId="204" xfId="0" applyFill="1" applyBorder="1" applyProtection="1">
      <protection locked="0"/>
    </xf>
    <xf numFmtId="0" fontId="0" fillId="12" borderId="202" xfId="0" applyFill="1" applyBorder="1" applyProtection="1">
      <protection locked="0"/>
    </xf>
    <xf numFmtId="177" fontId="0" fillId="12" borderId="202" xfId="13" applyNumberFormat="1" applyFont="1" applyFill="1" applyBorder="1" applyAlignment="1" applyProtection="1">
      <alignment vertical="center"/>
      <protection locked="0"/>
    </xf>
    <xf numFmtId="176" fontId="0" fillId="29" borderId="132" xfId="0" applyNumberFormat="1" applyFill="1" applyBorder="1" applyAlignment="1">
      <alignment horizontal="right" vertical="center"/>
    </xf>
    <xf numFmtId="176" fontId="0" fillId="0" borderId="132" xfId="0" applyNumberFormat="1" applyBorder="1" applyAlignment="1">
      <alignment horizontal="right" vertical="center"/>
    </xf>
    <xf numFmtId="0" fontId="0" fillId="12" borderId="120" xfId="0" applyFill="1" applyBorder="1" applyAlignment="1" applyProtection="1">
      <alignment horizontal="left" vertical="center"/>
      <protection locked="0"/>
    </xf>
    <xf numFmtId="0" fontId="0" fillId="12" borderId="106" xfId="0" applyFill="1" applyBorder="1" applyProtection="1">
      <protection locked="0"/>
    </xf>
    <xf numFmtId="0" fontId="0" fillId="12" borderId="99" xfId="0" applyFill="1" applyBorder="1" applyProtection="1">
      <protection locked="0"/>
    </xf>
    <xf numFmtId="177" fontId="0" fillId="12" borderId="99" xfId="13" applyNumberFormat="1" applyFont="1" applyFill="1" applyBorder="1" applyAlignment="1" applyProtection="1">
      <alignment vertical="center"/>
      <protection locked="0"/>
    </xf>
    <xf numFmtId="176" fontId="0" fillId="29" borderId="133" xfId="0" applyNumberFormat="1" applyFill="1" applyBorder="1" applyAlignment="1">
      <alignment horizontal="right" vertical="center"/>
    </xf>
    <xf numFmtId="176" fontId="0" fillId="0" borderId="133" xfId="0" applyNumberFormat="1" applyBorder="1" applyAlignment="1">
      <alignment horizontal="right" vertical="center"/>
    </xf>
    <xf numFmtId="167" fontId="0" fillId="68" borderId="104" xfId="13" applyNumberFormat="1" applyFont="1" applyFill="1" applyBorder="1" applyAlignment="1">
      <alignment vertical="center"/>
    </xf>
    <xf numFmtId="167" fontId="0" fillId="68" borderId="103" xfId="13" applyNumberFormat="1" applyFont="1" applyFill="1" applyBorder="1" applyAlignment="1">
      <alignment vertical="center"/>
    </xf>
    <xf numFmtId="167" fontId="0" fillId="68" borderId="105" xfId="13" applyNumberFormat="1" applyFont="1" applyFill="1" applyBorder="1" applyAlignment="1">
      <alignment vertical="center"/>
    </xf>
    <xf numFmtId="167" fontId="0" fillId="68" borderId="146" xfId="13" applyNumberFormat="1" applyFont="1" applyFill="1" applyBorder="1" applyAlignment="1">
      <alignment vertical="center"/>
    </xf>
    <xf numFmtId="175" fontId="15" fillId="12" borderId="204" xfId="12" applyNumberFormat="1" applyFill="1" applyBorder="1" applyProtection="1">
      <protection locked="0"/>
    </xf>
    <xf numFmtId="179" fontId="15" fillId="52" borderId="104" xfId="16" applyNumberFormat="1" applyFill="1" applyBorder="1" applyAlignment="1">
      <alignment horizontal="center" vertical="center"/>
    </xf>
    <xf numFmtId="179" fontId="15" fillId="52" borderId="103" xfId="16" applyNumberFormat="1" applyFill="1" applyBorder="1" applyAlignment="1">
      <alignment horizontal="center" vertical="center"/>
    </xf>
    <xf numFmtId="179" fontId="15" fillId="52" borderId="105" xfId="16" applyNumberFormat="1" applyFill="1" applyBorder="1" applyAlignment="1">
      <alignment horizontal="center" vertical="center"/>
    </xf>
    <xf numFmtId="0" fontId="0" fillId="53" borderId="104" xfId="0" applyFill="1" applyBorder="1" applyAlignment="1">
      <alignment horizontal="left" vertical="center"/>
    </xf>
    <xf numFmtId="167" fontId="0" fillId="53" borderId="105" xfId="13" applyNumberFormat="1" applyFont="1" applyFill="1" applyBorder="1" applyAlignment="1">
      <alignment vertical="center"/>
    </xf>
    <xf numFmtId="167" fontId="0" fillId="55" borderId="132" xfId="13" applyNumberFormat="1" applyFont="1" applyFill="1" applyBorder="1" applyAlignment="1">
      <alignment vertical="center"/>
    </xf>
    <xf numFmtId="0" fontId="14" fillId="16" borderId="201" xfId="0" applyFont="1" applyFill="1" applyBorder="1" applyAlignment="1">
      <alignment horizontal="center" vertical="center" wrapText="1"/>
    </xf>
    <xf numFmtId="167" fontId="0" fillId="0" borderId="90" xfId="0" applyNumberFormat="1" applyBorder="1" applyAlignment="1">
      <alignment vertical="center"/>
    </xf>
    <xf numFmtId="167" fontId="0" fillId="0" borderId="215" xfId="13" applyNumberFormat="1" applyFont="1" applyBorder="1" applyAlignment="1">
      <alignment vertical="center"/>
    </xf>
    <xf numFmtId="167" fontId="0" fillId="0" borderId="216" xfId="13" applyNumberFormat="1" applyFont="1" applyBorder="1" applyAlignment="1">
      <alignment vertical="center"/>
    </xf>
    <xf numFmtId="169" fontId="0" fillId="0" borderId="216" xfId="0" applyNumberFormat="1" applyBorder="1" applyAlignment="1">
      <alignment horizontal="center" vertical="center"/>
    </xf>
    <xf numFmtId="169" fontId="0" fillId="0" borderId="217" xfId="0" applyNumberFormat="1" applyBorder="1" applyAlignment="1">
      <alignment horizontal="center" vertical="center"/>
    </xf>
    <xf numFmtId="167" fontId="0" fillId="0" borderId="203" xfId="13" applyNumberFormat="1" applyFont="1" applyBorder="1" applyAlignment="1">
      <alignment vertical="center"/>
    </xf>
    <xf numFmtId="167" fontId="0" fillId="0" borderId="204" xfId="13" applyNumberFormat="1" applyFont="1" applyBorder="1" applyAlignment="1">
      <alignment vertical="center"/>
    </xf>
    <xf numFmtId="169" fontId="0" fillId="0" borderId="204" xfId="0" applyNumberFormat="1" applyBorder="1" applyAlignment="1">
      <alignment horizontal="center" vertical="center"/>
    </xf>
    <xf numFmtId="169" fontId="0" fillId="0" borderId="205" xfId="0" applyNumberFormat="1" applyBorder="1" applyAlignment="1">
      <alignment horizontal="center" vertical="center"/>
    </xf>
    <xf numFmtId="167" fontId="0" fillId="1" borderId="203" xfId="13" applyNumberFormat="1" applyFont="1" applyFill="1" applyBorder="1" applyAlignment="1">
      <alignment vertical="center"/>
    </xf>
    <xf numFmtId="167" fontId="0" fillId="1" borderId="204" xfId="13" applyNumberFormat="1" applyFont="1" applyFill="1" applyBorder="1" applyAlignment="1">
      <alignment vertical="center"/>
    </xf>
    <xf numFmtId="167" fontId="0" fillId="1" borderId="202" xfId="13" applyNumberFormat="1" applyFont="1" applyFill="1" applyBorder="1" applyAlignment="1">
      <alignment vertical="center"/>
    </xf>
    <xf numFmtId="167" fontId="0" fillId="1" borderId="205" xfId="13" applyNumberFormat="1" applyFont="1" applyFill="1" applyBorder="1" applyAlignment="1">
      <alignment vertical="center"/>
    </xf>
    <xf numFmtId="177" fontId="0" fillId="29" borderId="216" xfId="13" applyNumberFormat="1" applyFont="1" applyFill="1" applyBorder="1" applyAlignment="1">
      <alignment vertical="center"/>
    </xf>
    <xf numFmtId="177" fontId="0" fillId="29" borderId="217" xfId="13" applyNumberFormat="1" applyFont="1" applyFill="1" applyBorder="1" applyAlignment="1">
      <alignment vertical="center"/>
    </xf>
    <xf numFmtId="177" fontId="0" fillId="29" borderId="204" xfId="13" applyNumberFormat="1" applyFont="1" applyFill="1" applyBorder="1" applyAlignment="1">
      <alignment vertical="center"/>
    </xf>
    <xf numFmtId="177" fontId="0" fillId="29" borderId="205" xfId="13" applyNumberFormat="1" applyFont="1" applyFill="1" applyBorder="1" applyAlignment="1">
      <alignment vertical="center"/>
    </xf>
    <xf numFmtId="177" fontId="0" fillId="29" borderId="212" xfId="13" applyNumberFormat="1" applyFont="1" applyFill="1" applyBorder="1" applyAlignment="1">
      <alignment vertical="center"/>
    </xf>
    <xf numFmtId="177" fontId="0" fillId="29" borderId="211" xfId="13" applyNumberFormat="1" applyFont="1" applyFill="1" applyBorder="1" applyAlignment="1">
      <alignment vertical="center"/>
    </xf>
    <xf numFmtId="169" fontId="0" fillId="44" borderId="204" xfId="13" applyNumberFormat="1" applyFont="1" applyFill="1" applyBorder="1" applyAlignment="1">
      <alignment horizontal="center" vertical="center"/>
    </xf>
    <xf numFmtId="177" fontId="0" fillId="44" borderId="204" xfId="13" applyNumberFormat="1" applyFont="1" applyFill="1" applyBorder="1" applyAlignment="1">
      <alignment vertical="center"/>
    </xf>
    <xf numFmtId="0" fontId="0" fillId="44" borderId="234" xfId="0" applyFill="1" applyBorder="1" applyAlignment="1">
      <alignment horizontal="left" vertical="center"/>
    </xf>
    <xf numFmtId="0" fontId="0" fillId="44" borderId="148" xfId="0" applyFill="1" applyBorder="1" applyAlignment="1">
      <alignment horizontal="left" vertical="center"/>
    </xf>
    <xf numFmtId="0" fontId="0" fillId="44" borderId="99" xfId="0" applyFill="1" applyBorder="1" applyAlignment="1">
      <alignment horizontal="left" vertical="center"/>
    </xf>
    <xf numFmtId="177" fontId="0" fillId="44" borderId="215" xfId="13" applyNumberFormat="1" applyFont="1" applyFill="1" applyBorder="1" applyAlignment="1">
      <alignment vertical="center"/>
    </xf>
    <xf numFmtId="177" fontId="0" fillId="44" borderId="216" xfId="13" applyNumberFormat="1" applyFont="1" applyFill="1" applyBorder="1" applyAlignment="1">
      <alignment vertical="center"/>
    </xf>
    <xf numFmtId="169" fontId="0" fillId="44" borderId="216" xfId="13" applyNumberFormat="1" applyFont="1" applyFill="1" applyBorder="1" applyAlignment="1">
      <alignment horizontal="center" vertical="center"/>
    </xf>
    <xf numFmtId="177" fontId="0" fillId="44" borderId="203" xfId="13" applyNumberFormat="1" applyFont="1" applyFill="1" applyBorder="1" applyAlignment="1">
      <alignment vertical="center"/>
    </xf>
    <xf numFmtId="177" fontId="0" fillId="29" borderId="106" xfId="13" applyNumberFormat="1" applyFont="1" applyFill="1" applyBorder="1" applyAlignment="1">
      <alignment vertical="center"/>
    </xf>
    <xf numFmtId="177" fontId="0" fillId="29" borderId="107" xfId="13" applyNumberFormat="1" applyFont="1" applyFill="1" applyBorder="1" applyAlignment="1">
      <alignment vertical="center"/>
    </xf>
    <xf numFmtId="167" fontId="0" fillId="71" borderId="103" xfId="13" applyNumberFormat="1" applyFont="1" applyFill="1" applyBorder="1" applyAlignment="1">
      <alignment vertical="center"/>
    </xf>
    <xf numFmtId="180" fontId="15" fillId="53" borderId="103" xfId="13" applyNumberFormat="1" applyFill="1" applyBorder="1"/>
    <xf numFmtId="177" fontId="0" fillId="44" borderId="120" xfId="13" applyNumberFormat="1" applyFont="1" applyFill="1" applyBorder="1" applyAlignment="1">
      <alignment vertical="center"/>
    </xf>
    <xf numFmtId="0" fontId="2" fillId="42" borderId="0" xfId="37" applyFill="1"/>
    <xf numFmtId="0" fontId="37" fillId="72" borderId="236" xfId="37" applyFont="1" applyFill="1" applyBorder="1" applyAlignment="1">
      <alignment horizontal="center" vertical="center" wrapText="1"/>
    </xf>
    <xf numFmtId="0" fontId="37" fillId="42" borderId="0" xfId="37" applyFont="1" applyFill="1" applyAlignment="1">
      <alignment horizontal="right"/>
    </xf>
    <xf numFmtId="1" fontId="38" fillId="42" borderId="236" xfId="38" applyNumberFormat="1" applyFont="1" applyFill="1" applyBorder="1" applyAlignment="1">
      <alignment horizontal="center" vertical="center"/>
    </xf>
    <xf numFmtId="1" fontId="38" fillId="42" borderId="0" xfId="38" applyNumberFormat="1" applyFont="1" applyFill="1" applyBorder="1" applyAlignment="1">
      <alignment horizontal="center" vertical="center"/>
    </xf>
    <xf numFmtId="0" fontId="37" fillId="45" borderId="0" xfId="37" applyFont="1" applyFill="1" applyAlignment="1">
      <alignment horizontal="left" vertical="center" indent="1"/>
    </xf>
    <xf numFmtId="0" fontId="2" fillId="42" borderId="0" xfId="37" applyFill="1" applyAlignment="1">
      <alignment horizontal="left" indent="2"/>
    </xf>
    <xf numFmtId="185" fontId="2" fillId="42" borderId="0" xfId="37" applyNumberFormat="1" applyFill="1"/>
    <xf numFmtId="185" fontId="37" fillId="42" borderId="0" xfId="37" applyNumberFormat="1" applyFont="1" applyFill="1"/>
    <xf numFmtId="0" fontId="37" fillId="69" borderId="204" xfId="37" applyFont="1" applyFill="1" applyBorder="1" applyAlignment="1">
      <alignment horizontal="left" indent="2"/>
    </xf>
    <xf numFmtId="185" fontId="37" fillId="69" borderId="204" xfId="37" applyNumberFormat="1" applyFont="1" applyFill="1" applyBorder="1"/>
    <xf numFmtId="0" fontId="37" fillId="69" borderId="236" xfId="37" applyFont="1" applyFill="1" applyBorder="1" applyAlignment="1">
      <alignment horizontal="center" vertical="center"/>
    </xf>
    <xf numFmtId="177" fontId="0" fillId="70" borderId="212" xfId="13" applyNumberFormat="1" applyFont="1" applyFill="1" applyBorder="1" applyAlignment="1">
      <alignment vertical="center"/>
    </xf>
    <xf numFmtId="177" fontId="0" fillId="70" borderId="211" xfId="13" applyNumberFormat="1" applyFont="1" applyFill="1" applyBorder="1" applyAlignment="1">
      <alignment vertical="center"/>
    </xf>
    <xf numFmtId="177" fontId="0" fillId="70" borderId="120" xfId="13" applyNumberFormat="1" applyFont="1" applyFill="1" applyBorder="1" applyAlignment="1">
      <alignment vertical="center"/>
    </xf>
    <xf numFmtId="0" fontId="0" fillId="70" borderId="212" xfId="0" applyFill="1" applyBorder="1" applyAlignment="1">
      <alignment horizontal="left" vertical="center"/>
    </xf>
    <xf numFmtId="0" fontId="0" fillId="70" borderId="216" xfId="0" applyFill="1" applyBorder="1" applyAlignment="1">
      <alignment horizontal="left" vertical="center"/>
    </xf>
    <xf numFmtId="0" fontId="0" fillId="70" borderId="217" xfId="0" applyFill="1" applyBorder="1" applyAlignment="1">
      <alignment horizontal="left" vertical="center"/>
    </xf>
    <xf numFmtId="177" fontId="0" fillId="70" borderId="216" xfId="13" applyNumberFormat="1" applyFont="1" applyFill="1" applyBorder="1" applyAlignment="1">
      <alignment vertical="center"/>
    </xf>
    <xf numFmtId="0" fontId="0" fillId="70" borderId="211" xfId="0" applyFill="1" applyBorder="1" applyAlignment="1">
      <alignment horizontal="left" vertical="center"/>
    </xf>
    <xf numFmtId="0" fontId="0" fillId="70" borderId="204" xfId="0" applyFill="1" applyBorder="1" applyAlignment="1">
      <alignment horizontal="left" vertical="center"/>
    </xf>
    <xf numFmtId="0" fontId="0" fillId="70" borderId="205" xfId="0" applyFill="1" applyBorder="1" applyAlignment="1">
      <alignment horizontal="left" vertical="center"/>
    </xf>
    <xf numFmtId="177" fontId="0" fillId="70" borderId="204" xfId="13" applyNumberFormat="1" applyFont="1" applyFill="1" applyBorder="1" applyAlignment="1">
      <alignment vertical="center"/>
    </xf>
    <xf numFmtId="0" fontId="0" fillId="70" borderId="120" xfId="0" applyFill="1" applyBorder="1" applyAlignment="1">
      <alignment horizontal="left" vertical="center"/>
    </xf>
    <xf numFmtId="0" fontId="0" fillId="70" borderId="106" xfId="0" applyFill="1" applyBorder="1" applyAlignment="1">
      <alignment horizontal="left" vertical="center"/>
    </xf>
    <xf numFmtId="0" fontId="0" fillId="70" borderId="107" xfId="0" applyFill="1" applyBorder="1" applyAlignment="1">
      <alignment horizontal="left" vertical="center"/>
    </xf>
    <xf numFmtId="177" fontId="0" fillId="70" borderId="106" xfId="13" applyNumberFormat="1" applyFont="1" applyFill="1" applyBorder="1" applyAlignment="1">
      <alignment vertical="center"/>
    </xf>
    <xf numFmtId="0" fontId="0" fillId="44" borderId="240" xfId="0" applyFill="1" applyBorder="1" applyAlignment="1">
      <alignment horizontal="left" vertical="center"/>
    </xf>
    <xf numFmtId="177" fontId="0" fillId="44" borderId="83" xfId="13" applyNumberFormat="1" applyFont="1" applyFill="1" applyBorder="1" applyAlignment="1">
      <alignment vertical="center"/>
    </xf>
    <xf numFmtId="177" fontId="0" fillId="44" borderId="209" xfId="13" applyNumberFormat="1" applyFont="1" applyFill="1" applyBorder="1" applyAlignment="1">
      <alignment vertical="center"/>
    </xf>
    <xf numFmtId="177" fontId="0" fillId="44" borderId="227" xfId="13" applyNumberFormat="1" applyFont="1" applyFill="1" applyBorder="1" applyAlignment="1">
      <alignment vertical="center"/>
    </xf>
    <xf numFmtId="177" fontId="0" fillId="29" borderId="144" xfId="13" applyNumberFormat="1" applyFont="1" applyFill="1" applyBorder="1" applyAlignment="1">
      <alignment vertical="center"/>
    </xf>
    <xf numFmtId="177" fontId="0" fillId="29" borderId="145" xfId="13" applyNumberFormat="1" applyFont="1" applyFill="1" applyBorder="1" applyAlignment="1">
      <alignment vertical="center"/>
    </xf>
    <xf numFmtId="177" fontId="0" fillId="44" borderId="108" xfId="13" applyNumberFormat="1" applyFont="1" applyFill="1" applyBorder="1" applyAlignment="1">
      <alignment vertical="center"/>
    </xf>
    <xf numFmtId="177" fontId="0" fillId="44" borderId="106" xfId="13" applyNumberFormat="1" applyFont="1" applyFill="1" applyBorder="1" applyAlignment="1">
      <alignment vertical="center"/>
    </xf>
    <xf numFmtId="177" fontId="0" fillId="29" borderId="120" xfId="13" applyNumberFormat="1" applyFont="1" applyFill="1" applyBorder="1" applyAlignment="1">
      <alignment vertical="center"/>
    </xf>
    <xf numFmtId="167" fontId="14" fillId="34" borderId="247" xfId="0" applyNumberFormat="1" applyFont="1" applyFill="1" applyBorder="1" applyAlignment="1">
      <alignment horizontal="center" vertical="center" wrapText="1"/>
    </xf>
    <xf numFmtId="167" fontId="14" fillId="34" borderId="248" xfId="0" applyNumberFormat="1" applyFont="1" applyFill="1" applyBorder="1" applyAlignment="1">
      <alignment horizontal="center" vertical="center" wrapText="1"/>
    </xf>
    <xf numFmtId="167" fontId="14" fillId="34" borderId="249" xfId="0" applyNumberFormat="1" applyFont="1" applyFill="1" applyBorder="1" applyAlignment="1">
      <alignment horizontal="center" vertical="center" wrapText="1"/>
    </xf>
    <xf numFmtId="167" fontId="14" fillId="15" borderId="250" xfId="0" applyNumberFormat="1" applyFont="1" applyFill="1" applyBorder="1" applyAlignment="1">
      <alignment horizontal="center" vertical="center" wrapText="1"/>
    </xf>
    <xf numFmtId="167" fontId="14" fillId="15" borderId="235" xfId="0" applyNumberFormat="1" applyFont="1" applyFill="1" applyBorder="1" applyAlignment="1">
      <alignment horizontal="center" vertical="center" wrapText="1"/>
    </xf>
    <xf numFmtId="167" fontId="14" fillId="15" borderId="251" xfId="0" applyNumberFormat="1" applyFont="1" applyFill="1" applyBorder="1" applyAlignment="1">
      <alignment horizontal="center" vertical="center" wrapText="1"/>
    </xf>
    <xf numFmtId="167" fontId="14" fillId="15" borderId="252" xfId="0" applyNumberFormat="1" applyFont="1" applyFill="1" applyBorder="1" applyAlignment="1">
      <alignment horizontal="center" vertical="center" wrapText="1"/>
    </xf>
    <xf numFmtId="167" fontId="14" fillId="34" borderId="252" xfId="0" applyNumberFormat="1" applyFont="1" applyFill="1" applyBorder="1" applyAlignment="1">
      <alignment horizontal="center" vertical="center" wrapText="1"/>
    </xf>
    <xf numFmtId="177" fontId="0" fillId="44" borderId="234" xfId="13" applyNumberFormat="1" applyFont="1" applyFill="1" applyBorder="1" applyAlignment="1">
      <alignment vertical="center"/>
    </xf>
    <xf numFmtId="177" fontId="0" fillId="44" borderId="202" xfId="13" applyNumberFormat="1" applyFont="1" applyFill="1" applyBorder="1" applyAlignment="1">
      <alignment vertical="center"/>
    </xf>
    <xf numFmtId="177" fontId="0" fillId="44" borderId="99" xfId="13" applyNumberFormat="1" applyFont="1" applyFill="1" applyBorder="1" applyAlignment="1">
      <alignment vertical="center"/>
    </xf>
    <xf numFmtId="177" fontId="0" fillId="44" borderId="240" xfId="13" applyNumberFormat="1" applyFont="1" applyFill="1" applyBorder="1" applyAlignment="1">
      <alignment vertical="center"/>
    </xf>
    <xf numFmtId="167" fontId="14" fillId="34" borderId="251" xfId="0" applyNumberFormat="1" applyFont="1" applyFill="1" applyBorder="1" applyAlignment="1">
      <alignment horizontal="center" vertical="center" wrapText="1"/>
    </xf>
    <xf numFmtId="169" fontId="0" fillId="12" borderId="215" xfId="13" applyNumberFormat="1" applyFont="1" applyFill="1" applyBorder="1" applyAlignment="1" applyProtection="1">
      <alignment horizontal="center" vertical="center"/>
      <protection locked="0"/>
    </xf>
    <xf numFmtId="169" fontId="0" fillId="44" borderId="217" xfId="13" applyNumberFormat="1" applyFont="1" applyFill="1" applyBorder="1" applyAlignment="1">
      <alignment horizontal="center" vertical="center"/>
    </xf>
    <xf numFmtId="169" fontId="0" fillId="12" borderId="203" xfId="13" applyNumberFormat="1" applyFont="1" applyFill="1" applyBorder="1" applyAlignment="1" applyProtection="1">
      <alignment horizontal="center" vertical="center"/>
      <protection locked="0"/>
    </xf>
    <xf numFmtId="169" fontId="0" fillId="44" borderId="205" xfId="13" applyNumberFormat="1" applyFont="1" applyFill="1" applyBorder="1" applyAlignment="1">
      <alignment horizontal="center" vertical="center"/>
    </xf>
    <xf numFmtId="169" fontId="0" fillId="12" borderId="108" xfId="13" applyNumberFormat="1" applyFont="1" applyFill="1" applyBorder="1" applyAlignment="1" applyProtection="1">
      <alignment horizontal="center" vertical="center"/>
      <protection locked="0"/>
    </xf>
    <xf numFmtId="169" fontId="0" fillId="44" borderId="107" xfId="13" applyNumberFormat="1" applyFont="1" applyFill="1" applyBorder="1" applyAlignment="1">
      <alignment horizontal="center" vertical="center"/>
    </xf>
    <xf numFmtId="0" fontId="0" fillId="0" borderId="184" xfId="0" applyBorder="1" applyAlignment="1">
      <alignment horizontal="left" vertical="center"/>
    </xf>
    <xf numFmtId="178" fontId="14" fillId="55" borderId="60" xfId="0" applyNumberFormat="1" applyFont="1" applyFill="1" applyBorder="1" applyAlignment="1">
      <alignment vertical="center"/>
    </xf>
    <xf numFmtId="178" fontId="14" fillId="55" borderId="204" xfId="0" applyNumberFormat="1" applyFont="1" applyFill="1" applyBorder="1" applyAlignment="1">
      <alignment vertical="center"/>
    </xf>
    <xf numFmtId="0" fontId="0" fillId="0" borderId="110" xfId="0" applyBorder="1" applyAlignment="1">
      <alignment horizontal="left" vertical="center"/>
    </xf>
    <xf numFmtId="0" fontId="0" fillId="0" borderId="253" xfId="0" applyBorder="1" applyAlignment="1">
      <alignment horizontal="left" vertical="center"/>
    </xf>
    <xf numFmtId="0" fontId="0" fillId="0" borderId="111" xfId="0" applyBorder="1" applyAlignment="1">
      <alignment horizontal="left" vertical="center"/>
    </xf>
    <xf numFmtId="178" fontId="14" fillId="29" borderId="254" xfId="0" applyNumberFormat="1" applyFont="1" applyFill="1" applyBorder="1" applyAlignment="1">
      <alignment vertical="center"/>
    </xf>
    <xf numFmtId="178" fontId="0" fillId="12" borderId="215" xfId="13" applyNumberFormat="1" applyFont="1" applyFill="1" applyBorder="1" applyAlignment="1" applyProtection="1">
      <alignment horizontal="center" vertical="center"/>
      <protection locked="0"/>
    </xf>
    <xf numFmtId="178" fontId="0" fillId="12" borderId="134" xfId="13" applyNumberFormat="1" applyFont="1" applyFill="1" applyBorder="1" applyAlignment="1" applyProtection="1">
      <alignment horizontal="center" vertical="center"/>
      <protection locked="0"/>
    </xf>
    <xf numFmtId="178" fontId="0" fillId="12" borderId="108" xfId="13" applyNumberFormat="1" applyFont="1" applyFill="1" applyBorder="1" applyAlignment="1" applyProtection="1">
      <alignment horizontal="center" vertical="center"/>
      <protection locked="0"/>
    </xf>
    <xf numFmtId="178" fontId="14" fillId="55" borderId="203" xfId="0" applyNumberFormat="1" applyFont="1" applyFill="1" applyBorder="1" applyAlignment="1">
      <alignment vertical="center"/>
    </xf>
    <xf numFmtId="0" fontId="14" fillId="16" borderId="256" xfId="0" applyFont="1" applyFill="1" applyBorder="1" applyAlignment="1">
      <alignment horizontal="center" vertical="center" wrapText="1"/>
    </xf>
    <xf numFmtId="178" fontId="14" fillId="29" borderId="135" xfId="0" applyNumberFormat="1" applyFont="1" applyFill="1" applyBorder="1" applyAlignment="1">
      <alignment vertical="center"/>
    </xf>
    <xf numFmtId="178" fontId="14" fillId="29" borderId="60" xfId="0" applyNumberFormat="1" applyFont="1" applyFill="1" applyBorder="1" applyAlignment="1">
      <alignment vertical="center"/>
    </xf>
    <xf numFmtId="178" fontId="14" fillId="29" borderId="122" xfId="0" applyNumberFormat="1" applyFont="1" applyFill="1" applyBorder="1" applyAlignment="1">
      <alignment vertical="center"/>
    </xf>
    <xf numFmtId="167" fontId="14" fillId="34" borderId="259" xfId="0" applyNumberFormat="1" applyFont="1" applyFill="1" applyBorder="1" applyAlignment="1">
      <alignment horizontal="center" vertical="center" wrapText="1"/>
    </xf>
    <xf numFmtId="167" fontId="14" fillId="34" borderId="260" xfId="0" applyNumberFormat="1" applyFont="1" applyFill="1" applyBorder="1" applyAlignment="1">
      <alignment horizontal="center" vertical="center" wrapText="1"/>
    </xf>
    <xf numFmtId="167" fontId="14" fillId="34" borderId="261" xfId="0" applyNumberFormat="1" applyFont="1" applyFill="1" applyBorder="1" applyAlignment="1">
      <alignment horizontal="center" vertical="center" wrapText="1"/>
    </xf>
    <xf numFmtId="178" fontId="0" fillId="12" borderId="217" xfId="13" applyNumberFormat="1" applyFont="1" applyFill="1" applyBorder="1" applyAlignment="1" applyProtection="1">
      <alignment horizontal="center" vertical="center"/>
      <protection locked="0"/>
    </xf>
    <xf numFmtId="178" fontId="0" fillId="12" borderId="145" xfId="13" applyNumberFormat="1" applyFont="1" applyFill="1" applyBorder="1" applyAlignment="1" applyProtection="1">
      <alignment horizontal="center" vertical="center"/>
      <protection locked="0"/>
    </xf>
    <xf numFmtId="178" fontId="0" fillId="12" borderId="107" xfId="13" applyNumberFormat="1" applyFont="1" applyFill="1" applyBorder="1" applyAlignment="1" applyProtection="1">
      <alignment horizontal="center" vertical="center"/>
      <protection locked="0"/>
    </xf>
    <xf numFmtId="178" fontId="14" fillId="55" borderId="205" xfId="0" applyNumberFormat="1" applyFont="1" applyFill="1" applyBorder="1" applyAlignment="1">
      <alignment vertical="center"/>
    </xf>
    <xf numFmtId="0" fontId="11" fillId="45" borderId="99" xfId="0" applyFont="1" applyFill="1" applyBorder="1" applyAlignment="1">
      <alignment horizontal="center" vertical="center"/>
    </xf>
    <xf numFmtId="176" fontId="0" fillId="0" borderId="234" xfId="0" applyNumberFormat="1" applyBorder="1" applyAlignment="1">
      <alignment horizontal="right" vertical="center"/>
    </xf>
    <xf numFmtId="176" fontId="0" fillId="0" borderId="202" xfId="0" applyNumberFormat="1" applyBorder="1" applyAlignment="1">
      <alignment horizontal="right" vertical="center"/>
    </xf>
    <xf numFmtId="176" fontId="0" fillId="0" borderId="233" xfId="0" applyNumberFormat="1" applyBorder="1" applyAlignment="1">
      <alignment horizontal="right" vertical="center"/>
    </xf>
    <xf numFmtId="167" fontId="0" fillId="36" borderId="204" xfId="13" applyNumberFormat="1" applyFont="1" applyFill="1" applyBorder="1" applyAlignment="1">
      <alignment vertical="center"/>
    </xf>
    <xf numFmtId="167" fontId="14" fillId="34" borderId="265" xfId="0" applyNumberFormat="1" applyFont="1" applyFill="1" applyBorder="1" applyAlignment="1">
      <alignment horizontal="center" vertical="center" wrapText="1"/>
    </xf>
    <xf numFmtId="167" fontId="0" fillId="29" borderId="234" xfId="13" applyNumberFormat="1" applyFont="1" applyFill="1" applyBorder="1" applyAlignment="1">
      <alignment vertical="center"/>
    </xf>
    <xf numFmtId="167" fontId="0" fillId="29" borderId="202" xfId="13" applyNumberFormat="1" applyFont="1" applyFill="1" applyBorder="1" applyAlignment="1">
      <alignment vertical="center"/>
    </xf>
    <xf numFmtId="167" fontId="0" fillId="68" borderId="202" xfId="13" applyNumberFormat="1" applyFont="1" applyFill="1" applyBorder="1" applyAlignment="1">
      <alignment vertical="center"/>
    </xf>
    <xf numFmtId="167" fontId="14" fillId="15" borderId="267" xfId="0" applyNumberFormat="1" applyFont="1" applyFill="1" applyBorder="1" applyAlignment="1">
      <alignment horizontal="center" vertical="center" wrapText="1"/>
    </xf>
    <xf numFmtId="167" fontId="14" fillId="15" borderId="268" xfId="0" applyNumberFormat="1" applyFont="1" applyFill="1" applyBorder="1" applyAlignment="1">
      <alignment horizontal="center" vertical="center" wrapText="1"/>
    </xf>
    <xf numFmtId="167" fontId="14" fillId="15" borderId="259" xfId="0" applyNumberFormat="1" applyFont="1" applyFill="1" applyBorder="1" applyAlignment="1">
      <alignment horizontal="center" vertical="center" wrapText="1"/>
    </xf>
    <xf numFmtId="167" fontId="14" fillId="15" borderId="260" xfId="0" applyNumberFormat="1" applyFont="1" applyFill="1" applyBorder="1" applyAlignment="1">
      <alignment horizontal="center" vertical="center" wrapText="1"/>
    </xf>
    <xf numFmtId="167" fontId="14" fillId="15" borderId="261" xfId="0" applyNumberFormat="1" applyFont="1" applyFill="1" applyBorder="1" applyAlignment="1">
      <alignment horizontal="center" vertical="center" wrapText="1"/>
    </xf>
    <xf numFmtId="167" fontId="0" fillId="36" borderId="215" xfId="13" applyNumberFormat="1" applyFont="1" applyFill="1" applyBorder="1" applyAlignment="1">
      <alignment vertical="center"/>
    </xf>
    <xf numFmtId="167" fontId="0" fillId="36" borderId="216" xfId="13" applyNumberFormat="1" applyFont="1" applyFill="1" applyBorder="1" applyAlignment="1">
      <alignment vertical="center"/>
    </xf>
    <xf numFmtId="167" fontId="0" fillId="36" borderId="234" xfId="13" applyNumberFormat="1" applyFont="1" applyFill="1" applyBorder="1" applyAlignment="1">
      <alignment vertical="center"/>
    </xf>
    <xf numFmtId="167" fontId="0" fillId="36" borderId="203" xfId="13" applyNumberFormat="1" applyFont="1" applyFill="1" applyBorder="1" applyAlignment="1">
      <alignment vertical="center"/>
    </xf>
    <xf numFmtId="167" fontId="0" fillId="36" borderId="202" xfId="13" applyNumberFormat="1" applyFont="1" applyFill="1" applyBorder="1" applyAlignment="1">
      <alignment vertical="center"/>
    </xf>
    <xf numFmtId="167" fontId="14" fillId="15" borderId="265" xfId="0" applyNumberFormat="1" applyFont="1" applyFill="1" applyBorder="1" applyAlignment="1">
      <alignment horizontal="center" vertical="center" wrapText="1"/>
    </xf>
    <xf numFmtId="167" fontId="14" fillId="15" borderId="269" xfId="0" applyNumberFormat="1" applyFont="1" applyFill="1" applyBorder="1" applyAlignment="1">
      <alignment horizontal="center" vertical="center" wrapText="1"/>
    </xf>
    <xf numFmtId="169" fontId="0" fillId="0" borderId="212" xfId="0" applyNumberFormat="1" applyBorder="1" applyAlignment="1">
      <alignment horizontal="center" vertical="center"/>
    </xf>
    <xf numFmtId="169" fontId="0" fillId="0" borderId="211" xfId="0" applyNumberFormat="1" applyBorder="1" applyAlignment="1">
      <alignment horizontal="center" vertical="center"/>
    </xf>
    <xf numFmtId="167" fontId="0" fillId="1" borderId="211" xfId="13" applyNumberFormat="1" applyFont="1" applyFill="1" applyBorder="1" applyAlignment="1">
      <alignment vertical="center"/>
    </xf>
    <xf numFmtId="169" fontId="0" fillId="0" borderId="120" xfId="0" applyNumberFormat="1" applyBorder="1" applyAlignment="1">
      <alignment horizontal="center" vertical="center"/>
    </xf>
    <xf numFmtId="167" fontId="0" fillId="0" borderId="217" xfId="13" applyNumberFormat="1" applyFont="1" applyBorder="1" applyAlignment="1">
      <alignment vertical="center"/>
    </xf>
    <xf numFmtId="167" fontId="0" fillId="0" borderId="205" xfId="13" applyNumberFormat="1" applyFont="1" applyBorder="1" applyAlignment="1">
      <alignment vertical="center"/>
    </xf>
    <xf numFmtId="167" fontId="0" fillId="0" borderId="107" xfId="13" applyNumberFormat="1" applyFont="1" applyBorder="1" applyAlignment="1">
      <alignment vertical="center"/>
    </xf>
    <xf numFmtId="166" fontId="0" fillId="0" borderId="270" xfId="13" applyNumberFormat="1" applyFont="1" applyBorder="1" applyAlignment="1">
      <alignment vertical="center"/>
    </xf>
    <xf numFmtId="167" fontId="0" fillId="29" borderId="83" xfId="13" applyNumberFormat="1" applyFont="1" applyFill="1" applyBorder="1" applyAlignment="1">
      <alignment vertical="center"/>
    </xf>
    <xf numFmtId="167" fontId="0" fillId="29" borderId="209" xfId="13" applyNumberFormat="1" applyFont="1" applyFill="1" applyBorder="1" applyAlignment="1">
      <alignment vertical="center"/>
    </xf>
    <xf numFmtId="167" fontId="0" fillId="29" borderId="240" xfId="13" applyNumberFormat="1" applyFont="1" applyFill="1" applyBorder="1" applyAlignment="1">
      <alignment vertical="center"/>
    </xf>
    <xf numFmtId="167" fontId="0" fillId="36" borderId="83" xfId="13" applyNumberFormat="1" applyFont="1" applyFill="1" applyBorder="1" applyAlignment="1">
      <alignment vertical="center"/>
    </xf>
    <xf numFmtId="167" fontId="0" fillId="36" borderId="209" xfId="13" applyNumberFormat="1" applyFont="1" applyFill="1" applyBorder="1" applyAlignment="1">
      <alignment vertical="center"/>
    </xf>
    <xf numFmtId="167" fontId="0" fillId="36" borderId="240" xfId="13" applyNumberFormat="1" applyFont="1" applyFill="1" applyBorder="1" applyAlignment="1">
      <alignment vertical="center"/>
    </xf>
    <xf numFmtId="167" fontId="0" fillId="0" borderId="209" xfId="13" applyNumberFormat="1" applyFont="1" applyBorder="1" applyAlignment="1">
      <alignment vertical="center"/>
    </xf>
    <xf numFmtId="169" fontId="0" fillId="0" borderId="232" xfId="0" applyNumberFormat="1" applyBorder="1" applyAlignment="1">
      <alignment horizontal="center" vertical="center"/>
    </xf>
    <xf numFmtId="169" fontId="0" fillId="0" borderId="209" xfId="0" applyNumberFormat="1" applyBorder="1" applyAlignment="1">
      <alignment horizontal="center" vertical="center"/>
    </xf>
    <xf numFmtId="169" fontId="0" fillId="0" borderId="136" xfId="0" applyNumberFormat="1" applyBorder="1" applyAlignment="1">
      <alignment horizontal="center" vertical="center"/>
    </xf>
    <xf numFmtId="167" fontId="0" fillId="29" borderId="215" xfId="13" applyNumberFormat="1" applyFont="1" applyFill="1" applyBorder="1" applyAlignment="1">
      <alignment vertical="center"/>
    </xf>
    <xf numFmtId="167" fontId="0" fillId="29" borderId="216" xfId="13" applyNumberFormat="1" applyFont="1" applyFill="1" applyBorder="1" applyAlignment="1">
      <alignment vertical="center"/>
    </xf>
    <xf numFmtId="167" fontId="0" fillId="29" borderId="203" xfId="13" applyNumberFormat="1" applyFont="1" applyFill="1" applyBorder="1" applyAlignment="1">
      <alignment vertical="center"/>
    </xf>
    <xf numFmtId="167" fontId="0" fillId="29" borderId="204" xfId="13" applyNumberFormat="1" applyFont="1" applyFill="1" applyBorder="1" applyAlignment="1">
      <alignment vertical="center"/>
    </xf>
    <xf numFmtId="177" fontId="15" fillId="44" borderId="108" xfId="13" applyNumberFormat="1" applyFill="1" applyBorder="1" applyAlignment="1">
      <alignment vertical="center"/>
    </xf>
    <xf numFmtId="177" fontId="15" fillId="44" borderId="106" xfId="13" applyNumberFormat="1" applyFill="1" applyBorder="1" applyAlignment="1">
      <alignment vertical="center"/>
    </xf>
    <xf numFmtId="177" fontId="15" fillId="44" borderId="99" xfId="13" applyNumberFormat="1" applyFill="1" applyBorder="1" applyAlignment="1">
      <alignment vertical="center"/>
    </xf>
    <xf numFmtId="9" fontId="0" fillId="26" borderId="131" xfId="0" applyNumberFormat="1" applyFill="1" applyBorder="1" applyAlignment="1">
      <alignment horizontal="center" vertical="center"/>
    </xf>
    <xf numFmtId="9" fontId="0" fillId="26" borderId="132" xfId="0" applyNumberFormat="1" applyFill="1" applyBorder="1" applyAlignment="1">
      <alignment horizontal="center" vertical="center"/>
    </xf>
    <xf numFmtId="9" fontId="0" fillId="26" borderId="133" xfId="0" applyNumberFormat="1" applyFill="1" applyBorder="1" applyAlignment="1">
      <alignment horizontal="center" vertical="center"/>
    </xf>
    <xf numFmtId="167" fontId="15" fillId="29" borderId="204" xfId="13" applyNumberFormat="1" applyFill="1" applyBorder="1" applyAlignment="1">
      <alignment vertical="center"/>
    </xf>
    <xf numFmtId="167" fontId="23" fillId="31" borderId="52" xfId="13" applyNumberFormat="1" applyFont="1" applyFill="1" applyBorder="1" applyAlignment="1">
      <alignment vertical="center" wrapText="1"/>
    </xf>
    <xf numFmtId="167" fontId="23" fillId="31" borderId="63" xfId="13" applyNumberFormat="1" applyFont="1" applyFill="1" applyBorder="1" applyAlignment="1">
      <alignment vertical="center" wrapText="1"/>
    </xf>
    <xf numFmtId="167" fontId="15" fillId="73" borderId="204" xfId="13" applyNumberFormat="1" applyFill="1" applyBorder="1" applyAlignment="1">
      <alignment vertical="center"/>
    </xf>
    <xf numFmtId="175" fontId="15" fillId="73" borderId="204" xfId="12" applyNumberFormat="1" applyFill="1" applyBorder="1"/>
    <xf numFmtId="167" fontId="20" fillId="73" borderId="204" xfId="13" applyNumberFormat="1" applyFont="1" applyFill="1" applyBorder="1" applyAlignment="1">
      <alignment vertical="center"/>
    </xf>
    <xf numFmtId="167" fontId="0" fillId="73" borderId="204" xfId="13" applyNumberFormat="1" applyFont="1" applyFill="1" applyBorder="1" applyAlignment="1">
      <alignment vertical="center"/>
    </xf>
    <xf numFmtId="0" fontId="0" fillId="74" borderId="0" xfId="0" applyFill="1"/>
    <xf numFmtId="0" fontId="14" fillId="74" borderId="0" xfId="0" applyFont="1" applyFill="1" applyAlignment="1">
      <alignment horizontal="center" vertical="center"/>
    </xf>
    <xf numFmtId="0" fontId="0" fillId="74" borderId="0" xfId="0" applyFill="1" applyAlignment="1">
      <alignment horizontal="center" vertical="center"/>
    </xf>
    <xf numFmtId="177" fontId="0" fillId="54" borderId="184" xfId="13" applyNumberFormat="1" applyFont="1" applyFill="1" applyBorder="1" applyAlignment="1">
      <alignment vertical="center"/>
    </xf>
    <xf numFmtId="177" fontId="0" fillId="54" borderId="238" xfId="13" applyNumberFormat="1" applyFont="1" applyFill="1" applyBorder="1" applyAlignment="1">
      <alignment vertical="center"/>
    </xf>
    <xf numFmtId="177" fontId="0" fillId="19" borderId="232" xfId="13" applyNumberFormat="1" applyFont="1" applyFill="1" applyBorder="1" applyAlignment="1">
      <alignment vertical="center"/>
    </xf>
    <xf numFmtId="0" fontId="14" fillId="16" borderId="107" xfId="0" applyFont="1" applyFill="1" applyBorder="1" applyAlignment="1">
      <alignment horizontal="center" vertical="center" wrapText="1"/>
    </xf>
    <xf numFmtId="177" fontId="0" fillId="12" borderId="157" xfId="13" applyNumberFormat="1" applyFont="1" applyFill="1" applyBorder="1" applyAlignment="1" applyProtection="1">
      <alignment vertical="center"/>
      <protection locked="0"/>
    </xf>
    <xf numFmtId="0" fontId="0" fillId="12" borderId="82" xfId="0" applyFill="1" applyBorder="1" applyAlignment="1" applyProtection="1">
      <alignment horizontal="left" vertical="center"/>
      <protection locked="0"/>
    </xf>
    <xf numFmtId="177" fontId="0" fillId="19" borderId="82" xfId="13" applyNumberFormat="1" applyFont="1" applyFill="1" applyBorder="1" applyAlignment="1">
      <alignment vertical="center"/>
    </xf>
    <xf numFmtId="177" fontId="0" fillId="19" borderId="271" xfId="13" applyNumberFormat="1" applyFont="1" applyFill="1" applyBorder="1" applyAlignment="1">
      <alignment vertical="center"/>
    </xf>
    <xf numFmtId="177" fontId="0" fillId="12" borderId="215" xfId="13" applyNumberFormat="1" applyFont="1" applyFill="1" applyBorder="1" applyAlignment="1" applyProtection="1">
      <alignment vertical="center"/>
      <protection locked="0"/>
    </xf>
    <xf numFmtId="177" fontId="0" fillId="69" borderId="135" xfId="13" applyNumberFormat="1" applyFont="1" applyFill="1" applyBorder="1" applyAlignment="1">
      <alignment vertical="center"/>
    </xf>
    <xf numFmtId="177" fontId="0" fillId="12" borderId="83" xfId="13" applyNumberFormat="1" applyFont="1" applyFill="1" applyBorder="1" applyAlignment="1" applyProtection="1">
      <alignment vertical="center"/>
      <protection locked="0"/>
    </xf>
    <xf numFmtId="177" fontId="0" fillId="69" borderId="273" xfId="13" applyNumberFormat="1" applyFont="1" applyFill="1" applyBorder="1" applyAlignment="1">
      <alignment vertical="center"/>
    </xf>
    <xf numFmtId="177" fontId="0" fillId="69" borderId="56" xfId="13" applyNumberFormat="1" applyFont="1" applyFill="1" applyBorder="1" applyAlignment="1">
      <alignment vertical="center"/>
    </xf>
    <xf numFmtId="177" fontId="0" fillId="12" borderId="136" xfId="13" applyNumberFormat="1" applyFont="1" applyFill="1" applyBorder="1" applyAlignment="1" applyProtection="1">
      <alignment vertical="center"/>
      <protection locked="0"/>
    </xf>
    <xf numFmtId="177" fontId="0" fillId="12" borderId="240" xfId="13" applyNumberFormat="1" applyFont="1" applyFill="1" applyBorder="1" applyAlignment="1" applyProtection="1">
      <alignment vertical="center"/>
      <protection locked="0"/>
    </xf>
    <xf numFmtId="177" fontId="0" fillId="69" borderId="131" xfId="13" applyNumberFormat="1" applyFont="1" applyFill="1" applyBorder="1" applyAlignment="1">
      <alignment vertical="center"/>
    </xf>
    <xf numFmtId="177" fontId="0" fillId="69" borderId="274" xfId="13" applyNumberFormat="1" applyFont="1" applyFill="1" applyBorder="1" applyAlignment="1">
      <alignment vertical="center"/>
    </xf>
    <xf numFmtId="177" fontId="0" fillId="69" borderId="48" xfId="13" applyNumberFormat="1" applyFont="1" applyFill="1" applyBorder="1" applyAlignment="1">
      <alignment vertical="center"/>
    </xf>
    <xf numFmtId="0" fontId="0" fillId="12" borderId="215" xfId="0" applyFill="1" applyBorder="1" applyAlignment="1" applyProtection="1">
      <alignment horizontal="left" vertical="center"/>
      <protection locked="0"/>
    </xf>
    <xf numFmtId="167" fontId="0" fillId="12" borderId="217" xfId="13" applyNumberFormat="1" applyFont="1" applyFill="1" applyBorder="1" applyAlignment="1" applyProtection="1">
      <alignment vertical="center"/>
      <protection locked="0"/>
    </xf>
    <xf numFmtId="0" fontId="0" fillId="12" borderId="203" xfId="0" applyFill="1" applyBorder="1" applyAlignment="1" applyProtection="1">
      <alignment horizontal="left" vertical="center"/>
      <protection locked="0"/>
    </xf>
    <xf numFmtId="167" fontId="0" fillId="12" borderId="205" xfId="13" applyNumberFormat="1" applyFont="1" applyFill="1" applyBorder="1" applyAlignment="1" applyProtection="1">
      <alignment vertical="center"/>
      <protection locked="0"/>
    </xf>
    <xf numFmtId="0" fontId="0" fillId="12" borderId="232" xfId="0" applyFill="1" applyBorder="1" applyAlignment="1" applyProtection="1">
      <alignment horizontal="left" vertical="center"/>
      <protection locked="0"/>
    </xf>
    <xf numFmtId="0" fontId="0" fillId="12" borderId="136" xfId="0" applyFill="1" applyBorder="1" applyAlignment="1" applyProtection="1">
      <alignment horizontal="left" vertical="center"/>
      <protection locked="0"/>
    </xf>
    <xf numFmtId="0" fontId="0" fillId="12" borderId="275" xfId="0" applyFill="1" applyBorder="1" applyAlignment="1" applyProtection="1">
      <alignment horizontal="left" vertical="center"/>
      <protection locked="0"/>
    </xf>
    <xf numFmtId="0" fontId="0" fillId="12" borderId="276" xfId="0" applyFill="1" applyBorder="1" applyAlignment="1" applyProtection="1">
      <alignment horizontal="left" vertical="center"/>
      <protection locked="0"/>
    </xf>
    <xf numFmtId="0" fontId="0" fillId="12" borderId="276" xfId="0" applyFill="1" applyBorder="1" applyProtection="1">
      <protection locked="0"/>
    </xf>
    <xf numFmtId="0" fontId="39" fillId="0" borderId="204" xfId="0" applyFont="1" applyBorder="1" applyAlignment="1" applyProtection="1">
      <alignment vertical="top" wrapText="1"/>
      <protection locked="0"/>
    </xf>
    <xf numFmtId="0" fontId="39" fillId="0" borderId="204" xfId="0" applyFont="1" applyBorder="1" applyAlignment="1" applyProtection="1">
      <alignment wrapText="1"/>
      <protection locked="0"/>
    </xf>
    <xf numFmtId="0" fontId="39" fillId="0" borderId="204" xfId="0" applyFont="1" applyBorder="1" applyProtection="1">
      <protection locked="0"/>
    </xf>
    <xf numFmtId="0" fontId="39" fillId="0" borderId="0" xfId="0" applyFont="1" applyProtection="1">
      <protection locked="0"/>
    </xf>
    <xf numFmtId="0" fontId="42" fillId="21" borderId="204" xfId="0" applyFont="1" applyFill="1" applyBorder="1" applyAlignment="1">
      <alignment horizontal="left" vertical="center"/>
    </xf>
    <xf numFmtId="0" fontId="43" fillId="23" borderId="204" xfId="0" applyFont="1" applyFill="1" applyBorder="1" applyAlignment="1">
      <alignment horizontal="left" vertical="center"/>
    </xf>
    <xf numFmtId="0" fontId="43" fillId="20" borderId="142" xfId="0" applyFont="1" applyFill="1" applyBorder="1" applyAlignment="1">
      <alignment horizontal="left" vertical="center"/>
    </xf>
    <xf numFmtId="180" fontId="42" fillId="19" borderId="157" xfId="13" applyNumberFormat="1" applyFont="1" applyFill="1" applyBorder="1" applyAlignment="1" applyProtection="1">
      <alignment horizontal="center"/>
      <protection locked="0"/>
    </xf>
    <xf numFmtId="180" fontId="42" fillId="19" borderId="157" xfId="13" applyNumberFormat="1" applyFont="1" applyFill="1" applyBorder="1" applyAlignment="1">
      <alignment horizontal="center"/>
    </xf>
    <xf numFmtId="174" fontId="44" fillId="0" borderId="152" xfId="0" applyNumberFormat="1" applyFont="1" applyBorder="1" applyAlignment="1">
      <alignment horizontal="left" vertical="top" wrapText="1"/>
    </xf>
    <xf numFmtId="42" fontId="39" fillId="12" borderId="204" xfId="31" applyFont="1" applyFill="1" applyBorder="1" applyAlignment="1" applyProtection="1">
      <alignment horizontal="center" vertical="top"/>
      <protection locked="0"/>
    </xf>
    <xf numFmtId="42" fontId="39" fillId="44" borderId="204" xfId="31" applyFont="1" applyFill="1" applyBorder="1" applyAlignment="1" applyProtection="1">
      <alignment horizontal="center" vertical="top"/>
    </xf>
    <xf numFmtId="174" fontId="44" fillId="0" borderId="152" xfId="0" applyNumberFormat="1" applyFont="1" applyBorder="1" applyAlignment="1">
      <alignment horizontal="left" vertical="top"/>
    </xf>
    <xf numFmtId="42" fontId="39" fillId="48" borderId="204" xfId="31" applyFont="1" applyFill="1" applyBorder="1" applyAlignment="1" applyProtection="1">
      <alignment horizontal="center" vertical="top"/>
      <protection locked="0"/>
    </xf>
    <xf numFmtId="0" fontId="43" fillId="23" borderId="228" xfId="0" applyFont="1" applyFill="1" applyBorder="1" applyAlignment="1">
      <alignment horizontal="left" vertical="top"/>
    </xf>
    <xf numFmtId="167" fontId="43" fillId="40" borderId="204" xfId="13" applyNumberFormat="1" applyFont="1" applyFill="1" applyBorder="1" applyAlignment="1" applyProtection="1">
      <alignment vertical="top"/>
      <protection locked="0"/>
    </xf>
    <xf numFmtId="0" fontId="43" fillId="20" borderId="228" xfId="0" applyFont="1" applyFill="1" applyBorder="1" applyAlignment="1">
      <alignment horizontal="left" vertical="top"/>
    </xf>
    <xf numFmtId="180" fontId="42" fillId="19" borderId="204" xfId="13" applyNumberFormat="1" applyFont="1" applyFill="1" applyBorder="1" applyAlignment="1" applyProtection="1">
      <alignment horizontal="center" vertical="top"/>
      <protection locked="0"/>
    </xf>
    <xf numFmtId="180" fontId="42" fillId="19" borderId="204" xfId="13" applyNumberFormat="1" applyFont="1" applyFill="1" applyBorder="1" applyAlignment="1">
      <alignment horizontal="center" vertical="top"/>
    </xf>
    <xf numFmtId="0" fontId="43" fillId="20" borderId="228" xfId="0" applyFont="1" applyFill="1" applyBorder="1" applyAlignment="1" applyProtection="1">
      <alignment horizontal="left" vertical="top"/>
      <protection locked="0"/>
    </xf>
    <xf numFmtId="0" fontId="43" fillId="20" borderId="204" xfId="0" applyFont="1" applyFill="1" applyBorder="1" applyAlignment="1">
      <alignment horizontal="left" vertical="top"/>
    </xf>
    <xf numFmtId="0" fontId="43" fillId="20" borderId="204" xfId="0" applyFont="1" applyFill="1" applyBorder="1" applyAlignment="1" applyProtection="1">
      <alignment horizontal="left" vertical="top"/>
      <protection locked="0"/>
    </xf>
    <xf numFmtId="0" fontId="39" fillId="0" borderId="204" xfId="0" applyFont="1" applyBorder="1" applyAlignment="1" applyProtection="1">
      <alignment vertical="top"/>
      <protection locked="0"/>
    </xf>
    <xf numFmtId="0" fontId="45" fillId="0" borderId="204" xfId="0" applyFont="1" applyBorder="1" applyAlignment="1">
      <alignment vertical="top" wrapText="1"/>
    </xf>
    <xf numFmtId="0" fontId="45" fillId="0" borderId="204" xfId="39" applyFont="1" applyBorder="1" applyAlignment="1">
      <alignment vertical="top" wrapText="1"/>
    </xf>
    <xf numFmtId="0" fontId="45" fillId="0" borderId="204" xfId="0" applyFont="1" applyBorder="1" applyAlignment="1">
      <alignment wrapText="1"/>
    </xf>
    <xf numFmtId="0" fontId="44" fillId="0" borderId="277" xfId="0" applyFont="1" applyBorder="1" applyAlignment="1">
      <alignment horizontal="left" vertical="top"/>
    </xf>
    <xf numFmtId="180" fontId="39" fillId="0" borderId="204" xfId="13" applyNumberFormat="1" applyFont="1" applyBorder="1" applyAlignment="1" applyProtection="1">
      <alignment horizontal="center" vertical="top"/>
      <protection locked="0"/>
    </xf>
    <xf numFmtId="0" fontId="14" fillId="16" borderId="237" xfId="0" applyFont="1" applyFill="1" applyBorder="1" applyAlignment="1">
      <alignment horizontal="center" vertical="center" wrapText="1"/>
    </xf>
    <xf numFmtId="0" fontId="22" fillId="0" borderId="0" xfId="20"/>
    <xf numFmtId="0" fontId="0" fillId="0" borderId="0" xfId="0"/>
    <xf numFmtId="0" fontId="22" fillId="0" borderId="0" xfId="20" applyBorder="1" applyAlignment="1" applyProtection="1">
      <alignment horizontal="left" vertical="center"/>
    </xf>
    <xf numFmtId="0" fontId="22" fillId="0" borderId="0" xfId="20" applyBorder="1" applyAlignment="1" applyProtection="1">
      <alignment horizontal="left" vertical="center" wrapText="1"/>
    </xf>
    <xf numFmtId="0" fontId="22" fillId="0" borderId="0" xfId="20" applyBorder="1" applyAlignment="1" applyProtection="1">
      <alignment horizontal="left" vertical="center" indent="2"/>
    </xf>
    <xf numFmtId="0" fontId="22" fillId="0" borderId="0" xfId="20" applyAlignment="1" applyProtection="1">
      <alignment horizontal="center"/>
    </xf>
    <xf numFmtId="167" fontId="0" fillId="9" borderId="131" xfId="13" applyNumberFormat="1" applyFont="1" applyFill="1" applyBorder="1" applyAlignment="1">
      <alignment horizontal="right" vertical="center"/>
    </xf>
    <xf numFmtId="167" fontId="0" fillId="9" borderId="132" xfId="13" applyNumberFormat="1" applyFont="1" applyFill="1" applyBorder="1" applyAlignment="1">
      <alignment horizontal="right" vertical="center"/>
    </xf>
    <xf numFmtId="0" fontId="0" fillId="0" borderId="161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156" xfId="0" applyBorder="1" applyAlignment="1">
      <alignment horizontal="center" vertical="center" wrapText="1"/>
    </xf>
    <xf numFmtId="0" fontId="0" fillId="0" borderId="179" xfId="0" applyBorder="1" applyAlignment="1">
      <alignment horizontal="center" vertical="center" wrapText="1"/>
    </xf>
    <xf numFmtId="0" fontId="0" fillId="0" borderId="18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167" fontId="23" fillId="31" borderId="151" xfId="0" applyNumberFormat="1" applyFont="1" applyFill="1" applyBorder="1" applyAlignment="1">
      <alignment horizontal="center" vertical="center"/>
    </xf>
    <xf numFmtId="0" fontId="24" fillId="0" borderId="164" xfId="0" applyFont="1" applyBorder="1" applyAlignment="1">
      <alignment horizontal="center" vertical="center" wrapText="1"/>
    </xf>
    <xf numFmtId="0" fontId="24" fillId="0" borderId="112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167" fontId="23" fillId="31" borderId="88" xfId="0" applyNumberFormat="1" applyFont="1" applyFill="1" applyBorder="1" applyAlignment="1">
      <alignment horizontal="right" vertical="center"/>
    </xf>
    <xf numFmtId="167" fontId="23" fillId="31" borderId="151" xfId="0" applyNumberFormat="1" applyFont="1" applyFill="1" applyBorder="1" applyAlignment="1">
      <alignment horizontal="right" vertical="center"/>
    </xf>
    <xf numFmtId="0" fontId="24" fillId="42" borderId="164" xfId="0" applyFont="1" applyFill="1" applyBorder="1" applyAlignment="1">
      <alignment horizontal="center" vertical="center" wrapText="1"/>
    </xf>
    <xf numFmtId="0" fontId="24" fillId="42" borderId="112" xfId="0" applyFont="1" applyFill="1" applyBorder="1" applyAlignment="1">
      <alignment horizontal="center" vertical="center" wrapText="1"/>
    </xf>
    <xf numFmtId="0" fontId="24" fillId="42" borderId="48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right" vertical="center"/>
    </xf>
    <xf numFmtId="0" fontId="24" fillId="12" borderId="3" xfId="0" applyFont="1" applyFill="1" applyBorder="1" applyAlignment="1" applyProtection="1">
      <alignment horizontal="center" vertical="center"/>
      <protection locked="0"/>
    </xf>
    <xf numFmtId="0" fontId="24" fillId="12" borderId="45" xfId="0" applyFont="1" applyFill="1" applyBorder="1" applyAlignment="1" applyProtection="1">
      <alignment horizontal="center" vertical="center"/>
      <protection locked="0"/>
    </xf>
    <xf numFmtId="0" fontId="24" fillId="12" borderId="4" xfId="0" applyFont="1" applyFill="1" applyBorder="1" applyAlignment="1" applyProtection="1">
      <alignment horizontal="center" vertical="center"/>
      <protection locked="0"/>
    </xf>
    <xf numFmtId="167" fontId="14" fillId="15" borderId="165" xfId="0" applyNumberFormat="1" applyFont="1" applyFill="1" applyBorder="1" applyAlignment="1">
      <alignment horizontal="center" vertical="center"/>
    </xf>
    <xf numFmtId="167" fontId="14" fillId="15" borderId="150" xfId="0" applyNumberFormat="1" applyFont="1" applyFill="1" applyBorder="1" applyAlignment="1">
      <alignment horizontal="center" vertical="center"/>
    </xf>
    <xf numFmtId="167" fontId="24" fillId="38" borderId="89" xfId="0" applyNumberFormat="1" applyFont="1" applyFill="1" applyBorder="1" applyAlignment="1">
      <alignment horizontal="center" vertical="center" wrapText="1"/>
    </xf>
    <xf numFmtId="167" fontId="24" fillId="38" borderId="91" xfId="0" applyNumberFormat="1" applyFont="1" applyFill="1" applyBorder="1" applyAlignment="1">
      <alignment horizontal="center" vertical="center" wrapText="1"/>
    </xf>
    <xf numFmtId="167" fontId="24" fillId="38" borderId="94" xfId="0" applyNumberFormat="1" applyFont="1" applyFill="1" applyBorder="1" applyAlignment="1">
      <alignment horizontal="center" vertical="center" wrapText="1"/>
    </xf>
    <xf numFmtId="167" fontId="25" fillId="33" borderId="89" xfId="0" applyNumberFormat="1" applyFont="1" applyFill="1" applyBorder="1" applyAlignment="1">
      <alignment horizontal="center" vertical="center" wrapText="1"/>
    </xf>
    <xf numFmtId="167" fontId="25" fillId="33" borderId="91" xfId="0" applyNumberFormat="1" applyFont="1" applyFill="1" applyBorder="1" applyAlignment="1">
      <alignment horizontal="center" vertical="center" wrapText="1"/>
    </xf>
    <xf numFmtId="167" fontId="25" fillId="33" borderId="94" xfId="0" applyNumberFormat="1" applyFont="1" applyFill="1" applyBorder="1" applyAlignment="1">
      <alignment horizontal="center" vertical="center" wrapText="1"/>
    </xf>
    <xf numFmtId="167" fontId="28" fillId="43" borderId="167" xfId="0" applyNumberFormat="1" applyFont="1" applyFill="1" applyBorder="1" applyAlignment="1">
      <alignment horizontal="center" vertical="center" wrapText="1"/>
    </xf>
    <xf numFmtId="167" fontId="28" fillId="43" borderId="57" xfId="0" applyNumberFormat="1" applyFont="1" applyFill="1" applyBorder="1" applyAlignment="1">
      <alignment horizontal="center" vertical="center" wrapText="1"/>
    </xf>
    <xf numFmtId="167" fontId="19" fillId="33" borderId="59" xfId="0" applyNumberFormat="1" applyFont="1" applyFill="1" applyBorder="1" applyAlignment="1">
      <alignment horizontal="center" vertical="center" wrapText="1"/>
    </xf>
    <xf numFmtId="167" fontId="19" fillId="33" borderId="58" xfId="0" applyNumberFormat="1" applyFont="1" applyFill="1" applyBorder="1" applyAlignment="1">
      <alignment horizontal="center" vertical="center" wrapText="1"/>
    </xf>
    <xf numFmtId="167" fontId="19" fillId="33" borderId="22" xfId="0" applyNumberFormat="1" applyFont="1" applyFill="1" applyBorder="1" applyAlignment="1">
      <alignment horizontal="center" vertical="center" wrapText="1"/>
    </xf>
    <xf numFmtId="167" fontId="19" fillId="33" borderId="55" xfId="0" applyNumberFormat="1" applyFont="1" applyFill="1" applyBorder="1" applyAlignment="1">
      <alignment horizontal="center" vertical="center" wrapText="1"/>
    </xf>
    <xf numFmtId="167" fontId="19" fillId="33" borderId="118" xfId="0" applyNumberFormat="1" applyFont="1" applyFill="1" applyBorder="1" applyAlignment="1">
      <alignment horizontal="center" vertical="center" wrapText="1"/>
    </xf>
    <xf numFmtId="167" fontId="19" fillId="33" borderId="112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indent="2"/>
    </xf>
    <xf numFmtId="0" fontId="14" fillId="15" borderId="162" xfId="0" applyFont="1" applyFill="1" applyBorder="1" applyAlignment="1">
      <alignment horizontal="center" vertical="center" wrapText="1"/>
    </xf>
    <xf numFmtId="0" fontId="14" fillId="15" borderId="163" xfId="0" applyFont="1" applyFill="1" applyBorder="1" applyAlignment="1">
      <alignment horizontal="center" vertical="center" wrapText="1"/>
    </xf>
    <xf numFmtId="0" fontId="14" fillId="15" borderId="159" xfId="0" applyFont="1" applyFill="1" applyBorder="1" applyAlignment="1">
      <alignment horizontal="center" vertical="center" wrapText="1"/>
    </xf>
    <xf numFmtId="0" fontId="14" fillId="15" borderId="160" xfId="0" applyFont="1" applyFill="1" applyBorder="1" applyAlignment="1">
      <alignment horizontal="center" vertical="center" wrapText="1"/>
    </xf>
    <xf numFmtId="0" fontId="23" fillId="42" borderId="182" xfId="0" applyFont="1" applyFill="1" applyBorder="1" applyAlignment="1">
      <alignment horizontal="center" vertical="center" wrapText="1"/>
    </xf>
    <xf numFmtId="0" fontId="23" fillId="42" borderId="116" xfId="0" applyFont="1" applyFill="1" applyBorder="1" applyAlignment="1">
      <alignment horizontal="center" vertical="center" wrapText="1"/>
    </xf>
    <xf numFmtId="0" fontId="23" fillId="42" borderId="183" xfId="0" applyFont="1" applyFill="1" applyBorder="1" applyAlignment="1">
      <alignment horizontal="center" vertical="center" wrapText="1"/>
    </xf>
    <xf numFmtId="0" fontId="23" fillId="0" borderId="110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111" xfId="0" applyFont="1" applyBorder="1" applyAlignment="1">
      <alignment horizontal="center" vertical="center" wrapText="1"/>
    </xf>
    <xf numFmtId="0" fontId="24" fillId="13" borderId="129" xfId="0" applyFont="1" applyFill="1" applyBorder="1" applyAlignment="1" applyProtection="1">
      <alignment horizontal="center" vertical="center"/>
      <protection locked="0"/>
    </xf>
    <xf numFmtId="0" fontId="24" fillId="13" borderId="130" xfId="0" applyFont="1" applyFill="1" applyBorder="1" applyAlignment="1" applyProtection="1">
      <alignment horizontal="center" vertical="center"/>
      <protection locked="0"/>
    </xf>
    <xf numFmtId="167" fontId="25" fillId="33" borderId="257" xfId="0" applyNumberFormat="1" applyFont="1" applyFill="1" applyBorder="1" applyAlignment="1">
      <alignment horizontal="center" vertical="center" wrapText="1"/>
    </xf>
    <xf numFmtId="167" fontId="25" fillId="33" borderId="258" xfId="0" applyNumberFormat="1" applyFont="1" applyFill="1" applyBorder="1" applyAlignment="1">
      <alignment horizontal="center" vertical="center" wrapText="1"/>
    </xf>
    <xf numFmtId="167" fontId="25" fillId="33" borderId="255" xfId="0" applyNumberFormat="1" applyFont="1" applyFill="1" applyBorder="1" applyAlignment="1">
      <alignment horizontal="center" vertical="center" wrapText="1"/>
    </xf>
    <xf numFmtId="0" fontId="24" fillId="16" borderId="234" xfId="0" applyFont="1" applyFill="1" applyBorder="1" applyAlignment="1">
      <alignment horizontal="center" vertical="center" wrapText="1"/>
    </xf>
    <xf numFmtId="0" fontId="24" fillId="16" borderId="237" xfId="0" applyFont="1" applyFill="1" applyBorder="1" applyAlignment="1">
      <alignment horizontal="center" vertical="center" wrapText="1"/>
    </xf>
    <xf numFmtId="167" fontId="25" fillId="33" borderId="241" xfId="0" applyNumberFormat="1" applyFont="1" applyFill="1" applyBorder="1" applyAlignment="1">
      <alignment horizontal="center" vertical="center" wrapText="1"/>
    </xf>
    <xf numFmtId="167" fontId="25" fillId="33" borderId="242" xfId="0" applyNumberFormat="1" applyFont="1" applyFill="1" applyBorder="1" applyAlignment="1">
      <alignment horizontal="center" vertical="center" wrapText="1"/>
    </xf>
    <xf numFmtId="167" fontId="25" fillId="33" borderId="243" xfId="0" applyNumberFormat="1" applyFont="1" applyFill="1" applyBorder="1" applyAlignment="1">
      <alignment horizontal="center" vertical="center" wrapText="1"/>
    </xf>
    <xf numFmtId="0" fontId="26" fillId="11" borderId="0" xfId="0" applyFont="1" applyFill="1" applyAlignment="1">
      <alignment horizontal="left" vertical="center" indent="2"/>
    </xf>
    <xf numFmtId="0" fontId="24" fillId="15" borderId="23" xfId="0" applyFont="1" applyFill="1" applyBorder="1" applyAlignment="1">
      <alignment horizontal="center" vertical="center" wrapText="1"/>
    </xf>
    <xf numFmtId="0" fontId="24" fillId="15" borderId="46" xfId="0" applyFont="1" applyFill="1" applyBorder="1" applyAlignment="1">
      <alignment horizontal="center" vertical="center" wrapText="1"/>
    </xf>
    <xf numFmtId="0" fontId="24" fillId="16" borderId="219" xfId="0" applyFont="1" applyFill="1" applyBorder="1" applyAlignment="1">
      <alignment horizontal="center" vertical="center" wrapText="1"/>
    </xf>
    <xf numFmtId="0" fontId="24" fillId="16" borderId="16" xfId="0" applyFont="1" applyFill="1" applyBorder="1" applyAlignment="1">
      <alignment horizontal="center" vertical="center" wrapText="1"/>
    </xf>
    <xf numFmtId="0" fontId="24" fillId="15" borderId="131" xfId="0" applyFont="1" applyFill="1" applyBorder="1" applyAlignment="1">
      <alignment horizontal="center" vertical="center" wrapText="1"/>
    </xf>
    <xf numFmtId="0" fontId="24" fillId="15" borderId="114" xfId="0" applyFont="1" applyFill="1" applyBorder="1" applyAlignment="1">
      <alignment horizontal="center" vertical="center" wrapText="1"/>
    </xf>
    <xf numFmtId="0" fontId="23" fillId="44" borderId="83" xfId="0" applyFont="1" applyFill="1" applyBorder="1" applyAlignment="1">
      <alignment horizontal="center" vertical="center" wrapText="1"/>
    </xf>
    <xf numFmtId="0" fontId="23" fillId="44" borderId="134" xfId="0" applyFont="1" applyFill="1" applyBorder="1" applyAlignment="1">
      <alignment horizontal="center" vertical="center" wrapText="1"/>
    </xf>
    <xf numFmtId="0" fontId="23" fillId="44" borderId="5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177" fontId="0" fillId="54" borderId="238" xfId="13" applyNumberFormat="1" applyFont="1" applyFill="1" applyBorder="1" applyAlignment="1">
      <alignment horizontal="center" vertical="center"/>
    </xf>
    <xf numFmtId="177" fontId="0" fillId="54" borderId="239" xfId="13" applyNumberFormat="1" applyFont="1" applyFill="1" applyBorder="1" applyAlignment="1">
      <alignment horizontal="center" vertical="center"/>
    </xf>
    <xf numFmtId="167" fontId="25" fillId="33" borderId="166" xfId="0" applyNumberFormat="1" applyFont="1" applyFill="1" applyBorder="1" applyAlignment="1">
      <alignment horizontal="center" vertical="center" wrapText="1"/>
    </xf>
    <xf numFmtId="167" fontId="25" fillId="33" borderId="246" xfId="0" applyNumberFormat="1" applyFont="1" applyFill="1" applyBorder="1" applyAlignment="1">
      <alignment horizontal="center" vertical="center" wrapText="1"/>
    </xf>
    <xf numFmtId="167" fontId="14" fillId="15" borderId="182" xfId="0" applyNumberFormat="1" applyFont="1" applyFill="1" applyBorder="1" applyAlignment="1">
      <alignment horizontal="center" vertical="center" wrapText="1"/>
    </xf>
    <xf numFmtId="167" fontId="14" fillId="15" borderId="244" xfId="0" applyNumberFormat="1" applyFont="1" applyFill="1" applyBorder="1" applyAlignment="1">
      <alignment horizontal="center" vertical="center" wrapText="1"/>
    </xf>
    <xf numFmtId="167" fontId="14" fillId="15" borderId="245" xfId="0" applyNumberFormat="1" applyFont="1" applyFill="1" applyBorder="1" applyAlignment="1">
      <alignment horizontal="center" vertical="center" wrapText="1"/>
    </xf>
    <xf numFmtId="0" fontId="23" fillId="44" borderId="215" xfId="0" applyFont="1" applyFill="1" applyBorder="1" applyAlignment="1">
      <alignment horizontal="center" vertical="center" wrapText="1"/>
    </xf>
    <xf numFmtId="0" fontId="23" fillId="44" borderId="108" xfId="0" applyFont="1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0" fontId="12" fillId="15" borderId="100" xfId="0" applyFont="1" applyFill="1" applyBorder="1" applyAlignment="1">
      <alignment horizontal="center" vertical="center"/>
    </xf>
    <xf numFmtId="0" fontId="12" fillId="15" borderId="142" xfId="0" applyFont="1" applyFill="1" applyBorder="1" applyAlignment="1">
      <alignment horizontal="center" vertical="center"/>
    </xf>
    <xf numFmtId="0" fontId="14" fillId="17" borderId="7" xfId="0" applyFont="1" applyFill="1" applyBorder="1" applyAlignment="1">
      <alignment horizontal="center" vertical="center"/>
    </xf>
    <xf numFmtId="0" fontId="14" fillId="17" borderId="12" xfId="0" applyFont="1" applyFill="1" applyBorder="1" applyAlignment="1">
      <alignment horizontal="center" vertical="center"/>
    </xf>
    <xf numFmtId="0" fontId="24" fillId="1" borderId="218" xfId="0" applyFont="1" applyFill="1" applyBorder="1" applyAlignment="1">
      <alignment horizontal="center" vertical="center" wrapText="1"/>
    </xf>
    <xf numFmtId="0" fontId="24" fillId="1" borderId="112" xfId="0" applyFont="1" applyFill="1" applyBorder="1" applyAlignment="1">
      <alignment horizontal="center" vertical="center" wrapText="1"/>
    </xf>
    <xf numFmtId="0" fontId="24" fillId="1" borderId="48" xfId="0" applyFont="1" applyFill="1" applyBorder="1" applyAlignment="1">
      <alignment horizontal="center" vertical="center" wrapText="1"/>
    </xf>
    <xf numFmtId="0" fontId="24" fillId="0" borderId="218" xfId="0" applyFont="1" applyBorder="1" applyAlignment="1">
      <alignment horizontal="center" vertical="center" wrapText="1"/>
    </xf>
    <xf numFmtId="0" fontId="35" fillId="49" borderId="231" xfId="0" applyFont="1" applyFill="1" applyBorder="1" applyAlignment="1">
      <alignment horizontal="center" vertical="center" wrapText="1"/>
    </xf>
    <xf numFmtId="0" fontId="35" fillId="49" borderId="232" xfId="0" applyFont="1" applyFill="1" applyBorder="1" applyAlignment="1">
      <alignment horizontal="center" vertical="center" wrapText="1"/>
    </xf>
    <xf numFmtId="0" fontId="36" fillId="36" borderId="226" xfId="0" applyFont="1" applyFill="1" applyBorder="1" applyAlignment="1">
      <alignment horizontal="center" vertical="center"/>
    </xf>
    <xf numFmtId="0" fontId="36" fillId="36" borderId="157" xfId="0" applyFont="1" applyFill="1" applyBorder="1" applyAlignment="1">
      <alignment horizontal="center" vertical="center"/>
    </xf>
    <xf numFmtId="0" fontId="24" fillId="12" borderId="27" xfId="0" applyFont="1" applyFill="1" applyBorder="1" applyAlignment="1" applyProtection="1">
      <alignment horizontal="center" vertical="center"/>
      <protection locked="0"/>
    </xf>
    <xf numFmtId="0" fontId="24" fillId="12" borderId="18" xfId="0" applyFont="1" applyFill="1" applyBorder="1" applyAlignment="1" applyProtection="1">
      <alignment horizontal="center" vertical="center"/>
      <protection locked="0"/>
    </xf>
    <xf numFmtId="0" fontId="12" fillId="17" borderId="103" xfId="0" applyFont="1" applyFill="1" applyBorder="1" applyAlignment="1">
      <alignment horizontal="center" vertical="center"/>
    </xf>
    <xf numFmtId="0" fontId="12" fillId="16" borderId="103" xfId="0" applyFont="1" applyFill="1" applyBorder="1" applyAlignment="1">
      <alignment horizontal="center" vertical="center" wrapText="1"/>
    </xf>
    <xf numFmtId="165" fontId="14" fillId="18" borderId="138" xfId="13" applyFont="1" applyFill="1" applyBorder="1" applyAlignment="1">
      <alignment horizontal="center" vertical="center" wrapText="1"/>
    </xf>
    <xf numFmtId="165" fontId="14" fillId="18" borderId="58" xfId="13" applyFont="1" applyFill="1" applyBorder="1" applyAlignment="1">
      <alignment horizontal="center" vertical="center" wrapText="1"/>
    </xf>
    <xf numFmtId="176" fontId="0" fillId="26" borderId="110" xfId="0" applyNumberFormat="1" applyFill="1" applyBorder="1" applyAlignment="1">
      <alignment horizontal="center" vertical="center"/>
    </xf>
    <xf numFmtId="176" fontId="0" fillId="26" borderId="81" xfId="0" applyNumberFormat="1" applyFill="1" applyBorder="1" applyAlignment="1">
      <alignment horizontal="center" vertical="center"/>
    </xf>
    <xf numFmtId="0" fontId="11" fillId="46" borderId="111" xfId="0" applyFont="1" applyFill="1" applyBorder="1" applyAlignment="1">
      <alignment horizontal="center" vertical="center"/>
    </xf>
    <xf numFmtId="0" fontId="11" fillId="46" borderId="122" xfId="0" applyFont="1" applyFill="1" applyBorder="1" applyAlignment="1">
      <alignment horizontal="center" vertical="center"/>
    </xf>
    <xf numFmtId="0" fontId="11" fillId="45" borderId="111" xfId="0" applyFont="1" applyFill="1" applyBorder="1" applyAlignment="1">
      <alignment horizontal="center" vertical="center"/>
    </xf>
    <xf numFmtId="0" fontId="11" fillId="45" borderId="122" xfId="0" applyFont="1" applyFill="1" applyBorder="1" applyAlignment="1">
      <alignment horizontal="center" vertical="center"/>
    </xf>
    <xf numFmtId="176" fontId="0" fillId="26" borderId="82" xfId="0" applyNumberFormat="1" applyFill="1" applyBorder="1" applyAlignment="1">
      <alignment horizontal="center" vertical="center"/>
    </xf>
    <xf numFmtId="0" fontId="14" fillId="16" borderId="263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2" fillId="16" borderId="66" xfId="0" applyFont="1" applyFill="1" applyBorder="1" applyAlignment="1">
      <alignment horizontal="center" vertical="center" wrapText="1"/>
    </xf>
    <xf numFmtId="0" fontId="19" fillId="46" borderId="110" xfId="0" applyFont="1" applyFill="1" applyBorder="1" applyAlignment="1">
      <alignment horizontal="center" vertical="center"/>
    </xf>
    <xf numFmtId="0" fontId="19" fillId="46" borderId="81" xfId="0" applyFont="1" applyFill="1" applyBorder="1" applyAlignment="1">
      <alignment horizontal="center" vertical="center"/>
    </xf>
    <xf numFmtId="0" fontId="19" fillId="45" borderId="110" xfId="0" applyFont="1" applyFill="1" applyBorder="1" applyAlignment="1">
      <alignment horizontal="center" vertical="center"/>
    </xf>
    <xf numFmtId="0" fontId="19" fillId="45" borderId="81" xfId="0" applyFont="1" applyFill="1" applyBorder="1" applyAlignment="1">
      <alignment horizontal="center" vertical="center"/>
    </xf>
    <xf numFmtId="0" fontId="11" fillId="14" borderId="111" xfId="0" applyFont="1" applyFill="1" applyBorder="1" applyAlignment="1">
      <alignment horizontal="center" vertical="center"/>
    </xf>
    <xf numFmtId="0" fontId="11" fillId="14" borderId="122" xfId="0" applyFont="1" applyFill="1" applyBorder="1" applyAlignment="1">
      <alignment horizontal="center" vertical="center"/>
    </xf>
    <xf numFmtId="0" fontId="19" fillId="14" borderId="80" xfId="0" applyFont="1" applyFill="1" applyBorder="1" applyAlignment="1">
      <alignment horizontal="center" vertical="center"/>
    </xf>
    <xf numFmtId="0" fontId="19" fillId="14" borderId="70" xfId="0" applyFont="1" applyFill="1" applyBorder="1" applyAlignment="1">
      <alignment horizontal="center" vertical="center"/>
    </xf>
    <xf numFmtId="0" fontId="19" fillId="46" borderId="80" xfId="0" applyFont="1" applyFill="1" applyBorder="1" applyAlignment="1">
      <alignment horizontal="center" vertical="center"/>
    </xf>
    <xf numFmtId="0" fontId="19" fillId="46" borderId="102" xfId="0" applyFont="1" applyFill="1" applyBorder="1" applyAlignment="1">
      <alignment horizontal="center" vertical="center"/>
    </xf>
    <xf numFmtId="0" fontId="19" fillId="45" borderId="82" xfId="0" applyFont="1" applyFill="1" applyBorder="1" applyAlignment="1">
      <alignment horizontal="center" vertical="center"/>
    </xf>
    <xf numFmtId="0" fontId="19" fillId="45" borderId="102" xfId="0" applyFont="1" applyFill="1" applyBorder="1" applyAlignment="1">
      <alignment horizontal="center" vertical="center"/>
    </xf>
    <xf numFmtId="0" fontId="19" fillId="14" borderId="110" xfId="0" applyFont="1" applyFill="1" applyBorder="1" applyAlignment="1">
      <alignment horizontal="center" vertical="center"/>
    </xf>
    <xf numFmtId="0" fontId="19" fillId="14" borderId="81" xfId="0" applyFont="1" applyFill="1" applyBorder="1" applyAlignment="1">
      <alignment horizontal="center" vertical="center"/>
    </xf>
    <xf numFmtId="0" fontId="24" fillId="45" borderId="69" xfId="0" applyFont="1" applyFill="1" applyBorder="1" applyAlignment="1">
      <alignment horizontal="center" vertical="center" textRotation="90" wrapText="1"/>
    </xf>
    <xf numFmtId="0" fontId="24" fillId="45" borderId="71" xfId="0" applyFont="1" applyFill="1" applyBorder="1" applyAlignment="1">
      <alignment horizontal="center" vertical="center" textRotation="90" wrapText="1"/>
    </xf>
    <xf numFmtId="0" fontId="24" fillId="45" borderId="48" xfId="0" applyFont="1" applyFill="1" applyBorder="1" applyAlignment="1">
      <alignment horizontal="center" vertical="center" textRotation="90" wrapText="1"/>
    </xf>
    <xf numFmtId="0" fontId="24" fillId="45" borderId="69" xfId="0" applyFont="1" applyFill="1" applyBorder="1" applyAlignment="1">
      <alignment horizontal="left" vertical="center" wrapText="1"/>
    </xf>
    <xf numFmtId="0" fontId="24" fillId="45" borderId="71" xfId="0" applyFont="1" applyFill="1" applyBorder="1" applyAlignment="1">
      <alignment horizontal="left" vertical="center" wrapText="1"/>
    </xf>
    <xf numFmtId="0" fontId="24" fillId="45" borderId="48" xfId="0" applyFont="1" applyFill="1" applyBorder="1" applyAlignment="1">
      <alignment horizontal="left" vertical="center" wrapText="1"/>
    </xf>
    <xf numFmtId="0" fontId="27" fillId="45" borderId="74" xfId="0" applyFont="1" applyFill="1" applyBorder="1" applyAlignment="1">
      <alignment horizontal="center" vertical="center" textRotation="90" wrapText="1"/>
    </xf>
    <xf numFmtId="0" fontId="27" fillId="45" borderId="60" xfId="0" applyFont="1" applyFill="1" applyBorder="1" applyAlignment="1">
      <alignment horizontal="center" vertical="center" textRotation="90" wrapText="1"/>
    </xf>
    <xf numFmtId="0" fontId="27" fillId="45" borderId="56" xfId="0" applyFont="1" applyFill="1" applyBorder="1" applyAlignment="1">
      <alignment horizontal="center" vertical="center" textRotation="90" wrapText="1"/>
    </xf>
    <xf numFmtId="0" fontId="24" fillId="12" borderId="131" xfId="0" applyFont="1" applyFill="1" applyBorder="1" applyAlignment="1" applyProtection="1">
      <alignment horizontal="left" vertical="center" wrapText="1"/>
      <protection locked="0"/>
    </xf>
    <xf numFmtId="0" fontId="24" fillId="12" borderId="132" xfId="0" applyFont="1" applyFill="1" applyBorder="1" applyAlignment="1" applyProtection="1">
      <alignment horizontal="left" vertical="center" wrapText="1"/>
      <protection locked="0"/>
    </xf>
    <xf numFmtId="0" fontId="24" fillId="12" borderId="133" xfId="0" applyFont="1" applyFill="1" applyBorder="1" applyAlignment="1" applyProtection="1">
      <alignment horizontal="left" vertical="center" wrapText="1"/>
      <protection locked="0"/>
    </xf>
    <xf numFmtId="0" fontId="24" fillId="12" borderId="75" xfId="0" applyFont="1" applyFill="1" applyBorder="1" applyAlignment="1" applyProtection="1">
      <alignment horizontal="left" vertical="center" wrapText="1"/>
      <protection locked="0"/>
    </xf>
    <xf numFmtId="0" fontId="24" fillId="12" borderId="76" xfId="0" applyFont="1" applyFill="1" applyBorder="1" applyAlignment="1" applyProtection="1">
      <alignment horizontal="left" vertical="center" wrapText="1"/>
      <protection locked="0"/>
    </xf>
    <xf numFmtId="0" fontId="24" fillId="12" borderId="73" xfId="0" applyFont="1" applyFill="1" applyBorder="1" applyAlignment="1" applyProtection="1">
      <alignment horizontal="left" vertical="center" wrapText="1"/>
      <protection locked="0"/>
    </xf>
    <xf numFmtId="0" fontId="24" fillId="12" borderId="69" xfId="0" applyFont="1" applyFill="1" applyBorder="1" applyAlignment="1" applyProtection="1">
      <alignment horizontal="left" vertical="center" wrapText="1"/>
      <protection locked="0"/>
    </xf>
    <xf numFmtId="0" fontId="24" fillId="12" borderId="112" xfId="0" applyFont="1" applyFill="1" applyBorder="1" applyAlignment="1" applyProtection="1">
      <alignment horizontal="left" vertical="center" wrapText="1"/>
      <protection locked="0"/>
    </xf>
    <xf numFmtId="0" fontId="24" fillId="12" borderId="71" xfId="0" applyFont="1" applyFill="1" applyBorder="1" applyAlignment="1" applyProtection="1">
      <alignment horizontal="left" vertical="center" wrapText="1"/>
      <protection locked="0"/>
    </xf>
    <xf numFmtId="0" fontId="24" fillId="12" borderId="48" xfId="0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Alignment="1">
      <alignment horizontal="center" vertical="center"/>
    </xf>
    <xf numFmtId="0" fontId="14" fillId="17" borderId="20" xfId="0" applyFont="1" applyFill="1" applyBorder="1" applyAlignment="1">
      <alignment horizontal="center" vertical="center" wrapText="1"/>
    </xf>
    <xf numFmtId="0" fontId="14" fillId="17" borderId="85" xfId="0" applyFont="1" applyFill="1" applyBorder="1" applyAlignment="1">
      <alignment horizontal="center" vertical="center" wrapText="1"/>
    </xf>
    <xf numFmtId="0" fontId="12" fillId="15" borderId="20" xfId="0" applyFont="1" applyFill="1" applyBorder="1" applyAlignment="1">
      <alignment horizontal="center" vertical="center" wrapText="1"/>
    </xf>
    <xf numFmtId="0" fontId="12" fillId="15" borderId="85" xfId="0" applyFont="1" applyFill="1" applyBorder="1" applyAlignment="1">
      <alignment horizontal="center" vertical="center" wrapText="1"/>
    </xf>
    <xf numFmtId="0" fontId="14" fillId="26" borderId="42" xfId="0" applyFont="1" applyFill="1" applyBorder="1" applyAlignment="1">
      <alignment horizontal="center" vertical="center" wrapText="1"/>
    </xf>
    <xf numFmtId="0" fontId="14" fillId="26" borderId="112" xfId="0" applyFont="1" applyFill="1" applyBorder="1" applyAlignment="1">
      <alignment horizontal="center" vertical="center" wrapText="1"/>
    </xf>
    <xf numFmtId="0" fontId="19" fillId="14" borderId="119" xfId="0" applyFont="1" applyFill="1" applyBorder="1" applyAlignment="1">
      <alignment horizontal="center" vertical="center"/>
    </xf>
    <xf numFmtId="0" fontId="19" fillId="45" borderId="119" xfId="0" applyFont="1" applyFill="1" applyBorder="1" applyAlignment="1">
      <alignment horizontal="center" vertical="center"/>
    </xf>
    <xf numFmtId="0" fontId="19" fillId="45" borderId="262" xfId="0" applyFont="1" applyFill="1" applyBorder="1" applyAlignment="1">
      <alignment horizontal="center" vertical="center"/>
    </xf>
    <xf numFmtId="0" fontId="14" fillId="16" borderId="35" xfId="0" applyFont="1" applyFill="1" applyBorder="1" applyAlignment="1">
      <alignment horizontal="center" vertical="center" wrapText="1"/>
    </xf>
    <xf numFmtId="0" fontId="14" fillId="16" borderId="39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149" xfId="0" applyFont="1" applyFill="1" applyBorder="1" applyAlignment="1">
      <alignment horizontal="center" vertical="center" wrapText="1"/>
    </xf>
    <xf numFmtId="0" fontId="14" fillId="16" borderId="33" xfId="0" applyFont="1" applyFill="1" applyBorder="1" applyAlignment="1">
      <alignment horizontal="center" vertical="center"/>
    </xf>
    <xf numFmtId="0" fontId="14" fillId="16" borderId="144" xfId="0" applyFont="1" applyFill="1" applyBorder="1" applyAlignment="1">
      <alignment horizontal="center" vertical="center"/>
    </xf>
    <xf numFmtId="0" fontId="14" fillId="16" borderId="33" xfId="0" applyFont="1" applyFill="1" applyBorder="1" applyAlignment="1">
      <alignment horizontal="center" vertical="center" wrapText="1"/>
    </xf>
    <xf numFmtId="0" fontId="14" fillId="16" borderId="144" xfId="0" applyFont="1" applyFill="1" applyBorder="1" applyAlignment="1">
      <alignment horizontal="center" vertical="center" wrapText="1"/>
    </xf>
    <xf numFmtId="0" fontId="23" fillId="16" borderId="34" xfId="0" applyFont="1" applyFill="1" applyBorder="1" applyAlignment="1">
      <alignment horizontal="center" vertical="center" wrapText="1"/>
    </xf>
    <xf numFmtId="0" fontId="23" fillId="16" borderId="40" xfId="0" applyFont="1" applyFill="1" applyBorder="1" applyAlignment="1">
      <alignment horizontal="center" vertical="center" wrapText="1"/>
    </xf>
    <xf numFmtId="0" fontId="23" fillId="16" borderId="4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4" fillId="42" borderId="116" xfId="0" applyFont="1" applyFill="1" applyBorder="1" applyAlignment="1">
      <alignment horizontal="left" vertical="center" wrapText="1"/>
    </xf>
    <xf numFmtId="0" fontId="24" fillId="42" borderId="183" xfId="0" applyFont="1" applyFill="1" applyBorder="1" applyAlignment="1">
      <alignment horizontal="left" vertical="center" wrapText="1"/>
    </xf>
    <xf numFmtId="0" fontId="24" fillId="0" borderId="257" xfId="0" applyFont="1" applyBorder="1" applyAlignment="1">
      <alignment horizontal="left" vertical="center" wrapText="1"/>
    </xf>
    <xf numFmtId="0" fontId="24" fillId="0" borderId="116" xfId="0" applyFont="1" applyBorder="1" applyAlignment="1">
      <alignment horizontal="left" vertical="center" wrapText="1"/>
    </xf>
    <xf numFmtId="0" fontId="24" fillId="0" borderId="183" xfId="0" applyFont="1" applyBorder="1" applyAlignment="1">
      <alignment horizontal="left" vertical="center" wrapText="1"/>
    </xf>
    <xf numFmtId="0" fontId="24" fillId="16" borderId="258" xfId="0" applyFont="1" applyFill="1" applyBorder="1" applyAlignment="1">
      <alignment horizontal="center" vertical="center"/>
    </xf>
    <xf numFmtId="0" fontId="24" fillId="16" borderId="266" xfId="0" applyFont="1" applyFill="1" applyBorder="1" applyAlignment="1">
      <alignment horizontal="center" vertical="center"/>
    </xf>
    <xf numFmtId="0" fontId="24" fillId="12" borderId="10" xfId="0" applyFont="1" applyFill="1" applyBorder="1" applyAlignment="1" applyProtection="1">
      <alignment horizontal="center" vertical="center"/>
      <protection locked="0"/>
    </xf>
    <xf numFmtId="0" fontId="24" fillId="12" borderId="11" xfId="0" applyFont="1" applyFill="1" applyBorder="1" applyAlignment="1" applyProtection="1">
      <alignment horizontal="center" vertical="center"/>
      <protection locked="0"/>
    </xf>
    <xf numFmtId="167" fontId="24" fillId="17" borderId="241" xfId="0" applyNumberFormat="1" applyFont="1" applyFill="1" applyBorder="1" applyAlignment="1">
      <alignment horizontal="center" vertical="center" wrapText="1"/>
    </xf>
    <xf numFmtId="167" fontId="24" fillId="17" borderId="242" xfId="0" applyNumberFormat="1" applyFont="1" applyFill="1" applyBorder="1" applyAlignment="1">
      <alignment horizontal="center" vertical="center" wrapText="1"/>
    </xf>
    <xf numFmtId="167" fontId="24" fillId="17" borderId="243" xfId="0" applyNumberFormat="1" applyFont="1" applyFill="1" applyBorder="1" applyAlignment="1">
      <alignment horizontal="center" vertical="center" wrapText="1"/>
    </xf>
    <xf numFmtId="0" fontId="24" fillId="16" borderId="257" xfId="0" applyFont="1" applyFill="1" applyBorder="1" applyAlignment="1">
      <alignment horizontal="center" vertical="center"/>
    </xf>
    <xf numFmtId="167" fontId="25" fillId="33" borderId="30" xfId="0" applyNumberFormat="1" applyFont="1" applyFill="1" applyBorder="1" applyAlignment="1">
      <alignment horizontal="center" vertical="center" wrapText="1"/>
    </xf>
    <xf numFmtId="167" fontId="25" fillId="33" borderId="21" xfId="0" applyNumberFormat="1" applyFont="1" applyFill="1" applyBorder="1" applyAlignment="1">
      <alignment horizontal="center" vertical="center" wrapText="1"/>
    </xf>
    <xf numFmtId="167" fontId="25" fillId="33" borderId="264" xfId="0" applyNumberFormat="1" applyFont="1" applyFill="1" applyBorder="1" applyAlignment="1">
      <alignment horizontal="center" vertical="center" wrapText="1"/>
    </xf>
    <xf numFmtId="0" fontId="14" fillId="15" borderId="75" xfId="0" applyFont="1" applyFill="1" applyBorder="1" applyAlignment="1">
      <alignment horizontal="center" vertical="center" wrapText="1"/>
    </xf>
    <xf numFmtId="0" fontId="14" fillId="15" borderId="77" xfId="0" applyFont="1" applyFill="1" applyBorder="1" applyAlignment="1">
      <alignment horizontal="center" vertical="center" wrapText="1"/>
    </xf>
    <xf numFmtId="0" fontId="14" fillId="15" borderId="81" xfId="0" applyFont="1" applyFill="1" applyBorder="1" applyAlignment="1">
      <alignment horizontal="center" vertical="center" wrapText="1"/>
    </xf>
    <xf numFmtId="0" fontId="14" fillId="15" borderId="38" xfId="0" applyFont="1" applyFill="1" applyBorder="1" applyAlignment="1">
      <alignment horizontal="center" vertical="center" wrapText="1"/>
    </xf>
    <xf numFmtId="0" fontId="24" fillId="65" borderId="218" xfId="0" applyFont="1" applyFill="1" applyBorder="1" applyAlignment="1">
      <alignment horizontal="center" vertical="center" wrapText="1"/>
    </xf>
    <xf numFmtId="0" fontId="24" fillId="65" borderId="112" xfId="0" applyFont="1" applyFill="1" applyBorder="1" applyAlignment="1">
      <alignment horizontal="center" vertical="center" wrapText="1"/>
    </xf>
    <xf numFmtId="0" fontId="24" fillId="65" borderId="48" xfId="0" applyFont="1" applyFill="1" applyBorder="1" applyAlignment="1">
      <alignment horizontal="center" vertical="center" wrapText="1"/>
    </xf>
    <xf numFmtId="176" fontId="24" fillId="70" borderId="218" xfId="0" applyNumberFormat="1" applyFont="1" applyFill="1" applyBorder="1" applyAlignment="1">
      <alignment horizontal="right" vertical="center"/>
    </xf>
    <xf numFmtId="176" fontId="24" fillId="70" borderId="112" xfId="0" applyNumberFormat="1" applyFont="1" applyFill="1" applyBorder="1" applyAlignment="1">
      <alignment horizontal="right" vertical="center"/>
    </xf>
    <xf numFmtId="176" fontId="24" fillId="70" borderId="48" xfId="0" applyNumberFormat="1" applyFont="1" applyFill="1" applyBorder="1" applyAlignment="1">
      <alignment horizontal="right" vertical="center"/>
    </xf>
    <xf numFmtId="176" fontId="24" fillId="29" borderId="112" xfId="0" applyNumberFormat="1" applyFont="1" applyFill="1" applyBorder="1" applyAlignment="1">
      <alignment horizontal="right" vertical="center"/>
    </xf>
    <xf numFmtId="176" fontId="24" fillId="29" borderId="48" xfId="0" applyNumberFormat="1" applyFont="1" applyFill="1" applyBorder="1" applyAlignment="1">
      <alignment horizontal="right" vertical="center"/>
    </xf>
    <xf numFmtId="0" fontId="14" fillId="27" borderId="262" xfId="0" applyFont="1" applyFill="1" applyBorder="1" applyAlignment="1">
      <alignment horizontal="center" vertical="center" wrapText="1"/>
    </xf>
    <xf numFmtId="0" fontId="14" fillId="27" borderId="272" xfId="0" applyFont="1" applyFill="1" applyBorder="1" applyAlignment="1">
      <alignment horizontal="center" vertical="center" wrapText="1"/>
    </xf>
    <xf numFmtId="0" fontId="14" fillId="27" borderId="131" xfId="0" applyFont="1" applyFill="1" applyBorder="1" applyAlignment="1">
      <alignment horizontal="center" vertical="center" wrapText="1"/>
    </xf>
    <xf numFmtId="0" fontId="14" fillId="27" borderId="133" xfId="0" applyFont="1" applyFill="1" applyBorder="1" applyAlignment="1">
      <alignment horizontal="center" vertical="center" wrapText="1"/>
    </xf>
    <xf numFmtId="0" fontId="23" fillId="16" borderId="257" xfId="0" applyFont="1" applyFill="1" applyBorder="1" applyAlignment="1">
      <alignment horizontal="center" vertical="center" wrapText="1"/>
    </xf>
    <xf numFmtId="0" fontId="23" fillId="16" borderId="26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76" fontId="24" fillId="29" borderId="263" xfId="0" applyNumberFormat="1" applyFont="1" applyFill="1" applyBorder="1" applyAlignment="1">
      <alignment horizontal="right" vertical="center"/>
    </xf>
    <xf numFmtId="0" fontId="14" fillId="16" borderId="234" xfId="0" applyFont="1" applyFill="1" applyBorder="1" applyAlignment="1">
      <alignment horizontal="center" vertical="center" wrapText="1"/>
    </xf>
    <xf numFmtId="0" fontId="14" fillId="16" borderId="237" xfId="0" applyFont="1" applyFill="1" applyBorder="1" applyAlignment="1">
      <alignment horizontal="center" vertical="center" wrapText="1"/>
    </xf>
    <xf numFmtId="0" fontId="14" fillId="16" borderId="224" xfId="0" applyFont="1" applyFill="1" applyBorder="1" applyAlignment="1">
      <alignment horizontal="center" vertical="center" wrapText="1"/>
    </xf>
    <xf numFmtId="0" fontId="14" fillId="16" borderId="181" xfId="0" applyFont="1" applyFill="1" applyBorder="1" applyAlignment="1">
      <alignment horizontal="center" vertical="center" wrapText="1"/>
    </xf>
    <xf numFmtId="0" fontId="14" fillId="16" borderId="195" xfId="0" applyFont="1" applyFill="1" applyBorder="1" applyAlignment="1">
      <alignment horizontal="center" vertical="center"/>
    </xf>
    <xf numFmtId="0" fontId="14" fillId="16" borderId="195" xfId="0" applyFont="1" applyFill="1" applyBorder="1" applyAlignment="1">
      <alignment horizontal="center" vertical="center" wrapText="1"/>
    </xf>
    <xf numFmtId="0" fontId="23" fillId="0" borderId="191" xfId="0" applyFont="1" applyBorder="1" applyAlignment="1">
      <alignment horizontal="center" vertical="center" wrapText="1"/>
    </xf>
    <xf numFmtId="0" fontId="23" fillId="0" borderId="192" xfId="0" applyFont="1" applyBorder="1" applyAlignment="1">
      <alignment horizontal="center" vertical="center" wrapText="1"/>
    </xf>
    <xf numFmtId="0" fontId="23" fillId="0" borderId="193" xfId="0" applyFont="1" applyBorder="1" applyAlignment="1">
      <alignment horizontal="center" vertical="center" wrapText="1"/>
    </xf>
    <xf numFmtId="0" fontId="14" fillId="16" borderId="97" xfId="0" applyFont="1" applyFill="1" applyBorder="1" applyAlignment="1">
      <alignment horizontal="center" vertical="center" wrapText="1"/>
    </xf>
    <xf numFmtId="0" fontId="14" fillId="16" borderId="98" xfId="0" applyFont="1" applyFill="1" applyBorder="1" applyAlignment="1">
      <alignment horizontal="center" vertical="center" wrapText="1"/>
    </xf>
    <xf numFmtId="0" fontId="24" fillId="12" borderId="8" xfId="0" applyFont="1" applyFill="1" applyBorder="1" applyAlignment="1" applyProtection="1">
      <alignment horizontal="center" vertical="center"/>
      <protection locked="0"/>
    </xf>
    <xf numFmtId="0" fontId="24" fillId="12" borderId="9" xfId="0" applyFont="1" applyFill="1" applyBorder="1" applyAlignment="1" applyProtection="1">
      <alignment horizontal="center" vertical="center"/>
      <protection locked="0"/>
    </xf>
    <xf numFmtId="0" fontId="14" fillId="16" borderId="137" xfId="0" applyFont="1" applyFill="1" applyBorder="1" applyAlignment="1">
      <alignment horizontal="center" vertical="center"/>
    </xf>
    <xf numFmtId="0" fontId="14" fillId="16" borderId="96" xfId="0" applyFont="1" applyFill="1" applyBorder="1" applyAlignment="1">
      <alignment horizontal="center" vertical="center"/>
    </xf>
    <xf numFmtId="0" fontId="24" fillId="15" borderId="89" xfId="0" applyFont="1" applyFill="1" applyBorder="1" applyAlignment="1">
      <alignment horizontal="center" vertical="center" wrapText="1"/>
    </xf>
    <xf numFmtId="0" fontId="24" fillId="15" borderId="185" xfId="0" applyFont="1" applyFill="1" applyBorder="1" applyAlignment="1">
      <alignment horizontal="center" vertical="center" wrapText="1"/>
    </xf>
    <xf numFmtId="0" fontId="24" fillId="15" borderId="93" xfId="0" applyFont="1" applyFill="1" applyBorder="1" applyAlignment="1">
      <alignment horizontal="center" vertical="center" wrapText="1"/>
    </xf>
    <xf numFmtId="0" fontId="24" fillId="15" borderId="194" xfId="0" applyFont="1" applyFill="1" applyBorder="1" applyAlignment="1">
      <alignment horizontal="center" vertical="center" wrapText="1"/>
    </xf>
    <xf numFmtId="0" fontId="14" fillId="16" borderId="139" xfId="0" applyFont="1" applyFill="1" applyBorder="1" applyAlignment="1">
      <alignment horizontal="center" vertical="center"/>
    </xf>
    <xf numFmtId="0" fontId="14" fillId="16" borderId="92" xfId="0" applyFont="1" applyFill="1" applyBorder="1" applyAlignment="1">
      <alignment horizontal="center" vertical="center"/>
    </xf>
    <xf numFmtId="167" fontId="14" fillId="17" borderId="95" xfId="0" applyNumberFormat="1" applyFont="1" applyFill="1" applyBorder="1" applyAlignment="1">
      <alignment horizontal="center" vertical="center" wrapText="1"/>
    </xf>
    <xf numFmtId="167" fontId="14" fillId="17" borderId="91" xfId="0" applyNumberFormat="1" applyFont="1" applyFill="1" applyBorder="1" applyAlignment="1">
      <alignment horizontal="center" vertical="center" wrapText="1"/>
    </xf>
    <xf numFmtId="167" fontId="14" fillId="17" borderId="90" xfId="0" applyNumberFormat="1" applyFont="1" applyFill="1" applyBorder="1" applyAlignment="1">
      <alignment horizontal="center" vertical="center" wrapText="1"/>
    </xf>
    <xf numFmtId="0" fontId="0" fillId="37" borderId="24" xfId="0" applyFill="1" applyBorder="1" applyAlignment="1">
      <alignment horizontal="left" vertical="center" wrapText="1"/>
    </xf>
    <xf numFmtId="0" fontId="0" fillId="37" borderId="16" xfId="0" applyFill="1" applyBorder="1" applyAlignment="1">
      <alignment horizontal="left" vertical="center" wrapText="1"/>
    </xf>
    <xf numFmtId="0" fontId="0" fillId="37" borderId="31" xfId="0" applyFill="1" applyBorder="1" applyAlignment="1">
      <alignment horizontal="left" vertical="center" wrapText="1"/>
    </xf>
    <xf numFmtId="0" fontId="0" fillId="37" borderId="25" xfId="0" applyFill="1" applyBorder="1" applyAlignment="1">
      <alignment horizontal="left" vertical="center" wrapText="1"/>
    </xf>
    <xf numFmtId="0" fontId="0" fillId="37" borderId="0" xfId="0" applyFill="1" applyAlignment="1">
      <alignment horizontal="left" vertical="center" wrapText="1"/>
    </xf>
    <xf numFmtId="0" fontId="0" fillId="37" borderId="32" xfId="0" applyFill="1" applyBorder="1" applyAlignment="1">
      <alignment horizontal="left" vertical="center" wrapText="1"/>
    </xf>
    <xf numFmtId="0" fontId="0" fillId="37" borderId="17" xfId="0" applyFill="1" applyBorder="1" applyAlignment="1">
      <alignment horizontal="left" vertical="center" wrapText="1"/>
    </xf>
    <xf numFmtId="0" fontId="0" fillId="37" borderId="13" xfId="0" applyFill="1" applyBorder="1" applyAlignment="1">
      <alignment horizontal="left" vertical="center" wrapText="1"/>
    </xf>
    <xf numFmtId="0" fontId="0" fillId="37" borderId="14" xfId="0" applyFill="1" applyBorder="1" applyAlignment="1">
      <alignment horizontal="left" vertical="center" wrapText="1"/>
    </xf>
    <xf numFmtId="0" fontId="40" fillId="49" borderId="231" xfId="0" applyFont="1" applyFill="1" applyBorder="1" applyAlignment="1">
      <alignment horizontal="center" vertical="center" wrapText="1"/>
    </xf>
    <xf numFmtId="0" fontId="40" fillId="49" borderId="232" xfId="0" applyFont="1" applyFill="1" applyBorder="1" applyAlignment="1">
      <alignment horizontal="center" vertical="center" wrapText="1"/>
    </xf>
    <xf numFmtId="0" fontId="41" fillId="36" borderId="226" xfId="0" applyFont="1" applyFill="1" applyBorder="1" applyAlignment="1">
      <alignment horizontal="center" vertical="center"/>
    </xf>
    <xf numFmtId="0" fontId="41" fillId="36" borderId="157" xfId="0" applyFont="1" applyFill="1" applyBorder="1" applyAlignment="1">
      <alignment horizontal="center" vertical="center"/>
    </xf>
    <xf numFmtId="169" fontId="0" fillId="12" borderId="46" xfId="13" applyNumberFormat="1" applyFont="1" applyFill="1" applyBorder="1" applyAlignment="1" applyProtection="1">
      <alignment horizontal="center" vertical="center"/>
      <protection locked="0"/>
    </xf>
    <xf numFmtId="169" fontId="0" fillId="44" borderId="235" xfId="13" applyNumberFormat="1" applyFont="1" applyFill="1" applyBorder="1" applyAlignment="1">
      <alignment horizontal="center" vertical="center"/>
    </xf>
    <xf numFmtId="169" fontId="0" fillId="44" borderId="278" xfId="13" applyNumberFormat="1" applyFont="1" applyFill="1" applyBorder="1" applyAlignment="1">
      <alignment horizontal="center" vertical="center"/>
    </xf>
    <xf numFmtId="177" fontId="0" fillId="54" borderId="204" xfId="13" applyNumberFormat="1" applyFont="1" applyFill="1" applyBorder="1" applyAlignment="1">
      <alignment horizontal="center" vertical="center"/>
    </xf>
    <xf numFmtId="177" fontId="0" fillId="54" borderId="203" xfId="13" applyNumberFormat="1" applyFont="1" applyFill="1" applyBorder="1" applyAlignment="1">
      <alignment horizontal="center" vertical="center"/>
    </xf>
    <xf numFmtId="177" fontId="0" fillId="54" borderId="205" xfId="13" applyNumberFormat="1" applyFont="1" applyFill="1" applyBorder="1" applyAlignment="1">
      <alignment horizontal="center" vertical="center"/>
    </xf>
    <xf numFmtId="0" fontId="24" fillId="11" borderId="257" xfId="0" applyFont="1" applyFill="1" applyBorder="1" applyAlignment="1">
      <alignment horizontal="center" vertical="center" wrapText="1"/>
    </xf>
    <xf numFmtId="0" fontId="24" fillId="11" borderId="116" xfId="0" applyFont="1" applyFill="1" applyBorder="1" applyAlignment="1">
      <alignment horizontal="center" vertical="center" wrapText="1"/>
    </xf>
    <xf numFmtId="0" fontId="24" fillId="11" borderId="183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 wrapText="1"/>
    </xf>
    <xf numFmtId="0" fontId="14" fillId="16" borderId="235" xfId="0" applyFont="1" applyFill="1" applyBorder="1" applyAlignment="1">
      <alignment horizontal="center" vertical="center" wrapText="1"/>
    </xf>
    <xf numFmtId="177" fontId="0" fillId="12" borderId="217" xfId="13" applyNumberFormat="1" applyFont="1" applyFill="1" applyBorder="1" applyAlignment="1" applyProtection="1">
      <alignment vertical="center"/>
      <protection locked="0"/>
    </xf>
    <xf numFmtId="177" fontId="0" fillId="12" borderId="205" xfId="13" applyNumberFormat="1" applyFont="1" applyFill="1" applyBorder="1" applyAlignment="1" applyProtection="1">
      <alignment vertical="center"/>
      <protection locked="0"/>
    </xf>
    <xf numFmtId="177" fontId="0" fillId="12" borderId="107" xfId="13" applyNumberFormat="1" applyFont="1" applyFill="1" applyBorder="1" applyAlignment="1" applyProtection="1">
      <alignment vertical="center"/>
      <protection locked="0"/>
    </xf>
    <xf numFmtId="0" fontId="0" fillId="12" borderId="234" xfId="0" applyFill="1" applyBorder="1" applyAlignment="1" applyProtection="1">
      <alignment horizontal="left" vertical="center"/>
      <protection locked="0"/>
    </xf>
    <xf numFmtId="0" fontId="0" fillId="12" borderId="202" xfId="0" applyFill="1" applyBorder="1" applyAlignment="1" applyProtection="1">
      <alignment horizontal="left" vertical="center"/>
      <protection locked="0"/>
    </xf>
    <xf numFmtId="0" fontId="0" fillId="12" borderId="99" xfId="0" applyFill="1" applyBorder="1" applyAlignment="1" applyProtection="1">
      <alignment horizontal="left" vertical="center"/>
      <protection locked="0"/>
    </xf>
    <xf numFmtId="177" fontId="0" fillId="12" borderId="203" xfId="13" applyNumberFormat="1" applyFont="1" applyFill="1" applyBorder="1" applyAlignment="1" applyProtection="1">
      <alignment vertical="center"/>
      <protection locked="0"/>
    </xf>
    <xf numFmtId="177" fontId="0" fillId="12" borderId="108" xfId="13" applyNumberFormat="1" applyFont="1" applyFill="1" applyBorder="1" applyAlignment="1" applyProtection="1">
      <alignment vertical="center"/>
      <protection locked="0"/>
    </xf>
  </cellXfs>
  <cellStyles count="44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21" xr:uid="{00000000-0005-0000-0000-000006000000}"/>
    <cellStyle name="Euro 2" xfId="22" xr:uid="{00000000-0005-0000-0000-000007000000}"/>
    <cellStyle name="Euro 3" xfId="23" xr:uid="{00000000-0005-0000-0000-000008000000}"/>
    <cellStyle name="Footnote" xfId="7" xr:uid="{00000000-0005-0000-0000-000009000000}"/>
    <cellStyle name="Good" xfId="8" xr:uid="{00000000-0005-0000-0000-00000A000000}"/>
    <cellStyle name="Heading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20" builtinId="8"/>
    <cellStyle name="Millares" xfId="12" builtinId="3"/>
    <cellStyle name="Millares 2" xfId="24" xr:uid="{00000000-0005-0000-0000-000010000000}"/>
    <cellStyle name="Millares 3" xfId="38" xr:uid="{00000000-0005-0000-0000-000011000000}"/>
    <cellStyle name="Moneda" xfId="13" builtinId="4"/>
    <cellStyle name="Moneda [0]" xfId="31" builtinId="7"/>
    <cellStyle name="Moneda [0] 2" xfId="41" xr:uid="{00000000-0005-0000-0000-000014000000}"/>
    <cellStyle name="Moneda 2" xfId="26" xr:uid="{00000000-0005-0000-0000-000015000000}"/>
    <cellStyle name="Moneda 3" xfId="25" xr:uid="{00000000-0005-0000-0000-000016000000}"/>
    <cellStyle name="Moneda 4" xfId="40" xr:uid="{00000000-0005-0000-0000-000017000000}"/>
    <cellStyle name="Moneda 5" xfId="42" xr:uid="{00000000-0005-0000-0000-000018000000}"/>
    <cellStyle name="Moneda 6" xfId="43" xr:uid="{00000000-0005-0000-0000-000019000000}"/>
    <cellStyle name="Neutral" xfId="14" builtinId="28" customBuiltin="1"/>
    <cellStyle name="Normal" xfId="0" builtinId="0"/>
    <cellStyle name="Normal 2" xfId="27" xr:uid="{00000000-0005-0000-0000-00001C000000}"/>
    <cellStyle name="Normal 3" xfId="28" xr:uid="{00000000-0005-0000-0000-00001D000000}"/>
    <cellStyle name="Normal 4" xfId="29" xr:uid="{00000000-0005-0000-0000-00001E000000}"/>
    <cellStyle name="Normal 5" xfId="37" xr:uid="{00000000-0005-0000-0000-00001F000000}"/>
    <cellStyle name="Normal 6" xfId="39" xr:uid="{00000000-0005-0000-0000-000020000000}"/>
    <cellStyle name="Note" xfId="15" xr:uid="{00000000-0005-0000-0000-000021000000}"/>
    <cellStyle name="Note 2" xfId="33" xr:uid="{00000000-0005-0000-0000-000022000000}"/>
    <cellStyle name="Note 3" xfId="34" xr:uid="{00000000-0005-0000-0000-000023000000}"/>
    <cellStyle name="Note 4" xfId="32" xr:uid="{00000000-0005-0000-0000-000024000000}"/>
    <cellStyle name="Note 5" xfId="36" xr:uid="{00000000-0005-0000-0000-000025000000}"/>
    <cellStyle name="Note 6" xfId="35" xr:uid="{00000000-0005-0000-0000-000026000000}"/>
    <cellStyle name="Porcentaje" xfId="16" builtinId="5"/>
    <cellStyle name="Porcentaje 2" xfId="30" xr:uid="{00000000-0005-0000-0000-000028000000}"/>
    <cellStyle name="Status" xfId="17" xr:uid="{00000000-0005-0000-0000-000029000000}"/>
    <cellStyle name="Text" xfId="18" xr:uid="{00000000-0005-0000-0000-00002A000000}"/>
    <cellStyle name="Warning" xfId="19" xr:uid="{00000000-0005-0000-0000-00002B000000}"/>
  </cellStyles>
  <dxfs count="5">
    <dxf>
      <font>
        <color rgb="FF9C0006"/>
      </font>
    </dxf>
    <dxf>
      <font>
        <color rgb="FF9C0006"/>
      </font>
    </dxf>
    <dxf>
      <fill>
        <patternFill>
          <bgColor theme="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FF"/>
      <color rgb="FF000099"/>
      <color rgb="FF0000CC"/>
      <color rgb="FFFF0909"/>
      <color rgb="FF69D8FF"/>
      <color rgb="FFFFFF66"/>
      <color rgb="FF00A249"/>
      <color rgb="FFCCFFCC"/>
      <color rgb="FFCC00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C59EDB5-9A2B-4870-83EE-C4724237821D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21167</xdr:colOff>
      <xdr:row>7</xdr:row>
      <xdr:rowOff>10584</xdr:rowOff>
    </xdr:from>
    <xdr:to>
      <xdr:col>7</xdr:col>
      <xdr:colOff>539751</xdr:colOff>
      <xdr:row>54</xdr:row>
      <xdr:rowOff>137584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87B7E4-4637-4313-BCA0-8872EBF8AC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149" t="18315" r="33845" b="7910"/>
        <a:stretch/>
      </xdr:blipFill>
      <xdr:spPr>
        <a:xfrm>
          <a:off x="21167" y="1144059"/>
          <a:ext cx="5852584" cy="7737475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571500</xdr:colOff>
      <xdr:row>7</xdr:row>
      <xdr:rowOff>10585</xdr:rowOff>
    </xdr:from>
    <xdr:to>
      <xdr:col>15</xdr:col>
      <xdr:colOff>359833</xdr:colOff>
      <xdr:row>54</xdr:row>
      <xdr:rowOff>137582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5A28930-1447-449C-AF2B-A41CDD2F0C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031" t="17389" r="33789" b="8836"/>
        <a:stretch/>
      </xdr:blipFill>
      <xdr:spPr>
        <a:xfrm>
          <a:off x="5905500" y="1144060"/>
          <a:ext cx="5884333" cy="7737472"/>
        </a:xfrm>
        <a:prstGeom prst="rect">
          <a:avLst/>
        </a:prstGeom>
      </xdr:spPr>
    </xdr:pic>
    <xdr:clientData/>
  </xdr:twoCellAnchor>
  <xdr:twoCellAnchor editAs="oneCell">
    <xdr:from>
      <xdr:col>15</xdr:col>
      <xdr:colOff>402167</xdr:colOff>
      <xdr:row>7</xdr:row>
      <xdr:rowOff>1</xdr:rowOff>
    </xdr:from>
    <xdr:to>
      <xdr:col>23</xdr:col>
      <xdr:colOff>179918</xdr:colOff>
      <xdr:row>54</xdr:row>
      <xdr:rowOff>148168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8F6531E-27B1-4B1B-9EF2-55BE94832C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090" t="18830" r="33788" b="7190"/>
        <a:stretch/>
      </xdr:blipFill>
      <xdr:spPr>
        <a:xfrm>
          <a:off x="11832167" y="1133476"/>
          <a:ext cx="5873751" cy="77586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10588</xdr:rowOff>
    </xdr:from>
    <xdr:to>
      <xdr:col>7</xdr:col>
      <xdr:colOff>539751</xdr:colOff>
      <xdr:row>102</xdr:row>
      <xdr:rowOff>148167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06855FE-F208-40C8-8C2A-3BD5ED8B2A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4148" t="17491" r="33730" b="8631"/>
        <a:stretch/>
      </xdr:blipFill>
      <xdr:spPr>
        <a:xfrm>
          <a:off x="0" y="8916463"/>
          <a:ext cx="5873751" cy="7748054"/>
        </a:xfrm>
        <a:prstGeom prst="rect">
          <a:avLst/>
        </a:prstGeom>
      </xdr:spPr>
    </xdr:pic>
    <xdr:clientData/>
  </xdr:twoCellAnchor>
  <xdr:twoCellAnchor editAs="oneCell">
    <xdr:from>
      <xdr:col>7</xdr:col>
      <xdr:colOff>582083</xdr:colOff>
      <xdr:row>55</xdr:row>
      <xdr:rowOff>10584</xdr:rowOff>
    </xdr:from>
    <xdr:to>
      <xdr:col>15</xdr:col>
      <xdr:colOff>370418</xdr:colOff>
      <xdr:row>102</xdr:row>
      <xdr:rowOff>127001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6BEA5B3-B608-4BCA-AD72-BC11041C51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4090" t="17904" r="33730" b="8425"/>
        <a:stretch/>
      </xdr:blipFill>
      <xdr:spPr>
        <a:xfrm>
          <a:off x="5916083" y="8916459"/>
          <a:ext cx="5884335" cy="7726892"/>
        </a:xfrm>
        <a:prstGeom prst="rect">
          <a:avLst/>
        </a:prstGeom>
      </xdr:spPr>
    </xdr:pic>
    <xdr:clientData/>
  </xdr:twoCellAnchor>
  <xdr:twoCellAnchor editAs="oneCell">
    <xdr:from>
      <xdr:col>15</xdr:col>
      <xdr:colOff>412751</xdr:colOff>
      <xdr:row>55</xdr:row>
      <xdr:rowOff>21168</xdr:rowOff>
    </xdr:from>
    <xdr:to>
      <xdr:col>23</xdr:col>
      <xdr:colOff>169334</xdr:colOff>
      <xdr:row>102</xdr:row>
      <xdr:rowOff>116417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4A03B71-F7D1-4E23-B0E3-E55F8B988C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34148" t="18315" r="33846" b="8219"/>
        <a:stretch/>
      </xdr:blipFill>
      <xdr:spPr>
        <a:xfrm>
          <a:off x="11842751" y="8927043"/>
          <a:ext cx="5852583" cy="7705724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103</xdr:row>
      <xdr:rowOff>21186</xdr:rowOff>
    </xdr:from>
    <xdr:to>
      <xdr:col>7</xdr:col>
      <xdr:colOff>529166</xdr:colOff>
      <xdr:row>151</xdr:row>
      <xdr:rowOff>21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E681746-3F56-4AF2-A574-34D241011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34205" t="17080" r="33846" b="9042"/>
        <a:stretch/>
      </xdr:blipFill>
      <xdr:spPr>
        <a:xfrm>
          <a:off x="21167" y="16699461"/>
          <a:ext cx="5841999" cy="7751235"/>
        </a:xfrm>
        <a:prstGeom prst="rect">
          <a:avLst/>
        </a:prstGeom>
      </xdr:spPr>
    </xdr:pic>
    <xdr:clientData/>
  </xdr:twoCellAnchor>
  <xdr:twoCellAnchor editAs="oneCell">
    <xdr:from>
      <xdr:col>7</xdr:col>
      <xdr:colOff>582082</xdr:colOff>
      <xdr:row>103</xdr:row>
      <xdr:rowOff>21184</xdr:rowOff>
    </xdr:from>
    <xdr:to>
      <xdr:col>15</xdr:col>
      <xdr:colOff>328082</xdr:colOff>
      <xdr:row>151</xdr:row>
      <xdr:rowOff>10601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070AB7D-6188-496D-8108-1AD402F492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34205" t="18933" r="33846" b="7087"/>
        <a:stretch/>
      </xdr:blipFill>
      <xdr:spPr>
        <a:xfrm>
          <a:off x="5916082" y="16699459"/>
          <a:ext cx="5842000" cy="77618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nrique%20Porras%20A/Desktop/mama/Planilla_tarifas_a__educacional_2021__bienique_gestion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Índice Tablas"/>
      <sheetName val="A) Resumen Ingresos y Egresos"/>
      <sheetName val="B) Reajuste Tarifas y Ocupación"/>
      <sheetName val="C) Costos Directos"/>
      <sheetName val="D) Costos Indirectos"/>
      <sheetName val="E) Resumen Tarifado "/>
      <sheetName val="F) Remuneraciones"/>
      <sheetName val="G) Comparación Mercado"/>
      <sheetName val="H) Detalle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C1:J52"/>
  <sheetViews>
    <sheetView showGridLines="0" topLeftCell="A7" zoomScale="90" zoomScaleNormal="90" workbookViewId="0">
      <selection activeCell="J4" sqref="J4"/>
    </sheetView>
  </sheetViews>
  <sheetFormatPr baseColWidth="10" defaultColWidth="11.42578125" defaultRowHeight="12.75" x14ac:dyDescent="0.2"/>
  <cols>
    <col min="1" max="16384" width="11.42578125" style="641"/>
  </cols>
  <sheetData>
    <row r="1" spans="3:10" x14ac:dyDescent="0.2">
      <c r="J1" s="642"/>
    </row>
    <row r="2" spans="3:10" x14ac:dyDescent="0.2">
      <c r="J2" s="642" t="s">
        <v>251</v>
      </c>
    </row>
    <row r="3" spans="3:10" x14ac:dyDescent="0.2">
      <c r="J3" s="642"/>
    </row>
    <row r="5" spans="3:10" x14ac:dyDescent="0.2">
      <c r="C5" s="643"/>
      <c r="D5" s="643"/>
      <c r="E5" s="643"/>
      <c r="F5" s="643"/>
      <c r="G5" s="643"/>
      <c r="H5" s="643"/>
      <c r="I5" s="643"/>
      <c r="J5" s="643"/>
    </row>
    <row r="6" spans="3:10" x14ac:dyDescent="0.2">
      <c r="C6" s="643"/>
      <c r="D6" s="643"/>
      <c r="E6" s="643"/>
      <c r="F6" s="643"/>
      <c r="G6" s="643"/>
      <c r="H6" s="643"/>
      <c r="I6" s="643"/>
      <c r="J6" s="643"/>
    </row>
    <row r="7" spans="3:10" x14ac:dyDescent="0.2">
      <c r="C7" s="643"/>
      <c r="D7" s="643"/>
      <c r="E7" s="643"/>
      <c r="F7" s="643"/>
      <c r="G7" s="643"/>
      <c r="H7" s="643"/>
      <c r="I7" s="643"/>
      <c r="J7" s="643"/>
    </row>
    <row r="8" spans="3:10" x14ac:dyDescent="0.2">
      <c r="C8" s="643"/>
      <c r="D8" s="643"/>
      <c r="E8" s="643"/>
      <c r="F8" s="643"/>
      <c r="G8" s="643"/>
      <c r="H8" s="643"/>
      <c r="I8" s="643"/>
      <c r="J8" s="643"/>
    </row>
    <row r="9" spans="3:10" x14ac:dyDescent="0.2">
      <c r="C9" s="643"/>
      <c r="D9" s="643"/>
      <c r="E9" s="643"/>
      <c r="F9" s="643"/>
      <c r="G9" s="643"/>
      <c r="H9" s="643"/>
      <c r="I9" s="643"/>
      <c r="J9" s="643"/>
    </row>
    <row r="10" spans="3:10" x14ac:dyDescent="0.2">
      <c r="C10" s="643"/>
      <c r="D10" s="643"/>
      <c r="E10" s="643"/>
      <c r="F10" s="643"/>
      <c r="G10" s="643"/>
      <c r="H10" s="643"/>
      <c r="I10" s="643"/>
      <c r="J10" s="643"/>
    </row>
    <row r="11" spans="3:10" x14ac:dyDescent="0.2">
      <c r="C11" s="643"/>
      <c r="D11" s="643"/>
      <c r="E11" s="643"/>
      <c r="F11" s="643"/>
      <c r="G11" s="643"/>
      <c r="H11" s="643"/>
      <c r="I11" s="643"/>
      <c r="J11" s="643"/>
    </row>
    <row r="12" spans="3:10" x14ac:dyDescent="0.2">
      <c r="C12" s="643"/>
      <c r="D12" s="643"/>
      <c r="E12" s="643"/>
      <c r="F12" s="643"/>
      <c r="G12" s="643"/>
      <c r="H12" s="643"/>
      <c r="I12" s="643"/>
      <c r="J12" s="643"/>
    </row>
    <row r="13" spans="3:10" x14ac:dyDescent="0.2">
      <c r="C13" s="643"/>
      <c r="D13" s="643"/>
      <c r="E13" s="643"/>
      <c r="F13" s="643"/>
      <c r="G13" s="643"/>
      <c r="H13" s="643"/>
      <c r="I13" s="643"/>
      <c r="J13" s="643"/>
    </row>
    <row r="14" spans="3:10" x14ac:dyDescent="0.2">
      <c r="C14" s="643"/>
      <c r="D14" s="643"/>
      <c r="E14" s="643"/>
      <c r="F14" s="643"/>
      <c r="G14" s="643"/>
      <c r="H14" s="643"/>
      <c r="I14" s="643"/>
      <c r="J14" s="643"/>
    </row>
    <row r="15" spans="3:10" x14ac:dyDescent="0.2">
      <c r="C15" s="643"/>
      <c r="D15" s="643"/>
      <c r="E15" s="643"/>
      <c r="F15" s="643"/>
      <c r="G15" s="643"/>
      <c r="H15" s="643"/>
      <c r="I15" s="643"/>
      <c r="J15" s="643"/>
    </row>
    <row r="16" spans="3:10" x14ac:dyDescent="0.2">
      <c r="C16" s="643"/>
      <c r="D16" s="643"/>
      <c r="E16" s="643"/>
      <c r="F16" s="643"/>
      <c r="G16" s="643"/>
      <c r="H16" s="643"/>
      <c r="I16" s="643"/>
      <c r="J16" s="643"/>
    </row>
    <row r="17" spans="3:10" x14ac:dyDescent="0.2">
      <c r="C17" s="643"/>
      <c r="D17" s="643"/>
      <c r="E17" s="643"/>
      <c r="F17" s="643"/>
      <c r="G17" s="643"/>
      <c r="H17" s="643"/>
      <c r="I17" s="643"/>
      <c r="J17" s="643"/>
    </row>
    <row r="18" spans="3:10" x14ac:dyDescent="0.2">
      <c r="C18" s="643"/>
      <c r="D18" s="643"/>
      <c r="E18" s="643"/>
      <c r="F18" s="643"/>
      <c r="G18" s="643"/>
      <c r="H18" s="643"/>
      <c r="I18" s="643"/>
      <c r="J18" s="643"/>
    </row>
    <row r="19" spans="3:10" x14ac:dyDescent="0.2">
      <c r="C19" s="643"/>
      <c r="D19" s="643"/>
      <c r="E19" s="643"/>
      <c r="F19" s="643"/>
      <c r="G19" s="643"/>
      <c r="H19" s="643"/>
      <c r="I19" s="643"/>
      <c r="J19" s="643"/>
    </row>
    <row r="20" spans="3:10" x14ac:dyDescent="0.2">
      <c r="C20" s="643"/>
      <c r="D20" s="643"/>
      <c r="E20" s="643"/>
      <c r="F20" s="643"/>
      <c r="G20" s="643"/>
      <c r="H20" s="643"/>
      <c r="I20" s="643"/>
      <c r="J20" s="643"/>
    </row>
    <row r="21" spans="3:10" x14ac:dyDescent="0.2">
      <c r="C21" s="643"/>
      <c r="D21" s="643"/>
      <c r="E21" s="643"/>
      <c r="F21" s="643"/>
      <c r="G21" s="643"/>
      <c r="H21" s="643"/>
      <c r="I21" s="643"/>
      <c r="J21" s="643"/>
    </row>
    <row r="22" spans="3:10" x14ac:dyDescent="0.2">
      <c r="C22" s="643"/>
      <c r="D22" s="643"/>
      <c r="E22" s="643"/>
      <c r="F22" s="643"/>
      <c r="G22" s="643"/>
      <c r="H22" s="643"/>
      <c r="I22" s="643"/>
      <c r="J22" s="643"/>
    </row>
    <row r="23" spans="3:10" x14ac:dyDescent="0.2">
      <c r="C23" s="643"/>
      <c r="D23" s="643"/>
      <c r="E23" s="643"/>
      <c r="F23" s="643"/>
      <c r="G23" s="643"/>
      <c r="H23" s="643"/>
      <c r="I23" s="643"/>
      <c r="J23" s="643"/>
    </row>
    <row r="24" spans="3:10" x14ac:dyDescent="0.2">
      <c r="C24" s="643"/>
      <c r="D24" s="643"/>
      <c r="E24" s="643"/>
      <c r="F24" s="643"/>
      <c r="G24" s="643"/>
      <c r="H24" s="643"/>
      <c r="I24" s="643"/>
      <c r="J24" s="643"/>
    </row>
    <row r="25" spans="3:10" x14ac:dyDescent="0.2">
      <c r="C25" s="643"/>
      <c r="D25" s="643"/>
      <c r="E25" s="643"/>
      <c r="F25" s="643"/>
      <c r="G25" s="643"/>
      <c r="H25" s="643"/>
      <c r="I25" s="643"/>
      <c r="J25" s="643"/>
    </row>
    <row r="26" spans="3:10" x14ac:dyDescent="0.2">
      <c r="C26" s="643"/>
      <c r="D26" s="643"/>
      <c r="E26" s="643"/>
      <c r="F26" s="643"/>
      <c r="G26" s="643"/>
      <c r="H26" s="643"/>
      <c r="I26" s="643"/>
      <c r="J26" s="643"/>
    </row>
    <row r="27" spans="3:10" x14ac:dyDescent="0.2">
      <c r="C27" s="643"/>
      <c r="D27" s="643"/>
      <c r="E27" s="643"/>
      <c r="F27" s="643"/>
      <c r="G27" s="643"/>
      <c r="H27" s="643"/>
      <c r="I27" s="643"/>
      <c r="J27" s="643"/>
    </row>
    <row r="28" spans="3:10" x14ac:dyDescent="0.2">
      <c r="C28" s="643"/>
      <c r="D28" s="643"/>
      <c r="E28" s="643"/>
      <c r="F28" s="643"/>
      <c r="G28" s="643"/>
      <c r="H28" s="643"/>
      <c r="I28" s="643"/>
      <c r="J28" s="643"/>
    </row>
    <row r="29" spans="3:10" x14ac:dyDescent="0.2">
      <c r="C29" s="643"/>
      <c r="D29" s="643"/>
      <c r="E29" s="643"/>
      <c r="F29" s="643"/>
      <c r="G29" s="643"/>
      <c r="H29" s="643"/>
      <c r="I29" s="643"/>
      <c r="J29" s="643"/>
    </row>
    <row r="30" spans="3:10" x14ac:dyDescent="0.2">
      <c r="C30" s="643"/>
      <c r="D30" s="643"/>
      <c r="E30" s="643"/>
      <c r="F30" s="643"/>
      <c r="G30" s="643"/>
      <c r="H30" s="643"/>
      <c r="I30" s="643"/>
      <c r="J30" s="643"/>
    </row>
    <row r="31" spans="3:10" x14ac:dyDescent="0.2">
      <c r="C31" s="643"/>
      <c r="D31" s="643"/>
      <c r="E31" s="643"/>
      <c r="F31" s="643"/>
      <c r="G31" s="643"/>
      <c r="H31" s="643"/>
      <c r="I31" s="643"/>
      <c r="J31" s="643"/>
    </row>
    <row r="32" spans="3:10" x14ac:dyDescent="0.2">
      <c r="C32" s="643"/>
      <c r="D32" s="643"/>
      <c r="E32" s="643"/>
      <c r="F32" s="643"/>
      <c r="G32" s="643"/>
      <c r="H32" s="643"/>
      <c r="I32" s="643"/>
      <c r="J32" s="643"/>
    </row>
    <row r="33" spans="3:10" x14ac:dyDescent="0.2">
      <c r="C33" s="643"/>
      <c r="D33" s="643"/>
      <c r="E33" s="643"/>
      <c r="F33" s="643"/>
      <c r="G33" s="643"/>
      <c r="H33" s="643"/>
      <c r="I33" s="643"/>
      <c r="J33" s="643"/>
    </row>
    <row r="34" spans="3:10" x14ac:dyDescent="0.2">
      <c r="C34" s="643"/>
      <c r="D34" s="643"/>
      <c r="E34" s="643"/>
      <c r="F34" s="643"/>
      <c r="G34" s="643"/>
      <c r="H34" s="643"/>
      <c r="I34" s="643"/>
      <c r="J34" s="643"/>
    </row>
    <row r="35" spans="3:10" x14ac:dyDescent="0.2">
      <c r="C35" s="643"/>
      <c r="D35" s="643"/>
      <c r="E35" s="643"/>
      <c r="F35" s="643"/>
      <c r="G35" s="643"/>
      <c r="H35" s="643"/>
      <c r="I35" s="643"/>
      <c r="J35" s="643"/>
    </row>
    <row r="36" spans="3:10" x14ac:dyDescent="0.2">
      <c r="C36" s="643"/>
      <c r="D36" s="643"/>
      <c r="E36" s="643"/>
      <c r="F36" s="643"/>
      <c r="G36" s="643"/>
      <c r="H36" s="643"/>
      <c r="I36" s="643"/>
      <c r="J36" s="643"/>
    </row>
    <row r="37" spans="3:10" x14ac:dyDescent="0.2">
      <c r="C37" s="643"/>
      <c r="D37" s="643"/>
      <c r="E37" s="643"/>
      <c r="F37" s="643"/>
      <c r="G37" s="643"/>
      <c r="H37" s="643"/>
      <c r="I37" s="643"/>
      <c r="J37" s="643"/>
    </row>
    <row r="38" spans="3:10" x14ac:dyDescent="0.2">
      <c r="C38" s="643"/>
      <c r="D38" s="643"/>
      <c r="E38" s="643"/>
      <c r="F38" s="643"/>
      <c r="G38" s="643"/>
      <c r="H38" s="643"/>
      <c r="I38" s="643"/>
      <c r="J38" s="643"/>
    </row>
    <row r="39" spans="3:10" x14ac:dyDescent="0.2">
      <c r="C39" s="643"/>
      <c r="D39" s="643"/>
      <c r="E39" s="643"/>
      <c r="F39" s="643"/>
      <c r="G39" s="643"/>
      <c r="H39" s="643"/>
      <c r="I39" s="643"/>
      <c r="J39" s="643"/>
    </row>
    <row r="40" spans="3:10" x14ac:dyDescent="0.2">
      <c r="C40" s="643"/>
      <c r="D40" s="643"/>
      <c r="E40" s="643"/>
      <c r="F40" s="643"/>
      <c r="G40" s="643"/>
      <c r="H40" s="643"/>
      <c r="I40" s="643"/>
      <c r="J40" s="643"/>
    </row>
    <row r="41" spans="3:10" x14ac:dyDescent="0.2">
      <c r="C41" s="643"/>
      <c r="D41" s="643"/>
      <c r="E41" s="643"/>
      <c r="F41" s="643"/>
      <c r="G41" s="643"/>
      <c r="H41" s="643"/>
      <c r="I41" s="643"/>
      <c r="J41" s="643"/>
    </row>
    <row r="42" spans="3:10" x14ac:dyDescent="0.2">
      <c r="C42" s="643"/>
      <c r="D42" s="643"/>
      <c r="E42" s="643"/>
      <c r="F42" s="643"/>
      <c r="G42" s="643"/>
      <c r="H42" s="643"/>
      <c r="I42" s="643"/>
      <c r="J42" s="643"/>
    </row>
    <row r="43" spans="3:10" x14ac:dyDescent="0.2">
      <c r="C43" s="643"/>
      <c r="D43" s="643"/>
      <c r="E43" s="643"/>
      <c r="F43" s="643"/>
      <c r="G43" s="643"/>
      <c r="H43" s="643"/>
      <c r="I43" s="643"/>
      <c r="J43" s="643"/>
    </row>
    <row r="44" spans="3:10" x14ac:dyDescent="0.2">
      <c r="C44" s="643"/>
      <c r="D44" s="643"/>
      <c r="E44" s="643"/>
      <c r="F44" s="643"/>
      <c r="G44" s="643"/>
      <c r="H44" s="643"/>
      <c r="I44" s="643"/>
      <c r="J44" s="643"/>
    </row>
    <row r="45" spans="3:10" x14ac:dyDescent="0.2">
      <c r="C45" s="643"/>
      <c r="D45" s="643"/>
      <c r="E45" s="643"/>
      <c r="F45" s="643"/>
      <c r="G45" s="643"/>
      <c r="H45" s="643"/>
      <c r="I45" s="643"/>
      <c r="J45" s="643"/>
    </row>
    <row r="46" spans="3:10" x14ac:dyDescent="0.2">
      <c r="C46" s="643"/>
      <c r="D46" s="643"/>
      <c r="E46" s="643"/>
      <c r="F46" s="643"/>
      <c r="G46" s="643"/>
      <c r="H46" s="643"/>
      <c r="I46" s="643"/>
      <c r="J46" s="643"/>
    </row>
    <row r="47" spans="3:10" x14ac:dyDescent="0.2">
      <c r="C47" s="643"/>
      <c r="D47" s="643"/>
      <c r="E47" s="643"/>
      <c r="F47" s="643"/>
      <c r="G47" s="643"/>
      <c r="H47" s="643"/>
      <c r="I47" s="643"/>
      <c r="J47" s="643"/>
    </row>
    <row r="48" spans="3:10" x14ac:dyDescent="0.2">
      <c r="C48" s="643"/>
      <c r="D48" s="643"/>
      <c r="E48" s="643"/>
      <c r="F48" s="643"/>
      <c r="G48" s="643"/>
      <c r="H48" s="643"/>
      <c r="I48" s="643"/>
      <c r="J48" s="643"/>
    </row>
    <row r="49" spans="3:10" x14ac:dyDescent="0.2">
      <c r="C49" s="643"/>
      <c r="D49" s="643"/>
      <c r="E49" s="643"/>
      <c r="F49" s="643"/>
      <c r="G49" s="643"/>
      <c r="H49" s="643"/>
      <c r="I49" s="643"/>
      <c r="J49" s="643"/>
    </row>
    <row r="50" spans="3:10" x14ac:dyDescent="0.2">
      <c r="C50" s="643"/>
      <c r="D50" s="643"/>
      <c r="E50" s="643"/>
      <c r="F50" s="643"/>
      <c r="G50" s="643"/>
      <c r="H50" s="643"/>
      <c r="I50" s="643"/>
      <c r="J50" s="643"/>
    </row>
    <row r="51" spans="3:10" x14ac:dyDescent="0.2">
      <c r="C51" s="643"/>
      <c r="D51" s="643"/>
      <c r="E51" s="643"/>
      <c r="F51" s="643"/>
      <c r="G51" s="643"/>
      <c r="H51" s="643"/>
      <c r="I51" s="643"/>
      <c r="J51" s="643"/>
    </row>
    <row r="52" spans="3:10" x14ac:dyDescent="0.2">
      <c r="C52" s="643"/>
      <c r="D52" s="643"/>
      <c r="E52" s="643"/>
      <c r="F52" s="643"/>
      <c r="G52" s="643"/>
      <c r="H52" s="643"/>
      <c r="I52" s="643"/>
      <c r="J52" s="643"/>
    </row>
  </sheetData>
  <sheetProtection algorithmName="SHA-512" hashValue="+aDl2bAvEEmBtWRp5aUyB0eRbmfoim30+3zctoVAXw3F0bD2Q5LOiZnIAeowgKme0tqL1dN+ZNWMqkUfmnT3+A==" saltValue="yJLb8Qctg1l4G44FtCN41A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P65"/>
  <sheetViews>
    <sheetView showGridLines="0" zoomScale="112" zoomScaleNormal="112" workbookViewId="0">
      <selection activeCell="B16" sqref="B16"/>
    </sheetView>
  </sheetViews>
  <sheetFormatPr baseColWidth="10" defaultColWidth="11.42578125" defaultRowHeight="12.75" x14ac:dyDescent="0.2"/>
  <cols>
    <col min="1" max="1" width="11.42578125" style="51"/>
    <col min="2" max="2" width="59.42578125" style="51" customWidth="1"/>
    <col min="3" max="3" width="20.42578125" style="51" customWidth="1"/>
    <col min="4" max="4" width="12.7109375" style="51" customWidth="1"/>
    <col min="5" max="5" width="16.5703125" style="51" customWidth="1"/>
    <col min="6" max="6" width="51.7109375" style="51" customWidth="1"/>
    <col min="7" max="7" width="37.42578125" style="51" customWidth="1"/>
    <col min="8" max="9" width="11.42578125" style="51"/>
    <col min="10" max="11" width="13.28515625" style="51" customWidth="1"/>
    <col min="12" max="16384" width="11.42578125" style="51"/>
  </cols>
  <sheetData>
    <row r="1" spans="1:16" x14ac:dyDescent="0.2">
      <c r="J1" s="182"/>
      <c r="K1" s="185"/>
    </row>
    <row r="2" spans="1:16" x14ac:dyDescent="0.2">
      <c r="J2" s="182" t="s">
        <v>196</v>
      </c>
      <c r="K2" s="185"/>
    </row>
    <row r="4" spans="1:16" ht="19.5" customHeight="1" x14ac:dyDescent="0.2">
      <c r="I4" s="183" t="s">
        <v>0</v>
      </c>
      <c r="J4" s="877" t="str">
        <f>+'B) Reajuste Tarifas y Ocupación'!F5</f>
        <v>(DEPTO./DELEG.)</v>
      </c>
      <c r="K4" s="878"/>
    </row>
    <row r="6" spans="1:16" ht="12.75" customHeight="1" x14ac:dyDescent="0.2">
      <c r="A6" s="184" t="s">
        <v>121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6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6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</row>
    <row r="9" spans="1:16" ht="12.75" customHeight="1" x14ac:dyDescent="0.2">
      <c r="A9" s="52"/>
      <c r="B9" s="939" t="s">
        <v>226</v>
      </c>
      <c r="C9" s="941" t="s">
        <v>225</v>
      </c>
      <c r="D9" s="941" t="s">
        <v>227</v>
      </c>
      <c r="E9" s="941" t="s">
        <v>228</v>
      </c>
      <c r="F9" s="674"/>
    </row>
    <row r="10" spans="1:16" x14ac:dyDescent="0.2">
      <c r="B10" s="940"/>
      <c r="C10" s="942"/>
      <c r="D10" s="942"/>
      <c r="E10" s="942"/>
      <c r="F10" s="674"/>
    </row>
    <row r="11" spans="1:16" x14ac:dyDescent="0.2">
      <c r="B11" s="675" t="s">
        <v>11</v>
      </c>
      <c r="C11" s="676"/>
      <c r="D11" s="676"/>
      <c r="E11" s="676"/>
      <c r="F11" s="674"/>
    </row>
    <row r="12" spans="1:16" x14ac:dyDescent="0.2">
      <c r="B12" s="677" t="s">
        <v>16</v>
      </c>
      <c r="C12" s="678"/>
      <c r="D12" s="679"/>
      <c r="E12" s="679"/>
      <c r="F12" s="674"/>
    </row>
    <row r="13" spans="1:16" ht="24" x14ac:dyDescent="0.2">
      <c r="B13" s="680" t="s">
        <v>173</v>
      </c>
      <c r="C13" s="681">
        <v>500000</v>
      </c>
      <c r="D13" s="682">
        <f t="shared" ref="D13:D63" si="0">C13*0.8</f>
        <v>400000</v>
      </c>
      <c r="E13" s="682">
        <f t="shared" ref="E13:E63" si="1">C13*0.2</f>
        <v>100000</v>
      </c>
      <c r="F13" s="672" t="s">
        <v>274</v>
      </c>
    </row>
    <row r="14" spans="1:16" x14ac:dyDescent="0.2">
      <c r="B14" s="683" t="s">
        <v>19</v>
      </c>
      <c r="C14" s="684">
        <v>60000</v>
      </c>
      <c r="D14" s="682">
        <f t="shared" si="0"/>
        <v>48000</v>
      </c>
      <c r="E14" s="682">
        <f t="shared" si="1"/>
        <v>12000</v>
      </c>
      <c r="F14" s="673" t="s">
        <v>275</v>
      </c>
    </row>
    <row r="15" spans="1:16" x14ac:dyDescent="0.2">
      <c r="B15" s="683" t="s">
        <v>174</v>
      </c>
      <c r="C15" s="684">
        <v>0</v>
      </c>
      <c r="D15" s="682">
        <f t="shared" si="0"/>
        <v>0</v>
      </c>
      <c r="E15" s="682">
        <f t="shared" si="1"/>
        <v>0</v>
      </c>
      <c r="F15" s="673"/>
    </row>
    <row r="16" spans="1:16" x14ac:dyDescent="0.2">
      <c r="B16" s="683" t="s">
        <v>209</v>
      </c>
      <c r="C16" s="684">
        <v>350000</v>
      </c>
      <c r="D16" s="682">
        <f t="shared" si="0"/>
        <v>280000</v>
      </c>
      <c r="E16" s="682">
        <f t="shared" si="1"/>
        <v>70000</v>
      </c>
      <c r="F16" s="673"/>
    </row>
    <row r="17" spans="2:6" x14ac:dyDescent="0.2">
      <c r="B17" s="683" t="s">
        <v>22</v>
      </c>
      <c r="C17" s="684">
        <v>0</v>
      </c>
      <c r="D17" s="682">
        <f t="shared" si="0"/>
        <v>0</v>
      </c>
      <c r="E17" s="682">
        <f t="shared" si="1"/>
        <v>0</v>
      </c>
      <c r="F17" s="673"/>
    </row>
    <row r="18" spans="2:6" x14ac:dyDescent="0.2">
      <c r="B18" s="683" t="s">
        <v>176</v>
      </c>
      <c r="C18" s="684">
        <v>0</v>
      </c>
      <c r="D18" s="682">
        <f t="shared" si="0"/>
        <v>0</v>
      </c>
      <c r="E18" s="682">
        <f t="shared" si="1"/>
        <v>0</v>
      </c>
      <c r="F18" s="673"/>
    </row>
    <row r="19" spans="2:6" ht="36" x14ac:dyDescent="0.2">
      <c r="B19" s="683" t="s">
        <v>24</v>
      </c>
      <c r="C19" s="684">
        <v>1900000</v>
      </c>
      <c r="D19" s="682">
        <f t="shared" si="0"/>
        <v>1520000</v>
      </c>
      <c r="E19" s="682">
        <f t="shared" si="1"/>
        <v>380000</v>
      </c>
      <c r="F19" s="694" t="s">
        <v>264</v>
      </c>
    </row>
    <row r="20" spans="2:6" x14ac:dyDescent="0.2">
      <c r="B20" s="683" t="s">
        <v>25</v>
      </c>
      <c r="C20" s="684">
        <v>1900000</v>
      </c>
      <c r="D20" s="682">
        <f t="shared" si="0"/>
        <v>1520000</v>
      </c>
      <c r="E20" s="682">
        <f t="shared" si="1"/>
        <v>380000</v>
      </c>
      <c r="F20" s="694" t="s">
        <v>265</v>
      </c>
    </row>
    <row r="21" spans="2:6" x14ac:dyDescent="0.2">
      <c r="B21" s="683" t="s">
        <v>26</v>
      </c>
      <c r="C21" s="684">
        <v>1983000</v>
      </c>
      <c r="D21" s="682">
        <f t="shared" si="0"/>
        <v>1586400</v>
      </c>
      <c r="E21" s="682">
        <f t="shared" si="1"/>
        <v>396600</v>
      </c>
      <c r="F21" s="694" t="s">
        <v>265</v>
      </c>
    </row>
    <row r="22" spans="2:6" x14ac:dyDescent="0.2">
      <c r="B22" s="683" t="s">
        <v>27</v>
      </c>
      <c r="C22" s="684">
        <v>0</v>
      </c>
      <c r="D22" s="682">
        <f t="shared" si="0"/>
        <v>0</v>
      </c>
      <c r="E22" s="682">
        <f t="shared" si="1"/>
        <v>0</v>
      </c>
      <c r="F22" s="673"/>
    </row>
    <row r="23" spans="2:6" x14ac:dyDescent="0.2">
      <c r="B23" s="683" t="s">
        <v>29</v>
      </c>
      <c r="C23" s="684">
        <v>0</v>
      </c>
      <c r="D23" s="682">
        <f t="shared" si="0"/>
        <v>0</v>
      </c>
      <c r="E23" s="682">
        <f t="shared" si="1"/>
        <v>0</v>
      </c>
      <c r="F23" s="673"/>
    </row>
    <row r="24" spans="2:6" x14ac:dyDescent="0.2">
      <c r="B24" s="683" t="s">
        <v>30</v>
      </c>
      <c r="C24" s="684">
        <v>0</v>
      </c>
      <c r="D24" s="682">
        <f t="shared" si="0"/>
        <v>0</v>
      </c>
      <c r="E24" s="682">
        <f t="shared" si="1"/>
        <v>0</v>
      </c>
      <c r="F24" s="673"/>
    </row>
    <row r="25" spans="2:6" ht="53.25" customHeight="1" x14ac:dyDescent="0.2">
      <c r="B25" s="683" t="s">
        <v>31</v>
      </c>
      <c r="C25" s="681">
        <v>560000</v>
      </c>
      <c r="D25" s="682">
        <f t="shared" si="0"/>
        <v>448000</v>
      </c>
      <c r="E25" s="682">
        <f t="shared" si="1"/>
        <v>112000</v>
      </c>
      <c r="F25" s="671" t="s">
        <v>305</v>
      </c>
    </row>
    <row r="26" spans="2:6" x14ac:dyDescent="0.2">
      <c r="B26" s="683" t="s">
        <v>177</v>
      </c>
      <c r="C26" s="684">
        <v>0</v>
      </c>
      <c r="D26" s="682">
        <f t="shared" si="0"/>
        <v>0</v>
      </c>
      <c r="E26" s="682">
        <f t="shared" si="1"/>
        <v>0</v>
      </c>
      <c r="F26" s="673"/>
    </row>
    <row r="27" spans="2:6" x14ac:dyDescent="0.2">
      <c r="B27" s="683" t="s">
        <v>32</v>
      </c>
      <c r="C27" s="684">
        <v>0</v>
      </c>
      <c r="D27" s="682">
        <f t="shared" si="0"/>
        <v>0</v>
      </c>
      <c r="E27" s="682">
        <f t="shared" si="1"/>
        <v>0</v>
      </c>
      <c r="F27" s="673"/>
    </row>
    <row r="28" spans="2:6" ht="24" x14ac:dyDescent="0.2">
      <c r="B28" s="680" t="s">
        <v>178</v>
      </c>
      <c r="C28" s="684">
        <v>1650000</v>
      </c>
      <c r="D28" s="682">
        <f t="shared" si="0"/>
        <v>1320000</v>
      </c>
      <c r="E28" s="682">
        <f t="shared" si="1"/>
        <v>330000</v>
      </c>
      <c r="F28" s="673"/>
    </row>
    <row r="29" spans="2:6" x14ac:dyDescent="0.2">
      <c r="B29" s="683" t="s">
        <v>179</v>
      </c>
      <c r="C29" s="681">
        <v>80000</v>
      </c>
      <c r="D29" s="682">
        <f t="shared" si="0"/>
        <v>64000</v>
      </c>
      <c r="E29" s="682">
        <f t="shared" si="1"/>
        <v>16000</v>
      </c>
      <c r="F29" s="673" t="s">
        <v>273</v>
      </c>
    </row>
    <row r="30" spans="2:6" x14ac:dyDescent="0.2">
      <c r="B30" s="685" t="s">
        <v>34</v>
      </c>
      <c r="C30" s="686">
        <v>0</v>
      </c>
      <c r="D30" s="682"/>
      <c r="E30" s="682">
        <f t="shared" si="1"/>
        <v>0</v>
      </c>
      <c r="F30" s="673"/>
    </row>
    <row r="31" spans="2:6" x14ac:dyDescent="0.2">
      <c r="B31" s="687" t="s">
        <v>35</v>
      </c>
      <c r="C31" s="688"/>
      <c r="D31" s="682"/>
      <c r="E31" s="682">
        <f t="shared" si="1"/>
        <v>0</v>
      </c>
      <c r="F31" s="673"/>
    </row>
    <row r="32" spans="2:6" ht="60" x14ac:dyDescent="0.2">
      <c r="B32" s="697" t="s">
        <v>309</v>
      </c>
      <c r="C32" s="698">
        <v>31583286</v>
      </c>
      <c r="D32" s="682">
        <f t="shared" si="0"/>
        <v>25266628.800000001</v>
      </c>
      <c r="E32" s="682">
        <f t="shared" si="1"/>
        <v>6316657.2000000002</v>
      </c>
      <c r="F32" s="672" t="s">
        <v>310</v>
      </c>
    </row>
    <row r="33" spans="2:6" ht="24" x14ac:dyDescent="0.2">
      <c r="B33" s="697" t="s">
        <v>311</v>
      </c>
      <c r="C33" s="698">
        <v>2818725</v>
      </c>
      <c r="D33" s="682">
        <f t="shared" si="0"/>
        <v>2254980</v>
      </c>
      <c r="E33" s="682">
        <f t="shared" si="1"/>
        <v>563745</v>
      </c>
      <c r="F33" s="672" t="s">
        <v>312</v>
      </c>
    </row>
    <row r="34" spans="2:6" ht="36" x14ac:dyDescent="0.2">
      <c r="B34" s="697" t="s">
        <v>313</v>
      </c>
      <c r="C34" s="698">
        <v>1387680</v>
      </c>
      <c r="D34" s="682">
        <f t="shared" si="0"/>
        <v>1110144</v>
      </c>
      <c r="E34" s="682">
        <f t="shared" si="1"/>
        <v>277536</v>
      </c>
      <c r="F34" s="672" t="s">
        <v>314</v>
      </c>
    </row>
    <row r="35" spans="2:6" ht="29.25" customHeight="1" x14ac:dyDescent="0.2">
      <c r="B35" s="683" t="s">
        <v>41</v>
      </c>
      <c r="C35" s="684">
        <v>100000</v>
      </c>
      <c r="D35" s="682">
        <f t="shared" si="0"/>
        <v>80000</v>
      </c>
      <c r="E35" s="682">
        <f t="shared" si="1"/>
        <v>20000</v>
      </c>
      <c r="F35" s="671" t="s">
        <v>276</v>
      </c>
    </row>
    <row r="36" spans="2:6" ht="24" x14ac:dyDescent="0.2">
      <c r="B36" s="680" t="s">
        <v>182</v>
      </c>
      <c r="C36" s="684">
        <v>100000</v>
      </c>
      <c r="D36" s="682">
        <f t="shared" si="0"/>
        <v>80000</v>
      </c>
      <c r="E36" s="682">
        <f t="shared" si="1"/>
        <v>20000</v>
      </c>
      <c r="F36" s="693" t="s">
        <v>277</v>
      </c>
    </row>
    <row r="37" spans="2:6" x14ac:dyDescent="0.2">
      <c r="B37" s="687" t="s">
        <v>42</v>
      </c>
      <c r="C37" s="688"/>
      <c r="D37" s="689"/>
      <c r="E37" s="689"/>
      <c r="F37" s="673"/>
    </row>
    <row r="38" spans="2:6" x14ac:dyDescent="0.2">
      <c r="B38" s="683" t="s">
        <v>44</v>
      </c>
      <c r="C38" s="684">
        <v>0</v>
      </c>
      <c r="D38" s="682">
        <f t="shared" si="0"/>
        <v>0</v>
      </c>
      <c r="E38" s="682">
        <f t="shared" si="1"/>
        <v>0</v>
      </c>
      <c r="F38" s="673"/>
    </row>
    <row r="39" spans="2:6" x14ac:dyDescent="0.2">
      <c r="B39" s="687" t="s">
        <v>45</v>
      </c>
      <c r="C39" s="690"/>
      <c r="D39" s="691"/>
      <c r="E39" s="691"/>
      <c r="F39" s="673"/>
    </row>
    <row r="40" spans="2:6" x14ac:dyDescent="0.2">
      <c r="B40" s="683" t="s">
        <v>47</v>
      </c>
      <c r="C40" s="684">
        <v>0</v>
      </c>
      <c r="D40" s="682">
        <f t="shared" si="0"/>
        <v>0</v>
      </c>
      <c r="E40" s="682">
        <f t="shared" si="1"/>
        <v>0</v>
      </c>
      <c r="F40" s="673"/>
    </row>
    <row r="41" spans="2:6" ht="24" x14ac:dyDescent="0.2">
      <c r="B41" s="683" t="s">
        <v>210</v>
      </c>
      <c r="C41" s="684">
        <v>100000</v>
      </c>
      <c r="D41" s="682">
        <f t="shared" si="0"/>
        <v>80000</v>
      </c>
      <c r="E41" s="682">
        <f t="shared" si="1"/>
        <v>20000</v>
      </c>
      <c r="F41" s="672" t="s">
        <v>278</v>
      </c>
    </row>
    <row r="42" spans="2:6" x14ac:dyDescent="0.2">
      <c r="B42" s="683" t="s">
        <v>49</v>
      </c>
      <c r="C42" s="684">
        <v>0</v>
      </c>
      <c r="D42" s="682">
        <f t="shared" si="0"/>
        <v>0</v>
      </c>
      <c r="E42" s="682">
        <f t="shared" si="1"/>
        <v>0</v>
      </c>
      <c r="F42" s="673"/>
    </row>
    <row r="43" spans="2:6" ht="24" x14ac:dyDescent="0.2">
      <c r="B43" s="683" t="s">
        <v>50</v>
      </c>
      <c r="C43" s="684">
        <v>4000000</v>
      </c>
      <c r="D43" s="682">
        <f t="shared" si="0"/>
        <v>3200000</v>
      </c>
      <c r="E43" s="682">
        <f t="shared" si="1"/>
        <v>800000</v>
      </c>
      <c r="F43" s="694" t="s">
        <v>263</v>
      </c>
    </row>
    <row r="44" spans="2:6" ht="24" x14ac:dyDescent="0.2">
      <c r="B44" s="683" t="s">
        <v>51</v>
      </c>
      <c r="C44" s="684">
        <v>300000</v>
      </c>
      <c r="D44" s="682">
        <f t="shared" si="0"/>
        <v>240000</v>
      </c>
      <c r="E44" s="682">
        <f t="shared" si="1"/>
        <v>60000</v>
      </c>
      <c r="F44" s="672" t="s">
        <v>279</v>
      </c>
    </row>
    <row r="45" spans="2:6" ht="172.5" customHeight="1" x14ac:dyDescent="0.2">
      <c r="B45" s="683" t="s">
        <v>52</v>
      </c>
      <c r="C45" s="681">
        <v>4000000</v>
      </c>
      <c r="D45" s="682">
        <f t="shared" si="0"/>
        <v>3200000</v>
      </c>
      <c r="E45" s="682">
        <f t="shared" si="1"/>
        <v>800000</v>
      </c>
      <c r="F45" s="695" t="s">
        <v>308</v>
      </c>
    </row>
    <row r="46" spans="2:6" ht="24" x14ac:dyDescent="0.2">
      <c r="B46" s="680" t="s">
        <v>183</v>
      </c>
      <c r="C46" s="681">
        <v>200000</v>
      </c>
      <c r="D46" s="682">
        <f t="shared" si="0"/>
        <v>160000</v>
      </c>
      <c r="E46" s="682">
        <f t="shared" si="1"/>
        <v>40000</v>
      </c>
      <c r="F46" s="696" t="s">
        <v>267</v>
      </c>
    </row>
    <row r="47" spans="2:6" x14ac:dyDescent="0.2">
      <c r="B47" s="683" t="s">
        <v>175</v>
      </c>
      <c r="C47" s="684">
        <v>300000</v>
      </c>
      <c r="D47" s="682">
        <f t="shared" si="0"/>
        <v>240000</v>
      </c>
      <c r="E47" s="682">
        <f t="shared" si="1"/>
        <v>60000</v>
      </c>
      <c r="F47" s="694" t="s">
        <v>266</v>
      </c>
    </row>
    <row r="48" spans="2:6" x14ac:dyDescent="0.2">
      <c r="B48" s="687" t="s">
        <v>55</v>
      </c>
      <c r="C48" s="690"/>
      <c r="D48" s="691"/>
      <c r="E48" s="691"/>
      <c r="F48" s="673"/>
    </row>
    <row r="49" spans="2:6" x14ac:dyDescent="0.2">
      <c r="B49" s="683" t="s">
        <v>56</v>
      </c>
      <c r="C49" s="684">
        <v>0</v>
      </c>
      <c r="D49" s="682">
        <f t="shared" si="0"/>
        <v>0</v>
      </c>
      <c r="E49" s="682">
        <f t="shared" si="1"/>
        <v>0</v>
      </c>
      <c r="F49" s="673"/>
    </row>
    <row r="50" spans="2:6" x14ac:dyDescent="0.2">
      <c r="B50" s="683" t="s">
        <v>57</v>
      </c>
      <c r="C50" s="684">
        <v>0</v>
      </c>
      <c r="D50" s="682">
        <f t="shared" si="0"/>
        <v>0</v>
      </c>
      <c r="E50" s="682">
        <f t="shared" si="1"/>
        <v>0</v>
      </c>
      <c r="F50" s="673"/>
    </row>
    <row r="51" spans="2:6" x14ac:dyDescent="0.2">
      <c r="B51" s="683" t="s">
        <v>166</v>
      </c>
      <c r="C51" s="684">
        <v>0</v>
      </c>
      <c r="D51" s="682">
        <f t="shared" si="0"/>
        <v>0</v>
      </c>
      <c r="E51" s="682">
        <f t="shared" si="1"/>
        <v>0</v>
      </c>
      <c r="F51" s="673"/>
    </row>
    <row r="52" spans="2:6" x14ac:dyDescent="0.2">
      <c r="B52" s="683" t="s">
        <v>184</v>
      </c>
      <c r="C52" s="684">
        <v>1291488</v>
      </c>
      <c r="D52" s="682">
        <f t="shared" si="0"/>
        <v>1033190.4</v>
      </c>
      <c r="E52" s="682">
        <f t="shared" si="1"/>
        <v>258297.60000000001</v>
      </c>
      <c r="F52" s="673"/>
    </row>
    <row r="53" spans="2:6" x14ac:dyDescent="0.2">
      <c r="B53" s="683" t="s">
        <v>187</v>
      </c>
      <c r="C53" s="684">
        <v>0</v>
      </c>
      <c r="D53" s="682">
        <f t="shared" si="0"/>
        <v>0</v>
      </c>
      <c r="E53" s="682">
        <f t="shared" si="1"/>
        <v>0</v>
      </c>
      <c r="F53" s="673"/>
    </row>
    <row r="54" spans="2:6" ht="60" x14ac:dyDescent="0.2">
      <c r="B54" s="683" t="s">
        <v>185</v>
      </c>
      <c r="C54" s="684">
        <v>1496000</v>
      </c>
      <c r="D54" s="682">
        <f t="shared" si="0"/>
        <v>1196800</v>
      </c>
      <c r="E54" s="682">
        <f t="shared" si="1"/>
        <v>299200</v>
      </c>
      <c r="F54" s="672" t="s">
        <v>304</v>
      </c>
    </row>
    <row r="55" spans="2:6" ht="36" x14ac:dyDescent="0.2">
      <c r="B55" s="683" t="s">
        <v>306</v>
      </c>
      <c r="C55" s="684">
        <v>564400</v>
      </c>
      <c r="D55" s="682">
        <f t="shared" si="0"/>
        <v>451520</v>
      </c>
      <c r="E55" s="682">
        <f t="shared" si="1"/>
        <v>112880</v>
      </c>
      <c r="F55" s="672" t="s">
        <v>307</v>
      </c>
    </row>
    <row r="56" spans="2:6" x14ac:dyDescent="0.2">
      <c r="B56" s="687" t="s">
        <v>65</v>
      </c>
      <c r="C56" s="692"/>
      <c r="D56" s="691"/>
      <c r="E56" s="691"/>
      <c r="F56" s="673"/>
    </row>
    <row r="57" spans="2:6" x14ac:dyDescent="0.2">
      <c r="B57" s="683" t="s">
        <v>98</v>
      </c>
      <c r="C57" s="684">
        <v>0</v>
      </c>
      <c r="D57" s="682">
        <f t="shared" si="0"/>
        <v>0</v>
      </c>
      <c r="E57" s="682">
        <f t="shared" si="1"/>
        <v>0</v>
      </c>
      <c r="F57" s="673"/>
    </row>
    <row r="58" spans="2:6" x14ac:dyDescent="0.2">
      <c r="B58" s="683" t="s">
        <v>99</v>
      </c>
      <c r="C58" s="684">
        <v>0</v>
      </c>
      <c r="D58" s="682">
        <f t="shared" si="0"/>
        <v>0</v>
      </c>
      <c r="E58" s="682">
        <f t="shared" si="1"/>
        <v>0</v>
      </c>
      <c r="F58" s="673"/>
    </row>
    <row r="59" spans="2:6" x14ac:dyDescent="0.2">
      <c r="B59" s="683" t="s">
        <v>188</v>
      </c>
      <c r="C59" s="684">
        <v>0</v>
      </c>
      <c r="D59" s="682">
        <f t="shared" si="0"/>
        <v>0</v>
      </c>
      <c r="E59" s="682">
        <f t="shared" si="1"/>
        <v>0</v>
      </c>
      <c r="F59" s="673"/>
    </row>
    <row r="60" spans="2:6" x14ac:dyDescent="0.2">
      <c r="B60" s="683" t="s">
        <v>101</v>
      </c>
      <c r="C60" s="684">
        <v>0</v>
      </c>
      <c r="D60" s="682">
        <f t="shared" si="0"/>
        <v>0</v>
      </c>
      <c r="E60" s="682">
        <f t="shared" si="1"/>
        <v>0</v>
      </c>
      <c r="F60" s="673"/>
    </row>
    <row r="61" spans="2:6" ht="30" customHeight="1" x14ac:dyDescent="0.2">
      <c r="B61" s="680" t="s">
        <v>189</v>
      </c>
      <c r="C61" s="684">
        <v>1000000</v>
      </c>
      <c r="D61" s="682">
        <f t="shared" si="0"/>
        <v>800000</v>
      </c>
      <c r="E61" s="682">
        <f t="shared" si="1"/>
        <v>200000</v>
      </c>
      <c r="F61" s="695" t="s">
        <v>280</v>
      </c>
    </row>
    <row r="62" spans="2:6" x14ac:dyDescent="0.2">
      <c r="B62" s="683" t="s">
        <v>103</v>
      </c>
      <c r="C62" s="684"/>
      <c r="D62" s="682"/>
      <c r="E62" s="682"/>
      <c r="F62" s="673"/>
    </row>
    <row r="63" spans="2:6" ht="24" x14ac:dyDescent="0.2">
      <c r="B63" s="683" t="s">
        <v>211</v>
      </c>
      <c r="C63" s="684">
        <v>1200000</v>
      </c>
      <c r="D63" s="682">
        <f t="shared" si="0"/>
        <v>960000</v>
      </c>
      <c r="E63" s="682">
        <f t="shared" si="1"/>
        <v>240000</v>
      </c>
      <c r="F63" s="694" t="s">
        <v>268</v>
      </c>
    </row>
    <row r="64" spans="2:6" x14ac:dyDescent="0.2">
      <c r="B64" s="2"/>
      <c r="C64" s="11"/>
      <c r="D64" s="11"/>
      <c r="E64" s="11"/>
    </row>
    <row r="65" spans="2:5" x14ac:dyDescent="0.2">
      <c r="B65" s="2"/>
      <c r="C65" s="11"/>
      <c r="D65" s="11"/>
      <c r="E65" s="11"/>
    </row>
  </sheetData>
  <mergeCells count="5">
    <mergeCell ref="B9:B10"/>
    <mergeCell ref="C9:C10"/>
    <mergeCell ref="D9:D10"/>
    <mergeCell ref="E9:E10"/>
    <mergeCell ref="J4:K4"/>
  </mergeCells>
  <pageMargins left="0.7" right="0.7" top="0.75" bottom="0.75" header="0.3" footer="0.3"/>
  <pageSetup paperSize="9" orientation="portrait" r:id="rId1"/>
  <ignoredErrors>
    <ignoredError sqref="J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  <pageSetUpPr fitToPage="1"/>
  </sheetPr>
  <dimension ref="A2:O23"/>
  <sheetViews>
    <sheetView zoomScale="90" zoomScaleNormal="90" workbookViewId="0">
      <selection activeCell="B17" sqref="B17"/>
    </sheetView>
  </sheetViews>
  <sheetFormatPr baseColWidth="10" defaultRowHeight="15" x14ac:dyDescent="0.25"/>
  <cols>
    <col min="1" max="1" width="38.140625" style="508" bestFit="1" customWidth="1"/>
    <col min="2" max="13" width="13.85546875" style="508" bestFit="1" customWidth="1"/>
    <col min="14" max="14" width="14.85546875" style="508" bestFit="1" customWidth="1"/>
    <col min="15" max="15" width="13.85546875" style="508" bestFit="1" customWidth="1"/>
    <col min="16" max="16384" width="11.42578125" style="508"/>
  </cols>
  <sheetData>
    <row r="2" spans="1:15" ht="15.75" x14ac:dyDescent="0.25">
      <c r="A2" s="743" t="s">
        <v>245</v>
      </c>
      <c r="B2" s="743"/>
      <c r="C2" s="743"/>
      <c r="D2" s="743"/>
    </row>
    <row r="4" spans="1:15" x14ac:dyDescent="0.25">
      <c r="A4" s="519" t="s">
        <v>250</v>
      </c>
      <c r="B4" s="509" t="s">
        <v>229</v>
      </c>
      <c r="C4" s="509" t="s">
        <v>230</v>
      </c>
      <c r="D4" s="509" t="s">
        <v>231</v>
      </c>
      <c r="E4" s="509" t="s">
        <v>232</v>
      </c>
      <c r="F4" s="509" t="s">
        <v>233</v>
      </c>
      <c r="G4" s="509" t="s">
        <v>234</v>
      </c>
      <c r="H4" s="509" t="s">
        <v>235</v>
      </c>
      <c r="I4" s="509" t="s">
        <v>236</v>
      </c>
      <c r="J4" s="509" t="s">
        <v>237</v>
      </c>
      <c r="K4" s="509" t="s">
        <v>238</v>
      </c>
      <c r="L4" s="509" t="s">
        <v>239</v>
      </c>
      <c r="M4" s="509" t="s">
        <v>240</v>
      </c>
    </row>
    <row r="5" spans="1:15" x14ac:dyDescent="0.25">
      <c r="A5" s="510" t="s">
        <v>246</v>
      </c>
      <c r="B5" s="511"/>
      <c r="C5" s="511"/>
      <c r="D5" s="511">
        <f>+'B) Reajuste Tarifas y Ocupación'!$I$25</f>
        <v>62</v>
      </c>
      <c r="E5" s="511">
        <f>+'B) Reajuste Tarifas y Ocupación'!$I$25</f>
        <v>62</v>
      </c>
      <c r="F5" s="511">
        <f>+'B) Reajuste Tarifas y Ocupación'!$I$25</f>
        <v>62</v>
      </c>
      <c r="G5" s="511">
        <f>+'B) Reajuste Tarifas y Ocupación'!$I$25</f>
        <v>62</v>
      </c>
      <c r="H5" s="511">
        <f>+'B) Reajuste Tarifas y Ocupación'!$I$25</f>
        <v>62</v>
      </c>
      <c r="I5" s="511">
        <f>+'B) Reajuste Tarifas y Ocupación'!$I$25</f>
        <v>62</v>
      </c>
      <c r="J5" s="511">
        <f>+'B) Reajuste Tarifas y Ocupación'!$I$25</f>
        <v>62</v>
      </c>
      <c r="K5" s="511">
        <f>+'B) Reajuste Tarifas y Ocupación'!$I$25</f>
        <v>62</v>
      </c>
      <c r="L5" s="511">
        <f>+'B) Reajuste Tarifas y Ocupación'!$I$25</f>
        <v>62</v>
      </c>
      <c r="M5" s="511">
        <f>+'B) Reajuste Tarifas y Ocupación'!$I$25</f>
        <v>62</v>
      </c>
    </row>
    <row r="6" spans="1:15" x14ac:dyDescent="0.25">
      <c r="A6" s="510" t="s">
        <v>247</v>
      </c>
      <c r="B6" s="511">
        <f>+COUNTA('F) Remuneraciones'!$C$11:$C$22)</f>
        <v>4</v>
      </c>
      <c r="C6" s="511">
        <f>+COUNTA('F) Remuneraciones'!$C$11:$C$22)</f>
        <v>4</v>
      </c>
      <c r="D6" s="511">
        <f>+COUNTA('F) Remuneraciones'!$C$11:$C$22)</f>
        <v>4</v>
      </c>
      <c r="E6" s="511">
        <f>+COUNTA('F) Remuneraciones'!$C$11:$C$22)</f>
        <v>4</v>
      </c>
      <c r="F6" s="511">
        <f>+COUNTA('F) Remuneraciones'!$C$11:$C$22)</f>
        <v>4</v>
      </c>
      <c r="G6" s="511">
        <f>+COUNTA('F) Remuneraciones'!$C$11:$C$22)</f>
        <v>4</v>
      </c>
      <c r="H6" s="511">
        <f>+COUNTA('F) Remuneraciones'!$C$11:$C$22)</f>
        <v>4</v>
      </c>
      <c r="I6" s="511">
        <f>+COUNTA('F) Remuneraciones'!$C$11:$C$22)</f>
        <v>4</v>
      </c>
      <c r="J6" s="511">
        <f>+COUNTA('F) Remuneraciones'!$C$11:$C$22)</f>
        <v>4</v>
      </c>
      <c r="K6" s="511">
        <f>+COUNTA('F) Remuneraciones'!$C$11:$C$22)</f>
        <v>4</v>
      </c>
      <c r="L6" s="511">
        <f>+COUNTA('F) Remuneraciones'!$C$11:$C$22)</f>
        <v>4</v>
      </c>
      <c r="M6" s="511">
        <f>+COUNTA('F) Remuneraciones'!$C$11:$C$22)</f>
        <v>4</v>
      </c>
    </row>
    <row r="7" spans="1:15" x14ac:dyDescent="0.25">
      <c r="A7" s="510"/>
      <c r="B7" s="512"/>
      <c r="C7" s="512"/>
      <c r="D7" s="512"/>
      <c r="E7" s="512"/>
      <c r="F7" s="512"/>
      <c r="G7" s="512"/>
      <c r="H7" s="512"/>
      <c r="I7" s="512"/>
      <c r="J7" s="512"/>
      <c r="K7" s="512"/>
      <c r="L7" s="512"/>
      <c r="M7" s="512"/>
    </row>
    <row r="8" spans="1:15" ht="30" x14ac:dyDescent="0.25">
      <c r="A8" s="513" t="str">
        <f>+'A) Resumen Ingresos y Egresos'!A21</f>
        <v>Jardín Infantil Olitas de Mar</v>
      </c>
      <c r="B8" s="509" t="s">
        <v>229</v>
      </c>
      <c r="C8" s="509" t="s">
        <v>230</v>
      </c>
      <c r="D8" s="509" t="s">
        <v>231</v>
      </c>
      <c r="E8" s="509" t="s">
        <v>232</v>
      </c>
      <c r="F8" s="509" t="s">
        <v>233</v>
      </c>
      <c r="G8" s="509" t="s">
        <v>234</v>
      </c>
      <c r="H8" s="509" t="s">
        <v>235</v>
      </c>
      <c r="I8" s="509" t="s">
        <v>236</v>
      </c>
      <c r="J8" s="509" t="s">
        <v>237</v>
      </c>
      <c r="K8" s="509" t="s">
        <v>238</v>
      </c>
      <c r="L8" s="509" t="s">
        <v>239</v>
      </c>
      <c r="M8" s="509" t="s">
        <v>240</v>
      </c>
      <c r="N8" s="509" t="s">
        <v>248</v>
      </c>
    </row>
    <row r="9" spans="1:15" x14ac:dyDescent="0.25">
      <c r="A9" s="514" t="s">
        <v>241</v>
      </c>
      <c r="B9" s="515">
        <f>+'A) Resumen Ingresos y Egresos'!P30</f>
        <v>5854400</v>
      </c>
      <c r="C9" s="515">
        <f>+'A) Resumen Ingresos y Egresos'!N30*0.7</f>
        <v>6268290</v>
      </c>
      <c r="D9" s="515">
        <f>+'A) Resumen Ingresos y Egresos'!N30*0.3+'A) Resumen Ingresos y Egresos'!O30*0.1</f>
        <v>11641110</v>
      </c>
      <c r="E9" s="515">
        <f>+'A) Resumen Ingresos y Egresos'!$O$30*0.1</f>
        <v>8954700</v>
      </c>
      <c r="F9" s="515">
        <f>+'A) Resumen Ingresos y Egresos'!$O$30*0.1</f>
        <v>8954700</v>
      </c>
      <c r="G9" s="515">
        <f>+'A) Resumen Ingresos y Egresos'!$O$30*0.1</f>
        <v>8954700</v>
      </c>
      <c r="H9" s="515">
        <f>+'A) Resumen Ingresos y Egresos'!$O$30*0.1</f>
        <v>8954700</v>
      </c>
      <c r="I9" s="515">
        <f>+'A) Resumen Ingresos y Egresos'!$O$30*0.1</f>
        <v>8954700</v>
      </c>
      <c r="J9" s="515">
        <f>+'A) Resumen Ingresos y Egresos'!$O$30*0.1</f>
        <v>8954700</v>
      </c>
      <c r="K9" s="515">
        <f>+'A) Resumen Ingresos y Egresos'!$O$30*0.1</f>
        <v>8954700</v>
      </c>
      <c r="L9" s="515">
        <f>+'A) Resumen Ingresos y Egresos'!$O$30*0.1</f>
        <v>8954700</v>
      </c>
      <c r="M9" s="515">
        <f>+'A) Resumen Ingresos y Egresos'!$O$30*0.1</f>
        <v>8954700</v>
      </c>
      <c r="N9" s="516">
        <f>SUM(B9:M9)</f>
        <v>104356100</v>
      </c>
    </row>
    <row r="10" spans="1:15" x14ac:dyDescent="0.25">
      <c r="A10" s="514" t="s">
        <v>242</v>
      </c>
      <c r="B10" s="515">
        <f>SUM('F) Remuneraciones'!$L$11)/12</f>
        <v>3426669.6016666666</v>
      </c>
      <c r="C10" s="515">
        <f>SUM('F) Remuneraciones'!$L$11)/12</f>
        <v>3426669.6016666666</v>
      </c>
      <c r="D10" s="515">
        <f>SUM('F) Remuneraciones'!$L$11)/12</f>
        <v>3426669.6016666666</v>
      </c>
      <c r="E10" s="515">
        <f>SUM('F) Remuneraciones'!$L$11)/12</f>
        <v>3426669.6016666666</v>
      </c>
      <c r="F10" s="515">
        <f>SUM('F) Remuneraciones'!$L$11)/12</f>
        <v>3426669.6016666666</v>
      </c>
      <c r="G10" s="515">
        <f>SUM('F) Remuneraciones'!$L$11)/12</f>
        <v>3426669.6016666666</v>
      </c>
      <c r="H10" s="515">
        <f>SUM('F) Remuneraciones'!$L$11)/12</f>
        <v>3426669.6016666666</v>
      </c>
      <c r="I10" s="515">
        <f>SUM('F) Remuneraciones'!$L$11)/12</f>
        <v>3426669.6016666666</v>
      </c>
      <c r="J10" s="515">
        <f>SUM('F) Remuneraciones'!$L$11)/12</f>
        <v>3426669.6016666666</v>
      </c>
      <c r="K10" s="515">
        <f>SUM('F) Remuneraciones'!$L$11)/12</f>
        <v>3426669.6016666666</v>
      </c>
      <c r="L10" s="515">
        <f>SUM('F) Remuneraciones'!$L$11)/12</f>
        <v>3426669.6016666666</v>
      </c>
      <c r="M10" s="515">
        <f>SUM('F) Remuneraciones'!$L$11)/12</f>
        <v>3426669.6016666666</v>
      </c>
      <c r="N10" s="516">
        <f t="shared" ref="N10:N11" si="0">SUM(B10:M10)</f>
        <v>41120035.219999999</v>
      </c>
    </row>
    <row r="11" spans="1:15" x14ac:dyDescent="0.25">
      <c r="A11" s="514" t="s">
        <v>243</v>
      </c>
      <c r="B11" s="515">
        <f>(+'C) Costos Directos'!$H$75-'C) Costos Directos'!$D$14)*0.05</f>
        <v>2447364.4200000004</v>
      </c>
      <c r="C11" s="515">
        <f>(+'C) Costos Directos'!$H$75-'C) Costos Directos'!$D$14)*0.05</f>
        <v>2447364.4200000004</v>
      </c>
      <c r="D11" s="515">
        <f>(+'C) Costos Directos'!$H$75-'C) Costos Directos'!$D$14)*0.09</f>
        <v>4405255.9560000002</v>
      </c>
      <c r="E11" s="515">
        <f>(+'C) Costos Directos'!$H$75-'C) Costos Directos'!$D$14)*0.09</f>
        <v>4405255.9560000002</v>
      </c>
      <c r="F11" s="515">
        <f>(+'C) Costos Directos'!$H$75-'C) Costos Directos'!$D$14)*0.09</f>
        <v>4405255.9560000002</v>
      </c>
      <c r="G11" s="515">
        <f>(+'C) Costos Directos'!$H$75-'C) Costos Directos'!$D$14)*0.09</f>
        <v>4405255.9560000002</v>
      </c>
      <c r="H11" s="515">
        <f>(+'C) Costos Directos'!$H$75-'C) Costos Directos'!$D$14)*0.09</f>
        <v>4405255.9560000002</v>
      </c>
      <c r="I11" s="515">
        <f>(+'C) Costos Directos'!$H$75-'C) Costos Directos'!$D$14)*0.09</f>
        <v>4405255.9560000002</v>
      </c>
      <c r="J11" s="515">
        <f>(+'C) Costos Directos'!$H$75-'C) Costos Directos'!$D$14)*0.09</f>
        <v>4405255.9560000002</v>
      </c>
      <c r="K11" s="515">
        <f>(+'C) Costos Directos'!$H$75-'C) Costos Directos'!$D$14)*0.09</f>
        <v>4405255.9560000002</v>
      </c>
      <c r="L11" s="515">
        <f>(+'C) Costos Directos'!$H$75-'C) Costos Directos'!$D$14)*0.09</f>
        <v>4405255.9560000002</v>
      </c>
      <c r="M11" s="515">
        <f>(+'C) Costos Directos'!$H$75-'C) Costos Directos'!$D$14)*0.09</f>
        <v>4405255.9560000002</v>
      </c>
      <c r="N11" s="516">
        <f t="shared" si="0"/>
        <v>48947288.400000006</v>
      </c>
      <c r="O11" s="515"/>
    </row>
    <row r="12" spans="1:15" x14ac:dyDescent="0.25">
      <c r="A12" s="517" t="s">
        <v>249</v>
      </c>
      <c r="B12" s="518">
        <f>+B9-B10-B11</f>
        <v>-19634.021666666958</v>
      </c>
      <c r="C12" s="518">
        <f t="shared" ref="C12:N12" si="1">+C9-C10-C11</f>
        <v>394255.97833333304</v>
      </c>
      <c r="D12" s="518">
        <f t="shared" si="1"/>
        <v>3809184.4423333332</v>
      </c>
      <c r="E12" s="518">
        <f t="shared" si="1"/>
        <v>1122774.4423333332</v>
      </c>
      <c r="F12" s="518">
        <f t="shared" si="1"/>
        <v>1122774.4423333332</v>
      </c>
      <c r="G12" s="518">
        <f t="shared" si="1"/>
        <v>1122774.4423333332</v>
      </c>
      <c r="H12" s="518">
        <f t="shared" si="1"/>
        <v>1122774.4423333332</v>
      </c>
      <c r="I12" s="518">
        <f t="shared" si="1"/>
        <v>1122774.4423333332</v>
      </c>
      <c r="J12" s="518">
        <f t="shared" si="1"/>
        <v>1122774.4423333332</v>
      </c>
      <c r="K12" s="518">
        <f t="shared" si="1"/>
        <v>1122774.4423333332</v>
      </c>
      <c r="L12" s="518">
        <f t="shared" si="1"/>
        <v>1122774.4423333332</v>
      </c>
      <c r="M12" s="518">
        <f t="shared" si="1"/>
        <v>1122774.4423333332</v>
      </c>
      <c r="N12" s="518">
        <f t="shared" si="1"/>
        <v>14288776.379999995</v>
      </c>
      <c r="O12" s="515"/>
    </row>
    <row r="15" spans="1:15" x14ac:dyDescent="0.25">
      <c r="A15" s="519" t="s">
        <v>250</v>
      </c>
      <c r="B15" s="509" t="s">
        <v>229</v>
      </c>
      <c r="C15" s="509" t="s">
        <v>230</v>
      </c>
      <c r="D15" s="509" t="s">
        <v>231</v>
      </c>
      <c r="E15" s="509" t="s">
        <v>232</v>
      </c>
      <c r="F15" s="509" t="s">
        <v>233</v>
      </c>
      <c r="G15" s="509" t="s">
        <v>234</v>
      </c>
      <c r="H15" s="509" t="s">
        <v>235</v>
      </c>
      <c r="I15" s="509" t="s">
        <v>236</v>
      </c>
      <c r="J15" s="509" t="s">
        <v>237</v>
      </c>
      <c r="K15" s="509" t="s">
        <v>238</v>
      </c>
      <c r="L15" s="509" t="s">
        <v>239</v>
      </c>
      <c r="M15" s="509" t="s">
        <v>240</v>
      </c>
    </row>
    <row r="16" spans="1:15" x14ac:dyDescent="0.25">
      <c r="A16" s="510" t="s">
        <v>246</v>
      </c>
      <c r="B16" s="511"/>
      <c r="C16" s="511"/>
      <c r="D16" s="511">
        <f>+'B) Reajuste Tarifas y Ocupación'!$I$28</f>
        <v>6</v>
      </c>
      <c r="E16" s="511">
        <f>+'B) Reajuste Tarifas y Ocupación'!$I$28</f>
        <v>6</v>
      </c>
      <c r="F16" s="511">
        <f>+'B) Reajuste Tarifas y Ocupación'!$I$28</f>
        <v>6</v>
      </c>
      <c r="G16" s="511">
        <f>+'B) Reajuste Tarifas y Ocupación'!$I$28</f>
        <v>6</v>
      </c>
      <c r="H16" s="511">
        <f>+'B) Reajuste Tarifas y Ocupación'!$I$28</f>
        <v>6</v>
      </c>
      <c r="I16" s="511">
        <f>+'B) Reajuste Tarifas y Ocupación'!$I$28</f>
        <v>6</v>
      </c>
      <c r="J16" s="511">
        <f>+'B) Reajuste Tarifas y Ocupación'!$I$28</f>
        <v>6</v>
      </c>
      <c r="K16" s="511">
        <f>+'B) Reajuste Tarifas y Ocupación'!$I$28</f>
        <v>6</v>
      </c>
      <c r="L16" s="511">
        <f>+'B) Reajuste Tarifas y Ocupación'!$I$28</f>
        <v>6</v>
      </c>
      <c r="M16" s="511">
        <f>+'B) Reajuste Tarifas y Ocupación'!$I$28</f>
        <v>6</v>
      </c>
    </row>
    <row r="17" spans="1:14" x14ac:dyDescent="0.25">
      <c r="A17" s="510" t="s">
        <v>247</v>
      </c>
      <c r="B17" s="511">
        <f>+COUNTA('F) Remuneraciones'!$C$23:$C$30)</f>
        <v>2</v>
      </c>
      <c r="C17" s="511">
        <f>+COUNTA('F) Remuneraciones'!$C$23:$C$30)</f>
        <v>2</v>
      </c>
      <c r="D17" s="511">
        <f>+COUNTA('F) Remuneraciones'!$C$23:$C$30)</f>
        <v>2</v>
      </c>
      <c r="E17" s="511">
        <f>+COUNTA('F) Remuneraciones'!$C$23:$C$30)</f>
        <v>2</v>
      </c>
      <c r="F17" s="511">
        <f>+COUNTA('F) Remuneraciones'!$C$23:$C$30)</f>
        <v>2</v>
      </c>
      <c r="G17" s="511">
        <f>+COUNTA('F) Remuneraciones'!$C$23:$C$30)</f>
        <v>2</v>
      </c>
      <c r="H17" s="511">
        <f>+COUNTA('F) Remuneraciones'!$C$23:$C$30)</f>
        <v>2</v>
      </c>
      <c r="I17" s="511">
        <f>+COUNTA('F) Remuneraciones'!$C$23:$C$30)</f>
        <v>2</v>
      </c>
      <c r="J17" s="511">
        <f>+COUNTA('F) Remuneraciones'!$C$23:$C$30)</f>
        <v>2</v>
      </c>
      <c r="K17" s="511">
        <f>+COUNTA('F) Remuneraciones'!$C$23:$C$30)</f>
        <v>2</v>
      </c>
      <c r="L17" s="511">
        <f>+COUNTA('F) Remuneraciones'!$C$23:$C$30)</f>
        <v>2</v>
      </c>
      <c r="M17" s="511">
        <f>+COUNTA('F) Remuneraciones'!$C$23:$C$30)</f>
        <v>2</v>
      </c>
    </row>
    <row r="18" spans="1:14" x14ac:dyDescent="0.25">
      <c r="A18" s="510"/>
      <c r="B18" s="512"/>
      <c r="C18" s="512"/>
      <c r="D18" s="512"/>
      <c r="E18" s="512"/>
      <c r="F18" s="512"/>
      <c r="G18" s="512"/>
      <c r="H18" s="512"/>
      <c r="I18" s="512"/>
      <c r="J18" s="512"/>
      <c r="K18" s="512"/>
      <c r="L18" s="512"/>
      <c r="M18" s="512"/>
    </row>
    <row r="19" spans="1:14" ht="30" x14ac:dyDescent="0.25">
      <c r="A19" s="513" t="str">
        <f>+'A) Resumen Ingresos y Egresos'!A31</f>
        <v>Sala Cuna Olitas de Mar</v>
      </c>
      <c r="B19" s="509" t="s">
        <v>229</v>
      </c>
      <c r="C19" s="509" t="s">
        <v>230</v>
      </c>
      <c r="D19" s="509" t="s">
        <v>231</v>
      </c>
      <c r="E19" s="509" t="s">
        <v>232</v>
      </c>
      <c r="F19" s="509" t="s">
        <v>233</v>
      </c>
      <c r="G19" s="509" t="s">
        <v>234</v>
      </c>
      <c r="H19" s="509" t="s">
        <v>235</v>
      </c>
      <c r="I19" s="509" t="s">
        <v>236</v>
      </c>
      <c r="J19" s="509" t="s">
        <v>237</v>
      </c>
      <c r="K19" s="509" t="s">
        <v>238</v>
      </c>
      <c r="L19" s="509" t="s">
        <v>239</v>
      </c>
      <c r="M19" s="509" t="s">
        <v>240</v>
      </c>
      <c r="N19" s="509" t="s">
        <v>248</v>
      </c>
    </row>
    <row r="20" spans="1:14" x14ac:dyDescent="0.25">
      <c r="A20" s="514" t="s">
        <v>241</v>
      </c>
      <c r="B20" s="515">
        <f>+'A) Resumen Ingresos y Egresos'!$O$40/12+'A) Resumen Ingresos y Egresos'!$N$40/12</f>
        <v>2898991.6666666665</v>
      </c>
      <c r="C20" s="515">
        <f>+'A) Resumen Ingresos y Egresos'!$O$40/12+'A) Resumen Ingresos y Egresos'!$N$40/12</f>
        <v>2898991.6666666665</v>
      </c>
      <c r="D20" s="515">
        <f>+'A) Resumen Ingresos y Egresos'!$O$40/12+'A) Resumen Ingresos y Egresos'!$N$40/12</f>
        <v>2898991.6666666665</v>
      </c>
      <c r="E20" s="515">
        <f>+'A) Resumen Ingresos y Egresos'!$O$40/12+'A) Resumen Ingresos y Egresos'!$N$40/12</f>
        <v>2898991.6666666665</v>
      </c>
      <c r="F20" s="515">
        <f>+'A) Resumen Ingresos y Egresos'!$O$40/12+'A) Resumen Ingresos y Egresos'!$N$40/12</f>
        <v>2898991.6666666665</v>
      </c>
      <c r="G20" s="515">
        <f>+'A) Resumen Ingresos y Egresos'!$O$40/12+'A) Resumen Ingresos y Egresos'!$N$40/12</f>
        <v>2898991.6666666665</v>
      </c>
      <c r="H20" s="515">
        <f>+'A) Resumen Ingresos y Egresos'!$O$40/12+'A) Resumen Ingresos y Egresos'!$N$40/12</f>
        <v>2898991.6666666665</v>
      </c>
      <c r="I20" s="515">
        <f>+'A) Resumen Ingresos y Egresos'!$O$40/12+'A) Resumen Ingresos y Egresos'!$N$40/12</f>
        <v>2898991.6666666665</v>
      </c>
      <c r="J20" s="515">
        <f>+'A) Resumen Ingresos y Egresos'!$O$40/12+'A) Resumen Ingresos y Egresos'!$N$40/12</f>
        <v>2898991.6666666665</v>
      </c>
      <c r="K20" s="515">
        <f>+'A) Resumen Ingresos y Egresos'!$O$40/12+'A) Resumen Ingresos y Egresos'!$N$40/12</f>
        <v>2898991.6666666665</v>
      </c>
      <c r="L20" s="515">
        <f>+'A) Resumen Ingresos y Egresos'!$O$40/12+'A) Resumen Ingresos y Egresos'!$N$40/12</f>
        <v>2898991.6666666665</v>
      </c>
      <c r="M20" s="515">
        <f>+'A) Resumen Ingresos y Egresos'!$O$40/12+'A) Resumen Ingresos y Egresos'!$N$40/12</f>
        <v>2898991.6666666665</v>
      </c>
      <c r="N20" s="516">
        <f>SUM(B20:M20)</f>
        <v>34787900.000000007</v>
      </c>
    </row>
    <row r="21" spans="1:14" x14ac:dyDescent="0.25">
      <c r="A21" s="514" t="s">
        <v>242</v>
      </c>
      <c r="B21" s="515">
        <f>SUM('F) Remuneraciones'!$L$23)/12</f>
        <v>1871822.1133333333</v>
      </c>
      <c r="C21" s="515">
        <f>SUM('F) Remuneraciones'!$L$23)/12</f>
        <v>1871822.1133333333</v>
      </c>
      <c r="D21" s="515">
        <f>SUM('F) Remuneraciones'!$L$23)/12</f>
        <v>1871822.1133333333</v>
      </c>
      <c r="E21" s="515">
        <f>SUM('F) Remuneraciones'!$L$23)/12</f>
        <v>1871822.1133333333</v>
      </c>
      <c r="F21" s="515">
        <f>SUM('F) Remuneraciones'!$L$23)/12</f>
        <v>1871822.1133333333</v>
      </c>
      <c r="G21" s="515">
        <f>SUM('F) Remuneraciones'!$L$23)/12</f>
        <v>1871822.1133333333</v>
      </c>
      <c r="H21" s="515">
        <f>SUM('F) Remuneraciones'!$L$23)/12</f>
        <v>1871822.1133333333</v>
      </c>
      <c r="I21" s="515">
        <f>SUM('F) Remuneraciones'!$L$23)/12</f>
        <v>1871822.1133333333</v>
      </c>
      <c r="J21" s="515">
        <f>SUM('F) Remuneraciones'!$L$23)/12</f>
        <v>1871822.1133333333</v>
      </c>
      <c r="K21" s="515">
        <f>SUM('F) Remuneraciones'!$L$23)/12</f>
        <v>1871822.1133333333</v>
      </c>
      <c r="L21" s="515">
        <f>SUM('F) Remuneraciones'!$L$23)/12</f>
        <v>1871822.1133333333</v>
      </c>
      <c r="M21" s="515">
        <f>SUM('F) Remuneraciones'!$L$23)/12</f>
        <v>1871822.1133333333</v>
      </c>
      <c r="N21" s="516">
        <f t="shared" ref="N21:N22" si="2">SUM(B21:M21)</f>
        <v>22461865.359999999</v>
      </c>
    </row>
    <row r="22" spans="1:14" x14ac:dyDescent="0.25">
      <c r="A22" s="514" t="s">
        <v>243</v>
      </c>
      <c r="B22" s="515">
        <f>(+'C) Costos Directos'!$H$139-'C) Costos Directos'!$D$78)/12</f>
        <v>760607.55000000016</v>
      </c>
      <c r="C22" s="515">
        <f>(+'C) Costos Directos'!$H$139-'C) Costos Directos'!$D$78)/12</f>
        <v>760607.55000000016</v>
      </c>
      <c r="D22" s="515">
        <f>(+'C) Costos Directos'!$H$139-'C) Costos Directos'!$D$78)/12</f>
        <v>760607.55000000016</v>
      </c>
      <c r="E22" s="515">
        <f>(+'C) Costos Directos'!$H$139-'C) Costos Directos'!$D$78)/12</f>
        <v>760607.55000000016</v>
      </c>
      <c r="F22" s="515">
        <f>(+'C) Costos Directos'!$H$139-'C) Costos Directos'!$D$78)/12</f>
        <v>760607.55000000016</v>
      </c>
      <c r="G22" s="515">
        <f>(+'C) Costos Directos'!$H$139-'C) Costos Directos'!$D$78)/12</f>
        <v>760607.55000000016</v>
      </c>
      <c r="H22" s="515">
        <f>(+'C) Costos Directos'!$H$139-'C) Costos Directos'!$D$78)/12</f>
        <v>760607.55000000016</v>
      </c>
      <c r="I22" s="515">
        <f>(+'C) Costos Directos'!$H$139-'C) Costos Directos'!$D$78)/12</f>
        <v>760607.55000000016</v>
      </c>
      <c r="J22" s="515">
        <f>(+'C) Costos Directos'!$H$139-'C) Costos Directos'!$D$78)/12</f>
        <v>760607.55000000016</v>
      </c>
      <c r="K22" s="515">
        <f>(+'C) Costos Directos'!$H$139-'C) Costos Directos'!$D$78)/12</f>
        <v>760607.55000000016</v>
      </c>
      <c r="L22" s="515">
        <f>(+'C) Costos Directos'!$H$139-'C) Costos Directos'!$D$78)/12</f>
        <v>760607.55000000016</v>
      </c>
      <c r="M22" s="515">
        <f>(+'C) Costos Directos'!$H$139-'C) Costos Directos'!$D$78)/12</f>
        <v>760607.55000000016</v>
      </c>
      <c r="N22" s="516">
        <f t="shared" si="2"/>
        <v>9127290.5999999996</v>
      </c>
    </row>
    <row r="23" spans="1:14" x14ac:dyDescent="0.25">
      <c r="A23" s="517" t="s">
        <v>249</v>
      </c>
      <c r="B23" s="518">
        <f>+B20-B21-B22</f>
        <v>266562.00333333306</v>
      </c>
      <c r="C23" s="518">
        <f t="shared" ref="C23" si="3">+C20-C21-C22</f>
        <v>266562.00333333306</v>
      </c>
      <c r="D23" s="518">
        <f t="shared" ref="D23" si="4">+D20-D21-D22</f>
        <v>266562.00333333306</v>
      </c>
      <c r="E23" s="518">
        <f t="shared" ref="E23" si="5">+E20-E21-E22</f>
        <v>266562.00333333306</v>
      </c>
      <c r="F23" s="518">
        <f t="shared" ref="F23" si="6">+F20-F21-F22</f>
        <v>266562.00333333306</v>
      </c>
      <c r="G23" s="518">
        <f t="shared" ref="G23" si="7">+G20-G21-G22</f>
        <v>266562.00333333306</v>
      </c>
      <c r="H23" s="518">
        <f t="shared" ref="H23" si="8">+H20-H21-H22</f>
        <v>266562.00333333306</v>
      </c>
      <c r="I23" s="518">
        <f t="shared" ref="I23" si="9">+I20-I21-I22</f>
        <v>266562.00333333306</v>
      </c>
      <c r="J23" s="518">
        <f t="shared" ref="J23" si="10">+J20-J21-J22</f>
        <v>266562.00333333306</v>
      </c>
      <c r="K23" s="518">
        <f t="shared" ref="K23" si="11">+K20-K21-K22</f>
        <v>266562.00333333306</v>
      </c>
      <c r="L23" s="518">
        <f t="shared" ref="L23" si="12">+L20-L21-L22</f>
        <v>266562.00333333306</v>
      </c>
      <c r="M23" s="518">
        <f t="shared" ref="M23" si="13">+M20-M21-M22</f>
        <v>266562.00333333306</v>
      </c>
      <c r="N23" s="518">
        <f>+N20-N21-N22</f>
        <v>3198744.0400000084</v>
      </c>
    </row>
  </sheetData>
  <sheetProtection algorithmName="SHA-512" hashValue="NTcml5YScDOZQQHPsYQ3EzRhAoWjSYnucae+wnffMn5nFwEaxWTpzA1I3zd2PGhOsRLP9xzHmoTCMI0nOu9djQ==" saltValue="Ef19oddF+NHtDjZ8MoIVTw==" spinCount="100000" sheet="1" objects="1" scenarios="1"/>
  <mergeCells count="1">
    <mergeCell ref="A2:D2"/>
  </mergeCells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00FF"/>
  </sheetPr>
  <dimension ref="B1:S57"/>
  <sheetViews>
    <sheetView showGridLines="0" zoomScale="80" zoomScaleNormal="80" workbookViewId="0">
      <selection activeCell="L46" sqref="L46"/>
    </sheetView>
  </sheetViews>
  <sheetFormatPr baseColWidth="10" defaultColWidth="11.42578125" defaultRowHeight="12.75" x14ac:dyDescent="0.2"/>
  <sheetData>
    <row r="1" spans="2:11" x14ac:dyDescent="0.2">
      <c r="H1" s="26"/>
    </row>
    <row r="2" spans="2:11" x14ac:dyDescent="0.2">
      <c r="H2" s="26" t="s">
        <v>83</v>
      </c>
    </row>
    <row r="5" spans="2:11" x14ac:dyDescent="0.2">
      <c r="B5" s="700" t="s">
        <v>158</v>
      </c>
      <c r="C5" s="700"/>
      <c r="D5" s="700"/>
      <c r="E5" s="700"/>
      <c r="F5" s="700"/>
    </row>
    <row r="7" spans="2:11" x14ac:dyDescent="0.2">
      <c r="C7" s="169" t="s">
        <v>143</v>
      </c>
      <c r="D7" s="169"/>
      <c r="E7" s="169"/>
      <c r="F7" s="169"/>
      <c r="G7" s="169"/>
      <c r="H7" s="169"/>
      <c r="I7" s="169"/>
      <c r="J7" s="169"/>
      <c r="K7" s="169"/>
    </row>
    <row r="9" spans="2:11" x14ac:dyDescent="0.2">
      <c r="C9" s="169" t="s">
        <v>144</v>
      </c>
      <c r="D9" s="169"/>
      <c r="E9" s="169"/>
      <c r="F9" s="169"/>
      <c r="G9" s="169"/>
      <c r="H9" s="169"/>
    </row>
    <row r="11" spans="2:11" x14ac:dyDescent="0.2">
      <c r="B11" s="700" t="s">
        <v>159</v>
      </c>
      <c r="C11" s="700"/>
      <c r="D11" s="700"/>
      <c r="E11" s="700"/>
      <c r="F11" s="700"/>
    </row>
    <row r="13" spans="2:11" x14ac:dyDescent="0.2">
      <c r="C13" s="170" t="s">
        <v>145</v>
      </c>
      <c r="D13" s="170"/>
      <c r="E13" s="170"/>
      <c r="F13" s="170"/>
      <c r="G13" s="170"/>
      <c r="H13" s="170"/>
    </row>
    <row r="15" spans="2:11" x14ac:dyDescent="0.2">
      <c r="C15" s="170" t="s">
        <v>146</v>
      </c>
      <c r="D15" s="170"/>
      <c r="E15" s="170"/>
      <c r="F15" s="170"/>
      <c r="G15" s="170"/>
      <c r="H15" s="170"/>
    </row>
    <row r="19" spans="2:16" x14ac:dyDescent="0.2">
      <c r="B19" s="700" t="s">
        <v>160</v>
      </c>
      <c r="C19" s="700"/>
      <c r="D19" s="700"/>
      <c r="E19" s="700"/>
      <c r="F19" s="700"/>
    </row>
    <row r="21" spans="2:16" x14ac:dyDescent="0.2">
      <c r="C21" s="170" t="s">
        <v>148</v>
      </c>
      <c r="D21" s="170"/>
      <c r="E21" s="170"/>
      <c r="F21" s="171"/>
      <c r="G21" s="171"/>
      <c r="H21" s="171"/>
    </row>
    <row r="22" spans="2:16" x14ac:dyDescent="0.2">
      <c r="C22" s="701"/>
      <c r="D22" s="701"/>
      <c r="E22" s="701"/>
      <c r="F22" s="701"/>
      <c r="G22" s="701"/>
      <c r="H22" s="701"/>
      <c r="I22" s="701"/>
      <c r="J22" s="701"/>
      <c r="K22" s="701"/>
    </row>
    <row r="24" spans="2:16" x14ac:dyDescent="0.2">
      <c r="B24" s="700" t="s">
        <v>161</v>
      </c>
      <c r="C24" s="700"/>
      <c r="D24" s="700"/>
      <c r="E24" s="700"/>
      <c r="F24" s="700"/>
    </row>
    <row r="26" spans="2:16" x14ac:dyDescent="0.2">
      <c r="C26" s="172" t="s">
        <v>149</v>
      </c>
      <c r="D26" s="172"/>
      <c r="E26" s="172"/>
      <c r="F26" s="172"/>
      <c r="G26" s="172"/>
      <c r="H26" s="172"/>
      <c r="I26" s="172"/>
      <c r="J26" s="172"/>
    </row>
    <row r="27" spans="2:16" ht="12.75" customHeight="1" x14ac:dyDescent="0.2">
      <c r="C27" s="702" t="s">
        <v>150</v>
      </c>
      <c r="D27" s="702"/>
      <c r="E27" s="702"/>
      <c r="F27" s="702"/>
      <c r="G27" s="702"/>
      <c r="H27" s="702"/>
      <c r="I27" s="702"/>
      <c r="J27" s="702"/>
      <c r="K27" s="702"/>
      <c r="L27" s="702"/>
      <c r="M27" s="702"/>
    </row>
    <row r="28" spans="2:16" ht="12.75" customHeight="1" x14ac:dyDescent="0.2">
      <c r="C28" s="702"/>
      <c r="D28" s="702"/>
      <c r="E28" s="702"/>
      <c r="F28" s="702"/>
      <c r="G28" s="702"/>
      <c r="H28" s="702"/>
      <c r="I28" s="702"/>
      <c r="J28" s="702"/>
      <c r="K28" s="702"/>
      <c r="L28" s="702"/>
      <c r="M28" s="702"/>
    </row>
    <row r="29" spans="2:16" ht="12.75" customHeight="1" x14ac:dyDescent="0.2">
      <c r="C29" s="172" t="s">
        <v>151</v>
      </c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1"/>
    </row>
    <row r="30" spans="2:16" ht="12.75" customHeight="1" x14ac:dyDescent="0.2"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1"/>
    </row>
    <row r="31" spans="2:16" ht="12.75" customHeight="1" x14ac:dyDescent="0.2">
      <c r="C31" s="176" t="s">
        <v>152</v>
      </c>
      <c r="D31" s="173"/>
      <c r="E31" s="173"/>
      <c r="F31" s="175"/>
      <c r="G31" s="173"/>
      <c r="H31" s="173"/>
      <c r="I31" s="173"/>
      <c r="J31" s="173"/>
      <c r="K31" s="173"/>
      <c r="L31" s="173"/>
      <c r="M31" s="173"/>
      <c r="N31" s="171"/>
      <c r="O31" s="171"/>
      <c r="P31" s="171"/>
    </row>
    <row r="32" spans="2:16" ht="12.75" customHeight="1" x14ac:dyDescent="0.2">
      <c r="C32" s="174"/>
      <c r="D32" s="174"/>
      <c r="E32" s="174"/>
      <c r="F32" s="174"/>
      <c r="G32" s="174"/>
      <c r="H32" s="174"/>
      <c r="I32" s="173"/>
      <c r="J32" s="173"/>
      <c r="K32" s="173"/>
      <c r="L32" s="173"/>
      <c r="M32" s="173"/>
      <c r="N32" s="171"/>
    </row>
    <row r="33" spans="2:19" ht="12.75" customHeight="1" x14ac:dyDescent="0.2">
      <c r="C33" s="703" t="s">
        <v>153</v>
      </c>
      <c r="D33" s="703"/>
      <c r="E33" s="703"/>
      <c r="F33" s="703"/>
      <c r="G33" s="703"/>
      <c r="H33" s="703"/>
      <c r="I33" s="703"/>
      <c r="J33" s="703"/>
      <c r="K33" s="703"/>
      <c r="L33" s="703"/>
      <c r="M33" s="703"/>
      <c r="N33" s="171"/>
    </row>
    <row r="34" spans="2:19" ht="12.75" customHeight="1" x14ac:dyDescent="0.2">
      <c r="C34" s="130"/>
      <c r="D34" s="130"/>
      <c r="E34" s="130"/>
      <c r="F34" s="130"/>
      <c r="G34" s="130"/>
      <c r="H34" s="130"/>
      <c r="I34" s="172"/>
      <c r="J34" s="172"/>
      <c r="K34" s="172"/>
      <c r="L34" s="172"/>
      <c r="M34" s="172"/>
      <c r="N34" s="171"/>
    </row>
    <row r="35" spans="2:19" ht="12.75" customHeight="1" x14ac:dyDescent="0.2">
      <c r="C35" s="173" t="s">
        <v>154</v>
      </c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1"/>
    </row>
    <row r="36" spans="2:19" ht="12.75" customHeight="1" x14ac:dyDescent="0.2">
      <c r="C36" s="174"/>
      <c r="D36" s="174"/>
      <c r="E36" s="174"/>
      <c r="F36" s="174"/>
      <c r="G36" s="174"/>
      <c r="H36" s="174"/>
      <c r="I36" s="173"/>
      <c r="J36" s="173"/>
      <c r="K36" s="173"/>
      <c r="L36" s="173"/>
      <c r="M36" s="173"/>
      <c r="N36" s="171"/>
    </row>
    <row r="37" spans="2:19" ht="12.75" customHeight="1" x14ac:dyDescent="0.2"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</row>
    <row r="38" spans="2:19" ht="12.75" customHeight="1" x14ac:dyDescent="0.2"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</row>
    <row r="39" spans="2:19" ht="12.75" customHeight="1" x14ac:dyDescent="0.2">
      <c r="B39" s="176" t="s">
        <v>162</v>
      </c>
      <c r="C39" s="172"/>
      <c r="D39" s="91"/>
      <c r="E39" s="91"/>
      <c r="F39" s="91"/>
      <c r="G39" s="91"/>
      <c r="H39" s="91"/>
      <c r="I39" s="91"/>
      <c r="J39" s="91"/>
      <c r="K39" s="91"/>
      <c r="L39" s="91"/>
      <c r="M39" s="91"/>
    </row>
    <row r="40" spans="2:19" x14ac:dyDescent="0.2">
      <c r="O40" s="701"/>
      <c r="P40" s="701"/>
      <c r="Q40" s="701"/>
      <c r="R40" s="701"/>
      <c r="S40" s="701"/>
    </row>
    <row r="41" spans="2:19" x14ac:dyDescent="0.2">
      <c r="C41" s="704" t="s">
        <v>155</v>
      </c>
      <c r="D41" s="704"/>
      <c r="E41" s="704"/>
      <c r="F41" s="704"/>
    </row>
    <row r="42" spans="2:19" x14ac:dyDescent="0.2">
      <c r="C42" s="701"/>
      <c r="D42" s="701"/>
      <c r="E42" s="701"/>
      <c r="F42" s="701"/>
      <c r="G42" s="701"/>
      <c r="H42" s="701"/>
      <c r="I42" s="701"/>
      <c r="J42" s="701"/>
    </row>
    <row r="44" spans="2:19" x14ac:dyDescent="0.2">
      <c r="B44" s="700" t="s">
        <v>163</v>
      </c>
      <c r="C44" s="700"/>
      <c r="D44" s="700"/>
      <c r="E44" s="700"/>
      <c r="F44" s="700"/>
    </row>
    <row r="46" spans="2:19" x14ac:dyDescent="0.2">
      <c r="C46" s="177" t="s">
        <v>156</v>
      </c>
      <c r="D46" s="177"/>
      <c r="E46" s="177"/>
      <c r="F46" s="177"/>
      <c r="G46" s="177"/>
      <c r="H46" s="177"/>
      <c r="I46" s="177"/>
      <c r="J46" s="177"/>
      <c r="K46" s="178"/>
      <c r="L46" s="178"/>
      <c r="M46" s="178"/>
    </row>
    <row r="50" spans="2:13" x14ac:dyDescent="0.2">
      <c r="B50" s="700" t="s">
        <v>164</v>
      </c>
      <c r="C50" s="700"/>
      <c r="D50" s="700"/>
      <c r="E50" s="700"/>
      <c r="F50" s="700"/>
    </row>
    <row r="52" spans="2:13" x14ac:dyDescent="0.2">
      <c r="C52" s="172" t="s">
        <v>157</v>
      </c>
      <c r="D52" s="172"/>
      <c r="E52" s="172"/>
      <c r="F52" s="172"/>
      <c r="G52" s="171"/>
      <c r="H52" s="171"/>
      <c r="I52" s="171"/>
      <c r="J52" s="171"/>
      <c r="K52" s="171"/>
      <c r="L52" s="171"/>
      <c r="M52" s="171"/>
    </row>
    <row r="54" spans="2:13" x14ac:dyDescent="0.2">
      <c r="B54" s="171" t="s">
        <v>165</v>
      </c>
      <c r="C54" s="171"/>
    </row>
    <row r="57" spans="2:13" x14ac:dyDescent="0.2">
      <c r="B57" s="705" t="s">
        <v>244</v>
      </c>
      <c r="C57" s="705"/>
    </row>
  </sheetData>
  <sheetProtection algorithmName="SHA-512" hashValue="1wfwi1vJwPjicvyc7ZUF1KHdR4UbnBHXgw7e2X48v+pi8ZMoOXb0AcFI6dldgUGM6xDxuqvii05EgI48IpK5bw==" saltValue="2scvJNAzbz3K4qY7niWJfg==" spinCount="100000" sheet="1" objects="1" scenarios="1"/>
  <mergeCells count="13">
    <mergeCell ref="B57:C57"/>
    <mergeCell ref="B11:F11"/>
    <mergeCell ref="O40:S40"/>
    <mergeCell ref="B19:F19"/>
    <mergeCell ref="B24:F24"/>
    <mergeCell ref="B5:F5"/>
    <mergeCell ref="C22:K22"/>
    <mergeCell ref="B50:F50"/>
    <mergeCell ref="C42:J42"/>
    <mergeCell ref="B44:F44"/>
    <mergeCell ref="C27:M28"/>
    <mergeCell ref="C33:M33"/>
    <mergeCell ref="C41:F41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  <hyperlink ref="B57:C57" location="'I) Proyección Mensual.'!A2" display="I) Proyección Mensual" xr:uid="{00000000-0004-0000-0100-000018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41"/>
  <sheetViews>
    <sheetView showGridLines="0" tabSelected="1" view="pageBreakPreview" zoomScale="90" zoomScaleNormal="98" zoomScaleSheetLayoutView="90" workbookViewId="0">
      <selection activeCell="I16" sqref="I16"/>
    </sheetView>
  </sheetViews>
  <sheetFormatPr baseColWidth="10" defaultColWidth="11.42578125" defaultRowHeight="12.75" x14ac:dyDescent="0.2"/>
  <cols>
    <col min="1" max="1" width="37.140625" style="2" customWidth="1"/>
    <col min="2" max="2" width="21.42578125" style="2" customWidth="1"/>
    <col min="3" max="3" width="20.85546875" style="2" bestFit="1" customWidth="1"/>
    <col min="4" max="4" width="19.28515625" style="2" customWidth="1"/>
    <col min="5" max="6" width="18.85546875" style="2" customWidth="1"/>
    <col min="7" max="7" width="18" style="2" customWidth="1"/>
    <col min="8" max="8" width="18.28515625" style="2" customWidth="1"/>
    <col min="9" max="9" width="18.140625" style="2" bestFit="1" customWidth="1"/>
    <col min="10" max="10" width="18.7109375" style="2" bestFit="1" customWidth="1"/>
    <col min="11" max="11" width="18.7109375" style="2" customWidth="1"/>
    <col min="12" max="12" width="16.42578125" style="2" bestFit="1" customWidth="1"/>
    <col min="13" max="13" width="17.5703125" style="2" customWidth="1"/>
    <col min="14" max="14" width="17.28515625" style="2" customWidth="1"/>
    <col min="15" max="15" width="16.85546875" style="2" customWidth="1"/>
    <col min="16" max="16" width="14.85546875" style="2" customWidth="1"/>
    <col min="17" max="17" width="16.42578125" style="2" bestFit="1" customWidth="1"/>
    <col min="18" max="18" width="15.85546875" style="2" customWidth="1"/>
    <col min="19" max="16384" width="11.42578125" style="2"/>
  </cols>
  <sheetData>
    <row r="1" spans="1:247" s="4" customFormat="1" x14ac:dyDescent="0.2">
      <c r="A1" s="3"/>
      <c r="E1" s="26" t="s">
        <v>197</v>
      </c>
      <c r="F1" s="26"/>
      <c r="IL1" s="2"/>
      <c r="IM1" s="2"/>
    </row>
    <row r="2" spans="1:247" s="4" customFormat="1" x14ac:dyDescent="0.2">
      <c r="A2" s="5"/>
      <c r="E2" s="26" t="s">
        <v>190</v>
      </c>
      <c r="F2" s="26"/>
      <c r="IL2" s="2"/>
      <c r="IM2" s="2"/>
    </row>
    <row r="3" spans="1:247" s="4" customFormat="1" x14ac:dyDescent="0.2">
      <c r="A3" s="2"/>
      <c r="IL3" s="2"/>
      <c r="IM3" s="2"/>
    </row>
    <row r="4" spans="1:247" s="4" customFormat="1" ht="18.75" customHeight="1" x14ac:dyDescent="0.2">
      <c r="A4" s="2"/>
      <c r="B4" s="16"/>
      <c r="C4" s="723" t="s">
        <v>0</v>
      </c>
      <c r="D4" s="723"/>
      <c r="E4" s="724" t="s">
        <v>139</v>
      </c>
      <c r="F4" s="725"/>
      <c r="G4" s="726"/>
      <c r="L4" s="1"/>
      <c r="IC4" s="2"/>
      <c r="ID4" s="2"/>
      <c r="IE4" s="2"/>
      <c r="IF4" s="2"/>
      <c r="IG4" s="2"/>
      <c r="IH4" s="2"/>
    </row>
    <row r="5" spans="1:247" s="4" customFormat="1" x14ac:dyDescent="0.2">
      <c r="A5" s="2"/>
      <c r="B5" s="2"/>
      <c r="C5" s="2"/>
      <c r="D5" s="2"/>
      <c r="E5" s="2"/>
      <c r="F5" s="2"/>
      <c r="G5" s="6"/>
      <c r="H5" s="6"/>
      <c r="L5" s="1"/>
      <c r="IC5" s="2"/>
      <c r="ID5" s="2"/>
      <c r="IE5" s="2"/>
      <c r="IF5" s="2"/>
      <c r="IG5" s="2"/>
      <c r="IH5" s="2"/>
    </row>
    <row r="6" spans="1:247" s="4" customFormat="1" ht="15.75" x14ac:dyDescent="0.2">
      <c r="A6" s="743" t="s">
        <v>143</v>
      </c>
      <c r="B6" s="743"/>
      <c r="C6" s="743"/>
      <c r="D6" s="743"/>
      <c r="E6" s="2"/>
      <c r="F6" s="2"/>
      <c r="G6" s="6"/>
      <c r="H6" s="6"/>
      <c r="L6" s="1"/>
      <c r="IC6" s="2"/>
      <c r="ID6" s="2"/>
      <c r="IE6" s="2"/>
      <c r="IF6" s="2"/>
      <c r="IG6" s="2"/>
      <c r="IH6" s="2"/>
    </row>
    <row r="7" spans="1:247" ht="13.5" thickBot="1" x14ac:dyDescent="0.25">
      <c r="B7" s="4"/>
      <c r="C7" s="4"/>
      <c r="E7" s="4"/>
      <c r="F7" s="4"/>
      <c r="G7" s="4"/>
      <c r="H7" s="4"/>
      <c r="I7" s="4"/>
      <c r="M7" s="28"/>
    </row>
    <row r="8" spans="1:247" ht="39" customHeight="1" x14ac:dyDescent="0.2">
      <c r="A8" s="214" t="s">
        <v>112</v>
      </c>
      <c r="B8" s="215" t="str">
        <f>+N19</f>
        <v>Ingreso por Matrícula</v>
      </c>
      <c r="C8" s="216" t="str">
        <f>+O19</f>
        <v>Ingreso por Mensualidad</v>
      </c>
      <c r="D8" s="216" t="s">
        <v>125</v>
      </c>
      <c r="E8" s="217" t="s">
        <v>82</v>
      </c>
      <c r="F8" s="218" t="s">
        <v>79</v>
      </c>
      <c r="G8" s="219" t="s">
        <v>80</v>
      </c>
      <c r="H8" s="220" t="s">
        <v>106</v>
      </c>
      <c r="I8" s="221" t="s">
        <v>111</v>
      </c>
      <c r="L8" s="34" t="s">
        <v>110</v>
      </c>
      <c r="N8" s="56"/>
    </row>
    <row r="9" spans="1:247" x14ac:dyDescent="0.2">
      <c r="A9" s="222" t="str">
        <f>+'B) Reajuste Tarifas y Ocupación'!A12</f>
        <v>Jardín Infantil Olitas de Mar</v>
      </c>
      <c r="B9" s="223">
        <f>+N30</f>
        <v>8954700</v>
      </c>
      <c r="C9" s="224">
        <f>+O30</f>
        <v>89547000</v>
      </c>
      <c r="D9" s="223">
        <f>+P30</f>
        <v>5854400</v>
      </c>
      <c r="E9" s="225">
        <f>+B9+D9+C9</f>
        <v>104356100</v>
      </c>
      <c r="F9" s="226">
        <f>+'C) Costos Directos'!H75</f>
        <v>90067323.620000005</v>
      </c>
      <c r="G9" s="227">
        <f>+IFERROR('D) Costos Indirectos'!$AP$15*(F9/$F$12),0)</f>
        <v>17012285.750965457</v>
      </c>
      <c r="H9" s="228">
        <f>+F9+G9</f>
        <v>107079609.37096547</v>
      </c>
      <c r="I9" s="229">
        <f>E9-H9</f>
        <v>-2723509.3709654659</v>
      </c>
      <c r="L9" s="49">
        <f>+IFERROR(G9/$G$12,0)</f>
        <v>0.74034136061591937</v>
      </c>
      <c r="N9" s="57"/>
    </row>
    <row r="10" spans="1:247" x14ac:dyDescent="0.2">
      <c r="A10" s="306" t="s">
        <v>223</v>
      </c>
      <c r="B10" s="223">
        <f>+N33+'A) Resumen Ingresos y Egresos'!N39</f>
        <v>656300</v>
      </c>
      <c r="C10" s="224">
        <f>O33+O39</f>
        <v>34131600</v>
      </c>
      <c r="D10" s="466"/>
      <c r="E10" s="225">
        <f>+B10+D10+C10</f>
        <v>34787900</v>
      </c>
      <c r="F10" s="226">
        <f>'C) Costos Directos'!H139</f>
        <v>31589155.960000001</v>
      </c>
      <c r="G10" s="227">
        <f>+IFERROR('D) Costos Indirectos'!$AP$15*(F10/$F$12),0)</f>
        <v>5966689.429905517</v>
      </c>
      <c r="H10" s="228">
        <f t="shared" ref="H10:H11" si="0">+F10+G10</f>
        <v>37555845.38990552</v>
      </c>
      <c r="I10" s="229">
        <f t="shared" ref="I10:I11" si="1">E10-H10</f>
        <v>-2767945.3899055198</v>
      </c>
      <c r="L10" s="49">
        <f>+IFERROR(G10/$G$12,0)</f>
        <v>0.25965863938408074</v>
      </c>
      <c r="N10" s="57"/>
    </row>
    <row r="11" spans="1:247" x14ac:dyDescent="0.2">
      <c r="A11" s="306" t="s">
        <v>224</v>
      </c>
      <c r="B11" s="223">
        <f>N36</f>
        <v>0</v>
      </c>
      <c r="C11" s="224">
        <f>O36</f>
        <v>0</v>
      </c>
      <c r="D11" s="466"/>
      <c r="E11" s="225">
        <f>+B11+D11+C11</f>
        <v>0</v>
      </c>
      <c r="F11" s="226">
        <f>+'C) Costos Directos'!H141</f>
        <v>0</v>
      </c>
      <c r="G11" s="227">
        <f>+IFERROR('D) Costos Indirectos'!$AP$15*(F11/$F$12),0)</f>
        <v>0</v>
      </c>
      <c r="H11" s="228">
        <f t="shared" si="0"/>
        <v>0</v>
      </c>
      <c r="I11" s="229">
        <f t="shared" si="1"/>
        <v>0</v>
      </c>
      <c r="L11" s="49">
        <f>+IFERROR(G11/$G$12,0)</f>
        <v>0</v>
      </c>
      <c r="N11" s="57"/>
    </row>
    <row r="12" spans="1:247" s="4" customFormat="1" ht="15.75" thickBot="1" x14ac:dyDescent="0.25">
      <c r="A12" s="230" t="s">
        <v>1</v>
      </c>
      <c r="B12" s="231">
        <f>SUM(B9:B11)</f>
        <v>9611000</v>
      </c>
      <c r="C12" s="231">
        <f t="shared" ref="C12:I12" si="2">SUM(C9:C11)</f>
        <v>123678600</v>
      </c>
      <c r="D12" s="231">
        <f t="shared" si="2"/>
        <v>5854400</v>
      </c>
      <c r="E12" s="231">
        <f t="shared" si="2"/>
        <v>139144000</v>
      </c>
      <c r="F12" s="231">
        <f t="shared" si="2"/>
        <v>121656479.58000001</v>
      </c>
      <c r="G12" s="231">
        <f t="shared" si="2"/>
        <v>22978975.180870973</v>
      </c>
      <c r="H12" s="231">
        <f t="shared" si="2"/>
        <v>144635454.76087099</v>
      </c>
      <c r="I12" s="231">
        <f t="shared" si="2"/>
        <v>-5491454.7608709857</v>
      </c>
      <c r="L12" s="50">
        <f>SUM(L9:L11)</f>
        <v>1</v>
      </c>
      <c r="N12" s="28"/>
      <c r="O12" s="186"/>
      <c r="IB12" s="2"/>
      <c r="IC12" s="2"/>
      <c r="ID12" s="2"/>
      <c r="IE12" s="2"/>
      <c r="IF12" s="2"/>
      <c r="IG12" s="2"/>
      <c r="IH12" s="2"/>
    </row>
    <row r="13" spans="1:247" s="4" customFormat="1" ht="15.75" customHeight="1" x14ac:dyDescent="0.2">
      <c r="A13" s="7"/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IB13" s="2"/>
      <c r="IC13" s="2"/>
      <c r="ID13" s="2"/>
      <c r="IE13" s="2"/>
      <c r="IF13" s="2"/>
      <c r="IG13" s="2"/>
      <c r="IH13" s="2"/>
    </row>
    <row r="14" spans="1:247" s="4" customFormat="1" ht="15.75" customHeight="1" x14ac:dyDescent="0.2">
      <c r="A14" s="7"/>
      <c r="B14" s="7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187"/>
      <c r="IB14" s="2"/>
      <c r="IC14" s="2"/>
      <c r="ID14" s="2"/>
      <c r="IE14" s="2"/>
      <c r="IF14" s="2"/>
      <c r="IG14" s="2"/>
      <c r="IH14" s="2"/>
    </row>
    <row r="15" spans="1:247" s="4" customFormat="1" ht="15.75" customHeight="1" x14ac:dyDescent="0.2">
      <c r="A15" s="7"/>
      <c r="B15" s="7"/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IB15" s="2"/>
      <c r="IC15" s="2"/>
      <c r="ID15" s="2"/>
      <c r="IE15" s="2"/>
      <c r="IF15" s="2"/>
      <c r="IG15" s="2"/>
      <c r="IH15" s="2"/>
    </row>
    <row r="16" spans="1:247" s="4" customFormat="1" ht="15.75" customHeight="1" x14ac:dyDescent="0.2">
      <c r="A16" s="7"/>
      <c r="B16" s="7"/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IB16" s="2"/>
      <c r="IC16" s="2"/>
      <c r="ID16" s="2"/>
      <c r="IE16" s="2"/>
      <c r="IF16" s="2"/>
      <c r="IG16" s="2"/>
      <c r="IH16" s="2"/>
    </row>
    <row r="17" spans="1:247" s="4" customFormat="1" ht="15.75" customHeight="1" x14ac:dyDescent="0.2">
      <c r="A17" s="743" t="s">
        <v>144</v>
      </c>
      <c r="B17" s="743"/>
      <c r="C17" s="743"/>
      <c r="D17" s="743"/>
      <c r="E17" s="8"/>
      <c r="F17" s="8"/>
      <c r="G17" s="8"/>
      <c r="H17" s="8"/>
      <c r="I17" s="8"/>
      <c r="J17" s="8"/>
      <c r="K17" s="8"/>
      <c r="L17" s="8"/>
      <c r="M17" s="8"/>
      <c r="N17" s="8"/>
      <c r="IB17" s="2"/>
      <c r="IC17" s="2"/>
      <c r="ID17" s="2"/>
      <c r="IE17" s="2"/>
      <c r="IF17" s="2"/>
      <c r="IG17" s="2"/>
      <c r="IH17" s="2"/>
    </row>
    <row r="18" spans="1:247" s="4" customFormat="1" ht="13.5" thickBot="1" x14ac:dyDescent="0.25">
      <c r="I18" s="9"/>
      <c r="J18" s="9"/>
      <c r="K18" s="9"/>
      <c r="L18" s="1"/>
      <c r="M18" s="1"/>
      <c r="O18" s="10"/>
      <c r="P18" s="10"/>
      <c r="IL18" s="2"/>
      <c r="IM18" s="2"/>
    </row>
    <row r="19" spans="1:247" s="11" customFormat="1" ht="15.75" customHeight="1" x14ac:dyDescent="0.2">
      <c r="A19" s="744" t="s">
        <v>112</v>
      </c>
      <c r="B19" s="746" t="s">
        <v>5</v>
      </c>
      <c r="C19" s="727" t="s">
        <v>2</v>
      </c>
      <c r="D19" s="729" t="s">
        <v>253</v>
      </c>
      <c r="E19" s="730"/>
      <c r="F19" s="730"/>
      <c r="G19" s="730"/>
      <c r="H19" s="731"/>
      <c r="I19" s="732" t="s">
        <v>254</v>
      </c>
      <c r="J19" s="733"/>
      <c r="K19" s="733"/>
      <c r="L19" s="733"/>
      <c r="M19" s="734"/>
      <c r="N19" s="737" t="s">
        <v>88</v>
      </c>
      <c r="O19" s="739" t="s">
        <v>89</v>
      </c>
      <c r="P19" s="735" t="s">
        <v>125</v>
      </c>
      <c r="Q19" s="741" t="s">
        <v>105</v>
      </c>
    </row>
    <row r="20" spans="1:247" s="11" customFormat="1" ht="39" thickBot="1" x14ac:dyDescent="0.25">
      <c r="A20" s="745"/>
      <c r="B20" s="747"/>
      <c r="C20" s="728"/>
      <c r="D20" s="192" t="s">
        <v>85</v>
      </c>
      <c r="E20" s="191" t="s">
        <v>133</v>
      </c>
      <c r="F20" s="191" t="s">
        <v>134</v>
      </c>
      <c r="G20" s="191" t="s">
        <v>86</v>
      </c>
      <c r="H20" s="193" t="s">
        <v>87</v>
      </c>
      <c r="I20" s="192" t="s">
        <v>85</v>
      </c>
      <c r="J20" s="191" t="s">
        <v>133</v>
      </c>
      <c r="K20" s="191" t="s">
        <v>134</v>
      </c>
      <c r="L20" s="191" t="s">
        <v>86</v>
      </c>
      <c r="M20" s="193" t="s">
        <v>87</v>
      </c>
      <c r="N20" s="738"/>
      <c r="O20" s="740"/>
      <c r="P20" s="736"/>
      <c r="Q20" s="742"/>
    </row>
    <row r="21" spans="1:247" ht="12.75" customHeight="1" x14ac:dyDescent="0.2">
      <c r="A21" s="715" t="str">
        <f>+'B) Reajuste Tarifas y Ocupación'!A12</f>
        <v>Jardín Infantil Olitas de Mar</v>
      </c>
      <c r="B21" s="708" t="str">
        <f>+'B) Reajuste Tarifas y Ocupación'!B12</f>
        <v>Media jornada</v>
      </c>
      <c r="C21" s="475" t="s">
        <v>255</v>
      </c>
      <c r="D21" s="201">
        <f t="shared" ref="D21:F22" si="3">+I21</f>
        <v>82300</v>
      </c>
      <c r="E21" s="196">
        <f t="shared" si="3"/>
        <v>111100</v>
      </c>
      <c r="F21" s="196">
        <f t="shared" si="3"/>
        <v>115200</v>
      </c>
      <c r="G21" s="196">
        <f t="shared" ref="G21:H22" si="4">+L21</f>
        <v>124300</v>
      </c>
      <c r="H21" s="202">
        <f t="shared" si="4"/>
        <v>199300</v>
      </c>
      <c r="I21" s="201">
        <f>+'B) Reajuste Tarifas y Ocupación'!M12</f>
        <v>82300</v>
      </c>
      <c r="J21" s="196">
        <f>+'B) Reajuste Tarifas y Ocupación'!N12</f>
        <v>111100</v>
      </c>
      <c r="K21" s="196">
        <f>+'B) Reajuste Tarifas y Ocupación'!O12</f>
        <v>115200</v>
      </c>
      <c r="L21" s="196">
        <f>+'B) Reajuste Tarifas y Ocupación'!P12</f>
        <v>124300</v>
      </c>
      <c r="M21" s="202">
        <f>+'B) Reajuste Tarifas y Ocupación'!Q12</f>
        <v>199300</v>
      </c>
      <c r="N21" s="207"/>
      <c r="O21" s="197"/>
      <c r="P21" s="210">
        <f>+'B) Reajuste Tarifas y Ocupación'!C12</f>
        <v>78700</v>
      </c>
      <c r="Q21" s="706"/>
    </row>
    <row r="22" spans="1:247" x14ac:dyDescent="0.2">
      <c r="A22" s="716"/>
      <c r="B22" s="709"/>
      <c r="C22" s="190" t="s">
        <v>7</v>
      </c>
      <c r="D22" s="203">
        <f t="shared" si="3"/>
        <v>0</v>
      </c>
      <c r="E22" s="195">
        <f t="shared" si="3"/>
        <v>0</v>
      </c>
      <c r="F22" s="195">
        <f t="shared" si="3"/>
        <v>0</v>
      </c>
      <c r="G22" s="195">
        <f t="shared" si="4"/>
        <v>0</v>
      </c>
      <c r="H22" s="204">
        <f t="shared" si="4"/>
        <v>0</v>
      </c>
      <c r="I22" s="203">
        <f>+'B) Reajuste Tarifas y Ocupación'!C23</f>
        <v>0</v>
      </c>
      <c r="J22" s="195">
        <f>+'B) Reajuste Tarifas y Ocupación'!D23</f>
        <v>0</v>
      </c>
      <c r="K22" s="195">
        <f>+'B) Reajuste Tarifas y Ocupación'!E23</f>
        <v>0</v>
      </c>
      <c r="L22" s="195">
        <f>+'B) Reajuste Tarifas y Ocupación'!F23</f>
        <v>0</v>
      </c>
      <c r="M22" s="204">
        <f>+'B) Reajuste Tarifas y Ocupación'!G23</f>
        <v>0</v>
      </c>
      <c r="N22" s="208"/>
      <c r="O22" s="194"/>
      <c r="P22" s="211">
        <v>0</v>
      </c>
      <c r="Q22" s="707"/>
    </row>
    <row r="23" spans="1:247" ht="13.5" thickBot="1" x14ac:dyDescent="0.25">
      <c r="A23" s="716"/>
      <c r="B23" s="710"/>
      <c r="C23" s="198" t="s">
        <v>9</v>
      </c>
      <c r="D23" s="205">
        <f>D22*D21</f>
        <v>0</v>
      </c>
      <c r="E23" s="199">
        <f>E22*E21</f>
        <v>0</v>
      </c>
      <c r="F23" s="199">
        <f t="shared" ref="F23" si="5">F22*F21</f>
        <v>0</v>
      </c>
      <c r="G23" s="199">
        <f t="shared" ref="G23:H23" si="6">G22*G21</f>
        <v>0</v>
      </c>
      <c r="H23" s="206">
        <f t="shared" si="6"/>
        <v>0</v>
      </c>
      <c r="I23" s="273">
        <f>I22*I21*10</f>
        <v>0</v>
      </c>
      <c r="J23" s="274">
        <f t="shared" ref="J23:M23" si="7">J22*J21*10</f>
        <v>0</v>
      </c>
      <c r="K23" s="274">
        <f t="shared" ref="K23" si="8">K22*K21*10</f>
        <v>0</v>
      </c>
      <c r="L23" s="274">
        <f t="shared" si="7"/>
        <v>0</v>
      </c>
      <c r="M23" s="275">
        <f t="shared" si="7"/>
        <v>0</v>
      </c>
      <c r="N23" s="209">
        <f>SUM(D23:H23)</f>
        <v>0</v>
      </c>
      <c r="O23" s="200">
        <f>SUM(I23:M23)</f>
        <v>0</v>
      </c>
      <c r="P23" s="212">
        <f>P22*P21</f>
        <v>0</v>
      </c>
      <c r="Q23" s="213">
        <f>N23+O23+P23</f>
        <v>0</v>
      </c>
    </row>
    <row r="24" spans="1:247" x14ac:dyDescent="0.2">
      <c r="A24" s="716"/>
      <c r="B24" s="711" t="s">
        <v>204</v>
      </c>
      <c r="C24" s="475" t="s">
        <v>255</v>
      </c>
      <c r="D24" s="201">
        <f t="shared" ref="D24:D25" si="9">+I24</f>
        <v>93900</v>
      </c>
      <c r="E24" s="196">
        <f t="shared" ref="E24:E25" si="10">+J24</f>
        <v>126700</v>
      </c>
      <c r="F24" s="196">
        <f t="shared" ref="F24:F25" si="11">+K24</f>
        <v>131400</v>
      </c>
      <c r="G24" s="196">
        <f t="shared" ref="G24:G25" si="12">+L24</f>
        <v>177500</v>
      </c>
      <c r="H24" s="272">
        <f t="shared" ref="H24:H25" si="13">+M24</f>
        <v>264500</v>
      </c>
      <c r="I24" s="201">
        <f>+'B) Reajuste Tarifas y Ocupación'!M13</f>
        <v>93900</v>
      </c>
      <c r="J24" s="196">
        <f>+'B) Reajuste Tarifas y Ocupación'!N13</f>
        <v>126700</v>
      </c>
      <c r="K24" s="196">
        <f>+'B) Reajuste Tarifas y Ocupación'!O13</f>
        <v>131400</v>
      </c>
      <c r="L24" s="196">
        <f>+'B) Reajuste Tarifas y Ocupación'!P13</f>
        <v>177500</v>
      </c>
      <c r="M24" s="202">
        <f>+'B) Reajuste Tarifas y Ocupación'!Q13</f>
        <v>264500</v>
      </c>
      <c r="N24" s="207"/>
      <c r="O24" s="197"/>
      <c r="P24" s="210">
        <f>+'B) Reajuste Tarifas y Ocupación'!C13</f>
        <v>89800</v>
      </c>
      <c r="Q24" s="706"/>
    </row>
    <row r="25" spans="1:247" x14ac:dyDescent="0.2">
      <c r="A25" s="716"/>
      <c r="B25" s="712"/>
      <c r="C25" s="190" t="s">
        <v>7</v>
      </c>
      <c r="D25" s="203">
        <f t="shared" si="9"/>
        <v>3</v>
      </c>
      <c r="E25" s="195">
        <f t="shared" si="10"/>
        <v>0</v>
      </c>
      <c r="F25" s="195">
        <f t="shared" si="11"/>
        <v>0</v>
      </c>
      <c r="G25" s="195">
        <f t="shared" si="12"/>
        <v>0</v>
      </c>
      <c r="H25" s="276">
        <f t="shared" si="13"/>
        <v>0</v>
      </c>
      <c r="I25" s="203">
        <f>+'B) Reajuste Tarifas y Ocupación'!C24</f>
        <v>3</v>
      </c>
      <c r="J25" s="195">
        <f>+'B) Reajuste Tarifas y Ocupación'!D24</f>
        <v>0</v>
      </c>
      <c r="K25" s="195">
        <f>+'B) Reajuste Tarifas y Ocupación'!E24</f>
        <v>0</v>
      </c>
      <c r="L25" s="195">
        <f>+'B) Reajuste Tarifas y Ocupación'!F24</f>
        <v>0</v>
      </c>
      <c r="M25" s="204">
        <f>+'B) Reajuste Tarifas y Ocupación'!G24</f>
        <v>0</v>
      </c>
      <c r="N25" s="208"/>
      <c r="O25" s="194"/>
      <c r="P25" s="211">
        <v>1</v>
      </c>
      <c r="Q25" s="707"/>
    </row>
    <row r="26" spans="1:247" ht="13.5" thickBot="1" x14ac:dyDescent="0.25">
      <c r="A26" s="716"/>
      <c r="B26" s="713"/>
      <c r="C26" s="198" t="s">
        <v>9</v>
      </c>
      <c r="D26" s="205">
        <f>D25*D24</f>
        <v>281700</v>
      </c>
      <c r="E26" s="199">
        <f>E25*E24</f>
        <v>0</v>
      </c>
      <c r="F26" s="199">
        <f t="shared" ref="F26:H26" si="14">F25*F24</f>
        <v>0</v>
      </c>
      <c r="G26" s="199">
        <f t="shared" si="14"/>
        <v>0</v>
      </c>
      <c r="H26" s="212">
        <f t="shared" si="14"/>
        <v>0</v>
      </c>
      <c r="I26" s="205">
        <f>I25*I24*10</f>
        <v>2817000</v>
      </c>
      <c r="J26" s="199">
        <f t="shared" ref="J26:M26" si="15">J25*J24*10</f>
        <v>0</v>
      </c>
      <c r="K26" s="199">
        <f t="shared" si="15"/>
        <v>0</v>
      </c>
      <c r="L26" s="199">
        <f t="shared" si="15"/>
        <v>0</v>
      </c>
      <c r="M26" s="206">
        <f t="shared" si="15"/>
        <v>0</v>
      </c>
      <c r="N26" s="209">
        <f>SUM(D26:H26)</f>
        <v>281700</v>
      </c>
      <c r="O26" s="200">
        <f>SUM(I26:M26)</f>
        <v>2817000</v>
      </c>
      <c r="P26" s="212">
        <f>P25*P24</f>
        <v>89800</v>
      </c>
      <c r="Q26" s="213">
        <f>N26+O26+P26</f>
        <v>3188500</v>
      </c>
    </row>
    <row r="27" spans="1:247" x14ac:dyDescent="0.2">
      <c r="A27" s="716"/>
      <c r="B27" s="708" t="str">
        <f>+'B) Reajuste Tarifas y Ocupación'!B14</f>
        <v>Jornada Completa</v>
      </c>
      <c r="C27" s="475" t="s">
        <v>255</v>
      </c>
      <c r="D27" s="201">
        <f t="shared" ref="D27:F28" si="16">+I27</f>
        <v>147000</v>
      </c>
      <c r="E27" s="196">
        <f t="shared" si="16"/>
        <v>198400</v>
      </c>
      <c r="F27" s="196">
        <f t="shared" si="16"/>
        <v>205700</v>
      </c>
      <c r="G27" s="196">
        <f t="shared" ref="G27:H28" si="17">+L27</f>
        <v>227500</v>
      </c>
      <c r="H27" s="202">
        <f t="shared" si="17"/>
        <v>365500</v>
      </c>
      <c r="I27" s="277">
        <f>+'B) Reajuste Tarifas y Ocupación'!M14</f>
        <v>147000</v>
      </c>
      <c r="J27" s="278">
        <f>+'B) Reajuste Tarifas y Ocupación'!N14</f>
        <v>198400</v>
      </c>
      <c r="K27" s="278">
        <f>+'B) Reajuste Tarifas y Ocupación'!O14</f>
        <v>205700</v>
      </c>
      <c r="L27" s="278">
        <f>+'B) Reajuste Tarifas y Ocupación'!P14</f>
        <v>227500</v>
      </c>
      <c r="M27" s="279">
        <f>+'B) Reajuste Tarifas y Ocupación'!Q14</f>
        <v>365500</v>
      </c>
      <c r="N27" s="207"/>
      <c r="O27" s="197"/>
      <c r="P27" s="210">
        <f>+'B) Reajuste Tarifas y Ocupación'!C14</f>
        <v>140600</v>
      </c>
      <c r="Q27" s="706"/>
    </row>
    <row r="28" spans="1:247" x14ac:dyDescent="0.2">
      <c r="A28" s="716"/>
      <c r="B28" s="709"/>
      <c r="C28" s="190" t="s">
        <v>7</v>
      </c>
      <c r="D28" s="203">
        <f t="shared" si="16"/>
        <v>59</v>
      </c>
      <c r="E28" s="195">
        <f t="shared" si="16"/>
        <v>0</v>
      </c>
      <c r="F28" s="195">
        <f t="shared" si="16"/>
        <v>0</v>
      </c>
      <c r="G28" s="195">
        <f t="shared" si="17"/>
        <v>0</v>
      </c>
      <c r="H28" s="204">
        <f t="shared" si="17"/>
        <v>0</v>
      </c>
      <c r="I28" s="203">
        <f>+'B) Reajuste Tarifas y Ocupación'!C25</f>
        <v>59</v>
      </c>
      <c r="J28" s="195">
        <f>+'B) Reajuste Tarifas y Ocupación'!D25</f>
        <v>0</v>
      </c>
      <c r="K28" s="195">
        <f>+'B) Reajuste Tarifas y Ocupación'!E25</f>
        <v>0</v>
      </c>
      <c r="L28" s="195">
        <f>+'B) Reajuste Tarifas y Ocupación'!F25</f>
        <v>0</v>
      </c>
      <c r="M28" s="204">
        <f>+'B) Reajuste Tarifas y Ocupación'!G25</f>
        <v>0</v>
      </c>
      <c r="N28" s="208"/>
      <c r="O28" s="194"/>
      <c r="P28" s="211">
        <v>41</v>
      </c>
      <c r="Q28" s="707"/>
    </row>
    <row r="29" spans="1:247" ht="13.5" thickBot="1" x14ac:dyDescent="0.25">
      <c r="A29" s="716"/>
      <c r="B29" s="710"/>
      <c r="C29" s="198" t="s">
        <v>9</v>
      </c>
      <c r="D29" s="205">
        <f>D28*D27</f>
        <v>8673000</v>
      </c>
      <c r="E29" s="199">
        <f t="shared" ref="E29:H29" si="18">E28*E27</f>
        <v>0</v>
      </c>
      <c r="F29" s="199">
        <f t="shared" ref="F29" si="19">F28*F27</f>
        <v>0</v>
      </c>
      <c r="G29" s="199">
        <f t="shared" si="18"/>
        <v>0</v>
      </c>
      <c r="H29" s="206">
        <f t="shared" si="18"/>
        <v>0</v>
      </c>
      <c r="I29" s="205">
        <f t="shared" ref="I29:M29" si="20">I28*I27*10</f>
        <v>86730000</v>
      </c>
      <c r="J29" s="199">
        <f t="shared" si="20"/>
        <v>0</v>
      </c>
      <c r="K29" s="199">
        <f t="shared" ref="K29" si="21">K28*K27*10</f>
        <v>0</v>
      </c>
      <c r="L29" s="199">
        <f t="shared" si="20"/>
        <v>0</v>
      </c>
      <c r="M29" s="206">
        <f t="shared" si="20"/>
        <v>0</v>
      </c>
      <c r="N29" s="232">
        <f>SUM(D29:H29)</f>
        <v>8673000</v>
      </c>
      <c r="O29" s="233">
        <f>SUM(I29:M29)</f>
        <v>86730000</v>
      </c>
      <c r="P29" s="234">
        <f>P28*P27</f>
        <v>5764600</v>
      </c>
      <c r="Q29" s="235">
        <f>N29+O29+P29</f>
        <v>101167600</v>
      </c>
    </row>
    <row r="30" spans="1:247" ht="15.75" thickBot="1" x14ac:dyDescent="0.25">
      <c r="A30" s="717"/>
      <c r="B30" s="714" t="s">
        <v>10</v>
      </c>
      <c r="C30" s="714"/>
      <c r="D30" s="280">
        <f>+D23+D26+D29</f>
        <v>8954700</v>
      </c>
      <c r="E30" s="280">
        <f t="shared" ref="E30:M30" si="22">+E23+E26+E29</f>
        <v>0</v>
      </c>
      <c r="F30" s="280">
        <f t="shared" si="22"/>
        <v>0</v>
      </c>
      <c r="G30" s="280">
        <f t="shared" si="22"/>
        <v>0</v>
      </c>
      <c r="H30" s="280">
        <f t="shared" si="22"/>
        <v>0</v>
      </c>
      <c r="I30" s="280">
        <f t="shared" si="22"/>
        <v>89547000</v>
      </c>
      <c r="J30" s="280">
        <f t="shared" si="22"/>
        <v>0</v>
      </c>
      <c r="K30" s="280">
        <f t="shared" si="22"/>
        <v>0</v>
      </c>
      <c r="L30" s="280">
        <f t="shared" si="22"/>
        <v>0</v>
      </c>
      <c r="M30" s="280">
        <f t="shared" si="22"/>
        <v>0</v>
      </c>
      <c r="N30" s="635">
        <f>+N23+N26+N29</f>
        <v>8954700</v>
      </c>
      <c r="O30" s="635">
        <f t="shared" ref="O30" si="23">+O23+O26+O29</f>
        <v>89547000</v>
      </c>
      <c r="P30" s="635">
        <f t="shared" ref="P30" si="24">+P23+P26+P29</f>
        <v>5854400</v>
      </c>
      <c r="Q30" s="636">
        <f t="shared" ref="Q30" si="25">+Q23+Q26+Q29</f>
        <v>104356100</v>
      </c>
    </row>
    <row r="31" spans="1:247" ht="12.75" customHeight="1" x14ac:dyDescent="0.2">
      <c r="A31" s="720" t="str">
        <f>+'B) Reajuste Tarifas y Ocupación'!A15</f>
        <v>Sala Cuna Olitas de Mar</v>
      </c>
      <c r="B31" s="708" t="str">
        <f>+'B) Reajuste Tarifas y Ocupación'!B15</f>
        <v>Diurna</v>
      </c>
      <c r="C31" s="475" t="s">
        <v>255</v>
      </c>
      <c r="D31" s="327"/>
      <c r="E31" s="328">
        <f t="shared" ref="E31:H32" si="26">+J31</f>
        <v>590800</v>
      </c>
      <c r="F31" s="328">
        <f t="shared" si="26"/>
        <v>612700</v>
      </c>
      <c r="G31" s="328">
        <f t="shared" si="26"/>
        <v>547000</v>
      </c>
      <c r="H31" s="272">
        <f>+M31</f>
        <v>656300</v>
      </c>
      <c r="I31" s="336">
        <f>+'B) Reajuste Tarifas y Ocupación'!M15</f>
        <v>437600</v>
      </c>
      <c r="J31" s="328">
        <f>+'B) Reajuste Tarifas y Ocupación'!N15</f>
        <v>590800</v>
      </c>
      <c r="K31" s="328">
        <f>+'B) Reajuste Tarifas y Ocupación'!O15</f>
        <v>612700</v>
      </c>
      <c r="L31" s="328">
        <f>+'B) Reajuste Tarifas y Ocupación'!P15</f>
        <v>547000</v>
      </c>
      <c r="M31" s="337">
        <f>+'B) Reajuste Tarifas y Ocupación'!Q15</f>
        <v>656300</v>
      </c>
      <c r="N31" s="207"/>
      <c r="O31" s="197"/>
      <c r="P31" s="197"/>
      <c r="Q31" s="706"/>
    </row>
    <row r="32" spans="1:247" ht="12.75" customHeight="1" x14ac:dyDescent="0.2">
      <c r="A32" s="721"/>
      <c r="B32" s="709"/>
      <c r="C32" s="190" t="s">
        <v>7</v>
      </c>
      <c r="D32" s="329"/>
      <c r="E32" s="330">
        <f t="shared" si="26"/>
        <v>0</v>
      </c>
      <c r="F32" s="330">
        <f t="shared" si="26"/>
        <v>0</v>
      </c>
      <c r="G32" s="330">
        <f t="shared" si="26"/>
        <v>0</v>
      </c>
      <c r="H32" s="331">
        <f t="shared" si="26"/>
        <v>1</v>
      </c>
      <c r="I32" s="338">
        <f>+'B) Reajuste Tarifas y Ocupación'!C26</f>
        <v>5</v>
      </c>
      <c r="J32" s="330">
        <f>+'B) Reajuste Tarifas y Ocupación'!D26</f>
        <v>0</v>
      </c>
      <c r="K32" s="330">
        <f>+'B) Reajuste Tarifas y Ocupación'!E26</f>
        <v>0</v>
      </c>
      <c r="L32" s="330">
        <f>+'B) Reajuste Tarifas y Ocupación'!F26</f>
        <v>0</v>
      </c>
      <c r="M32" s="339">
        <f>+'B) Reajuste Tarifas y Ocupación'!G26</f>
        <v>1</v>
      </c>
      <c r="N32" s="208"/>
      <c r="O32" s="194"/>
      <c r="P32" s="194"/>
      <c r="Q32" s="707"/>
    </row>
    <row r="33" spans="1:17" ht="13.5" customHeight="1" thickBot="1" x14ac:dyDescent="0.25">
      <c r="A33" s="721"/>
      <c r="B33" s="710"/>
      <c r="C33" s="198" t="s">
        <v>9</v>
      </c>
      <c r="D33" s="205">
        <f>D32*D31</f>
        <v>0</v>
      </c>
      <c r="E33" s="199">
        <f>E32*E31</f>
        <v>0</v>
      </c>
      <c r="F33" s="199">
        <f t="shared" ref="F33:H33" si="27">F32*F31</f>
        <v>0</v>
      </c>
      <c r="G33" s="199">
        <f t="shared" si="27"/>
        <v>0</v>
      </c>
      <c r="H33" s="212">
        <f t="shared" si="27"/>
        <v>656300</v>
      </c>
      <c r="I33" s="205">
        <f>I32*I31*12</f>
        <v>26256000</v>
      </c>
      <c r="J33" s="199">
        <f t="shared" ref="J33:M33" si="28">J32*J31*12</f>
        <v>0</v>
      </c>
      <c r="K33" s="199">
        <f t="shared" si="28"/>
        <v>0</v>
      </c>
      <c r="L33" s="199">
        <f t="shared" si="28"/>
        <v>0</v>
      </c>
      <c r="M33" s="206">
        <f t="shared" si="28"/>
        <v>7875600</v>
      </c>
      <c r="N33" s="209">
        <f>SUM(D33:H33)</f>
        <v>656300</v>
      </c>
      <c r="O33" s="200">
        <f>SUM(I33:M33)</f>
        <v>34131600</v>
      </c>
      <c r="P33" s="212">
        <f>P32*P31</f>
        <v>0</v>
      </c>
      <c r="Q33" s="213">
        <f>N33+O33+P33</f>
        <v>34787900</v>
      </c>
    </row>
    <row r="34" spans="1:17" ht="12.75" customHeight="1" x14ac:dyDescent="0.2">
      <c r="A34" s="721"/>
      <c r="B34" s="708" t="str">
        <f>+'B) Reajuste Tarifas y Ocupación'!B16</f>
        <v>Nocturna</v>
      </c>
      <c r="C34" s="475" t="s">
        <v>255</v>
      </c>
      <c r="D34" s="329"/>
      <c r="E34" s="332"/>
      <c r="F34" s="332"/>
      <c r="G34" s="332"/>
      <c r="H34" s="333"/>
      <c r="I34" s="346"/>
      <c r="J34" s="347"/>
      <c r="K34" s="347"/>
      <c r="L34" s="347"/>
      <c r="M34" s="348"/>
      <c r="N34" s="207"/>
      <c r="O34" s="197"/>
      <c r="P34" s="197"/>
      <c r="Q34" s="706"/>
    </row>
    <row r="35" spans="1:17" ht="12.75" customHeight="1" x14ac:dyDescent="0.2">
      <c r="A35" s="721"/>
      <c r="B35" s="709"/>
      <c r="C35" s="190" t="s">
        <v>7</v>
      </c>
      <c r="D35" s="329"/>
      <c r="E35" s="334">
        <f t="shared" ref="E35:H35" si="29">+J35</f>
        <v>0</v>
      </c>
      <c r="F35" s="334">
        <f t="shared" si="29"/>
        <v>0</v>
      </c>
      <c r="G35" s="334">
        <f t="shared" si="29"/>
        <v>0</v>
      </c>
      <c r="H35" s="335">
        <f t="shared" si="29"/>
        <v>0</v>
      </c>
      <c r="I35" s="343">
        <f>+'[1]B) Reajuste Tarifas y Ocupación'!C27</f>
        <v>0</v>
      </c>
      <c r="J35" s="334">
        <f>+'[1]B) Reajuste Tarifas y Ocupación'!D27</f>
        <v>0</v>
      </c>
      <c r="K35" s="334">
        <f>+'[1]B) Reajuste Tarifas y Ocupación'!E27</f>
        <v>0</v>
      </c>
      <c r="L35" s="334">
        <f>+'[1]B) Reajuste Tarifas y Ocupación'!F27</f>
        <v>0</v>
      </c>
      <c r="M35" s="344">
        <f>+'[1]B) Reajuste Tarifas y Ocupación'!G27</f>
        <v>0</v>
      </c>
      <c r="N35" s="208"/>
      <c r="O35" s="194"/>
      <c r="P35" s="194"/>
      <c r="Q35" s="707"/>
    </row>
    <row r="36" spans="1:17" ht="13.5" customHeight="1" thickBot="1" x14ac:dyDescent="0.25">
      <c r="A36" s="721"/>
      <c r="B36" s="710"/>
      <c r="C36" s="198" t="s">
        <v>9</v>
      </c>
      <c r="D36" s="205">
        <f>D35*D34</f>
        <v>0</v>
      </c>
      <c r="E36" s="199">
        <f>E35*E34</f>
        <v>0</v>
      </c>
      <c r="F36" s="199">
        <f t="shared" ref="F36:G36" si="30">F35*F34</f>
        <v>0</v>
      </c>
      <c r="G36" s="199">
        <f t="shared" si="30"/>
        <v>0</v>
      </c>
      <c r="H36" s="212">
        <f>H35*H34</f>
        <v>0</v>
      </c>
      <c r="I36" s="340">
        <f>I35*I34*12</f>
        <v>0</v>
      </c>
      <c r="J36" s="341">
        <f t="shared" ref="J36:M36" si="31">J35*J34*12</f>
        <v>0</v>
      </c>
      <c r="K36" s="341">
        <f t="shared" si="31"/>
        <v>0</v>
      </c>
      <c r="L36" s="341">
        <f t="shared" si="31"/>
        <v>0</v>
      </c>
      <c r="M36" s="342">
        <f t="shared" si="31"/>
        <v>0</v>
      </c>
      <c r="N36" s="209">
        <f>SUM(D36:H36)</f>
        <v>0</v>
      </c>
      <c r="O36" s="200">
        <f>SUM(I36:M36)</f>
        <v>0</v>
      </c>
      <c r="P36" s="212">
        <f>P35*P34</f>
        <v>0</v>
      </c>
      <c r="Q36" s="213">
        <f>N36+O36+P36</f>
        <v>0</v>
      </c>
    </row>
    <row r="37" spans="1:17" ht="12.75" customHeight="1" x14ac:dyDescent="0.2">
      <c r="A37" s="721"/>
      <c r="B37" s="708" t="str">
        <f>+'B) Reajuste Tarifas y Ocupación'!B17</f>
        <v>Media Jornada</v>
      </c>
      <c r="C37" s="475" t="s">
        <v>255</v>
      </c>
      <c r="D37" s="329"/>
      <c r="E37" s="328">
        <f t="shared" ref="E37:H38" si="32">+J37</f>
        <v>354800</v>
      </c>
      <c r="F37" s="328">
        <f t="shared" si="32"/>
        <v>368000</v>
      </c>
      <c r="G37" s="328">
        <f t="shared" si="32"/>
        <v>394000</v>
      </c>
      <c r="H37" s="272">
        <f>+M37</f>
        <v>525200</v>
      </c>
      <c r="I37" s="336">
        <f>+'B) Reajuste Tarifas y Ocupación'!M17</f>
        <v>262800</v>
      </c>
      <c r="J37" s="328">
        <f>+'B) Reajuste Tarifas y Ocupación'!N17</f>
        <v>354800</v>
      </c>
      <c r="K37" s="328">
        <f>+'B) Reajuste Tarifas y Ocupación'!O17</f>
        <v>368000</v>
      </c>
      <c r="L37" s="328">
        <f>+'B) Reajuste Tarifas y Ocupación'!P17</f>
        <v>394000</v>
      </c>
      <c r="M37" s="337">
        <f>+'B) Reajuste Tarifas y Ocupación'!Q17</f>
        <v>525200</v>
      </c>
      <c r="N37" s="307"/>
      <c r="O37" s="309"/>
      <c r="P37" s="309"/>
      <c r="Q37" s="706"/>
    </row>
    <row r="38" spans="1:17" ht="12.75" customHeight="1" x14ac:dyDescent="0.2">
      <c r="A38" s="721"/>
      <c r="B38" s="709"/>
      <c r="C38" s="190" t="s">
        <v>7</v>
      </c>
      <c r="D38" s="329"/>
      <c r="E38" s="330">
        <f t="shared" si="32"/>
        <v>0</v>
      </c>
      <c r="F38" s="330">
        <f t="shared" si="32"/>
        <v>0</v>
      </c>
      <c r="G38" s="330">
        <f t="shared" si="32"/>
        <v>0</v>
      </c>
      <c r="H38" s="331">
        <f t="shared" si="32"/>
        <v>0</v>
      </c>
      <c r="I38" s="338">
        <f>+'B) Reajuste Tarifas y Ocupación'!C28</f>
        <v>0</v>
      </c>
      <c r="J38" s="330">
        <f>+'B) Reajuste Tarifas y Ocupación'!D28</f>
        <v>0</v>
      </c>
      <c r="K38" s="330">
        <f>+'B) Reajuste Tarifas y Ocupación'!E28</f>
        <v>0</v>
      </c>
      <c r="L38" s="330">
        <f>+'B) Reajuste Tarifas y Ocupación'!F28</f>
        <v>0</v>
      </c>
      <c r="M38" s="339">
        <f>+'B) Reajuste Tarifas y Ocupación'!G28</f>
        <v>0</v>
      </c>
      <c r="N38" s="312"/>
      <c r="O38" s="311"/>
      <c r="P38" s="311"/>
      <c r="Q38" s="707"/>
    </row>
    <row r="39" spans="1:17" ht="13.5" customHeight="1" thickBot="1" x14ac:dyDescent="0.25">
      <c r="A39" s="721"/>
      <c r="B39" s="710"/>
      <c r="C39" s="198" t="s">
        <v>9</v>
      </c>
      <c r="D39" s="205">
        <f>D38*D37</f>
        <v>0</v>
      </c>
      <c r="E39" s="199">
        <f>E38*E37</f>
        <v>0</v>
      </c>
      <c r="F39" s="199">
        <f t="shared" ref="F39:H39" si="33">F38*F37</f>
        <v>0</v>
      </c>
      <c r="G39" s="199">
        <f t="shared" si="33"/>
        <v>0</v>
      </c>
      <c r="H39" s="212">
        <f t="shared" si="33"/>
        <v>0</v>
      </c>
      <c r="I39" s="205">
        <f>I38*I37*12</f>
        <v>0</v>
      </c>
      <c r="J39" s="199">
        <f t="shared" ref="J39:M39" si="34">J38*J37*12</f>
        <v>0</v>
      </c>
      <c r="K39" s="199">
        <f t="shared" si="34"/>
        <v>0</v>
      </c>
      <c r="L39" s="199">
        <f t="shared" si="34"/>
        <v>0</v>
      </c>
      <c r="M39" s="206">
        <f t="shared" si="34"/>
        <v>0</v>
      </c>
      <c r="N39" s="209">
        <f>SUM(D39:H39)</f>
        <v>0</v>
      </c>
      <c r="O39" s="200">
        <f>SUM(I39:M39)</f>
        <v>0</v>
      </c>
      <c r="P39" s="199">
        <f>P38*P37</f>
        <v>0</v>
      </c>
      <c r="Q39" s="310">
        <f>N39+O39+P39</f>
        <v>0</v>
      </c>
    </row>
    <row r="40" spans="1:17" ht="15.75" customHeight="1" thickBot="1" x14ac:dyDescent="0.25">
      <c r="A40" s="722"/>
      <c r="B40" s="714" t="s">
        <v>10</v>
      </c>
      <c r="C40" s="714"/>
      <c r="D40" s="280">
        <f>+D33+D39+D36</f>
        <v>0</v>
      </c>
      <c r="E40" s="280">
        <f t="shared" ref="E40:P40" si="35">+E33+E39+E36</f>
        <v>0</v>
      </c>
      <c r="F40" s="280">
        <f>+F33+F39+F36</f>
        <v>0</v>
      </c>
      <c r="G40" s="280">
        <f t="shared" si="35"/>
        <v>0</v>
      </c>
      <c r="H40" s="280">
        <f t="shared" si="35"/>
        <v>656300</v>
      </c>
      <c r="I40" s="280">
        <f>+I33+I39+I36</f>
        <v>26256000</v>
      </c>
      <c r="J40" s="280">
        <f>+J33+J39+J36</f>
        <v>0</v>
      </c>
      <c r="K40" s="280">
        <f t="shared" si="35"/>
        <v>0</v>
      </c>
      <c r="L40" s="280">
        <f t="shared" si="35"/>
        <v>0</v>
      </c>
      <c r="M40" s="280">
        <f>+M33+M39+M36</f>
        <v>7875600</v>
      </c>
      <c r="N40" s="280">
        <f t="shared" si="35"/>
        <v>656300</v>
      </c>
      <c r="O40" s="280">
        <f t="shared" si="35"/>
        <v>34131600</v>
      </c>
      <c r="P40" s="280">
        <f t="shared" si="35"/>
        <v>0</v>
      </c>
      <c r="Q40" s="280">
        <f>+Q33+Q39+Q36</f>
        <v>34787900</v>
      </c>
    </row>
    <row r="41" spans="1:17" ht="15" customHeight="1" thickBot="1" x14ac:dyDescent="0.25">
      <c r="A41" s="718" t="s">
        <v>8</v>
      </c>
      <c r="B41" s="719"/>
      <c r="C41" s="719"/>
      <c r="D41" s="281">
        <f>+D30+D40</f>
        <v>8954700</v>
      </c>
      <c r="E41" s="281">
        <f t="shared" ref="E41:Q41" si="36">+E30+E40</f>
        <v>0</v>
      </c>
      <c r="F41" s="281">
        <f t="shared" si="36"/>
        <v>0</v>
      </c>
      <c r="G41" s="281">
        <f t="shared" si="36"/>
        <v>0</v>
      </c>
      <c r="H41" s="281">
        <f t="shared" si="36"/>
        <v>656300</v>
      </c>
      <c r="I41" s="281">
        <f t="shared" si="36"/>
        <v>115803000</v>
      </c>
      <c r="J41" s="281">
        <f t="shared" si="36"/>
        <v>0</v>
      </c>
      <c r="K41" s="281">
        <f t="shared" si="36"/>
        <v>0</v>
      </c>
      <c r="L41" s="281">
        <f t="shared" si="36"/>
        <v>0</v>
      </c>
      <c r="M41" s="281">
        <f t="shared" si="36"/>
        <v>7875600</v>
      </c>
      <c r="N41" s="281">
        <f t="shared" si="36"/>
        <v>9611000</v>
      </c>
      <c r="O41" s="281">
        <f t="shared" si="36"/>
        <v>123678600</v>
      </c>
      <c r="P41" s="281">
        <f t="shared" si="36"/>
        <v>5854400</v>
      </c>
      <c r="Q41" s="281">
        <f t="shared" si="36"/>
        <v>139144000</v>
      </c>
    </row>
  </sheetData>
  <sheetProtection algorithmName="SHA-512" hashValue="OidgumZ8QGhpzrdYm4TvqJNUAH28z4QSIRh24dN9VNk3Xqba8shvgZyJgY+xY+8QWQhl2+OKEbRbrQUqxSWK5w==" saltValue="GktNqrInfUuf74xBz4k+Kw==" spinCount="100000" sheet="1" objects="1" scenarios="1"/>
  <mergeCells count="30">
    <mergeCell ref="Q27:Q28"/>
    <mergeCell ref="C4:D4"/>
    <mergeCell ref="E4:G4"/>
    <mergeCell ref="C19:C20"/>
    <mergeCell ref="D19:H19"/>
    <mergeCell ref="I19:M19"/>
    <mergeCell ref="Q24:Q25"/>
    <mergeCell ref="P19:P20"/>
    <mergeCell ref="N19:N20"/>
    <mergeCell ref="O19:O20"/>
    <mergeCell ref="Q19:Q20"/>
    <mergeCell ref="Q21:Q22"/>
    <mergeCell ref="A6:D6"/>
    <mergeCell ref="A17:D17"/>
    <mergeCell ref="A19:A20"/>
    <mergeCell ref="B19:B20"/>
    <mergeCell ref="B24:B26"/>
    <mergeCell ref="B30:C30"/>
    <mergeCell ref="A21:A30"/>
    <mergeCell ref="B21:B23"/>
    <mergeCell ref="A41:C41"/>
    <mergeCell ref="B27:B29"/>
    <mergeCell ref="A31:A40"/>
    <mergeCell ref="B31:B33"/>
    <mergeCell ref="B40:C40"/>
    <mergeCell ref="Q31:Q32"/>
    <mergeCell ref="B34:B36"/>
    <mergeCell ref="Q34:Q35"/>
    <mergeCell ref="B37:B39"/>
    <mergeCell ref="Q37:Q38"/>
  </mergeCells>
  <phoneticPr fontId="34" type="noConversion"/>
  <conditionalFormatting sqref="B9:I12">
    <cfRule type="cellIs" dxfId="4" priority="1" stopIfTrue="1" operator="lessThan">
      <formula>0</formula>
    </cfRule>
  </conditionalFormatting>
  <conditionalFormatting sqref="C13:N13 D14:N16 E17:N17">
    <cfRule type="cellIs" dxfId="3" priority="8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scale="42" firstPageNumber="0" fitToHeight="14" orientation="landscape" horizontalDpi="300" verticalDpi="300" r:id="rId1"/>
  <headerFooter alignWithMargins="0">
    <oddHeader>&amp;LSEPT - 2004&amp;CDIRECTIVA D.B.S.A.ORDINARIA&amp;R02-BS/0307/02Pag &amp;P de &amp;N</oddHeader>
  </headerFooter>
  <ignoredErrors>
    <ignoredError sqref="D22:H22 D21:H21 J21 D27:Q27 I23:Q23 J22:O22 L21:Q21 Q22 E29:Q29 D28:O28 Q28" unlockedFormula="1"/>
    <ignoredError sqref="F23:H23" formula="1" unlockedFormula="1"/>
    <ignoredError sqref="D23:E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28"/>
  <sheetViews>
    <sheetView showGridLines="0" zoomScale="80" zoomScaleNormal="80" workbookViewId="0">
      <selection activeCell="K25" sqref="K25"/>
    </sheetView>
  </sheetViews>
  <sheetFormatPr baseColWidth="10" defaultColWidth="11.42578125" defaultRowHeight="12.75" x14ac:dyDescent="0.2"/>
  <cols>
    <col min="1" max="1" width="56.5703125" customWidth="1"/>
    <col min="2" max="2" width="33.85546875" customWidth="1"/>
    <col min="3" max="3" width="12.28515625" customWidth="1"/>
    <col min="4" max="4" width="13.7109375" bestFit="1" customWidth="1"/>
    <col min="5" max="5" width="15.5703125" bestFit="1" customWidth="1"/>
    <col min="6" max="6" width="14.5703125" customWidth="1"/>
    <col min="7" max="7" width="14.85546875" customWidth="1"/>
    <col min="8" max="8" width="11.85546875" bestFit="1" customWidth="1"/>
    <col min="9" max="9" width="14.5703125" bestFit="1" customWidth="1"/>
    <col min="10" max="10" width="14.5703125" customWidth="1"/>
    <col min="11" max="12" width="11.85546875" customWidth="1"/>
    <col min="13" max="13" width="14" customWidth="1"/>
    <col min="14" max="15" width="14.5703125" customWidth="1"/>
    <col min="16" max="16" width="11.85546875" customWidth="1"/>
    <col min="17" max="17" width="14" customWidth="1"/>
    <col min="18" max="18" width="11.85546875" customWidth="1"/>
    <col min="19" max="19" width="32.7109375" customWidth="1"/>
    <col min="20" max="20" width="33" bestFit="1" customWidth="1"/>
    <col min="21" max="21" width="13.85546875" customWidth="1"/>
    <col min="22" max="22" width="14.5703125" bestFit="1" customWidth="1"/>
    <col min="23" max="23" width="14.5703125" customWidth="1"/>
    <col min="24" max="24" width="12.85546875" bestFit="1" customWidth="1"/>
  </cols>
  <sheetData>
    <row r="1" spans="1:256" s="4" customFormat="1" x14ac:dyDescent="0.2">
      <c r="A1" s="3"/>
      <c r="F1" s="26" t="s">
        <v>198</v>
      </c>
      <c r="S1" s="3"/>
      <c r="IU1" s="2"/>
      <c r="IV1" s="2"/>
    </row>
    <row r="2" spans="1:256" s="4" customFormat="1" x14ac:dyDescent="0.2">
      <c r="A2" s="5"/>
      <c r="F2" s="26" t="s">
        <v>191</v>
      </c>
      <c r="S2" s="5"/>
      <c r="IU2" s="2"/>
      <c r="IV2" s="2"/>
    </row>
    <row r="3" spans="1:256" s="4" customFormat="1" x14ac:dyDescent="0.2">
      <c r="A3" s="2"/>
      <c r="S3" s="2"/>
      <c r="IU3" s="2"/>
      <c r="IV3" s="2"/>
    </row>
    <row r="4" spans="1:256" s="4" customFormat="1" ht="13.5" thickBot="1" x14ac:dyDescent="0.25">
      <c r="A4" s="2"/>
      <c r="B4" s="16"/>
      <c r="S4" s="2"/>
      <c r="T4" s="16"/>
      <c r="IL4" s="2"/>
      <c r="IM4" s="2"/>
      <c r="IN4" s="2"/>
      <c r="IO4" s="2"/>
      <c r="IP4" s="2"/>
      <c r="IQ4" s="2"/>
    </row>
    <row r="5" spans="1:256" s="4" customFormat="1" ht="18" customHeight="1" thickBot="1" x14ac:dyDescent="0.25">
      <c r="A5" s="2"/>
      <c r="B5" s="16"/>
      <c r="C5" s="723" t="s">
        <v>0</v>
      </c>
      <c r="D5" s="774"/>
      <c r="E5" s="6"/>
      <c r="F5" s="754" t="s">
        <v>122</v>
      </c>
      <c r="G5" s="755"/>
      <c r="S5" s="2"/>
      <c r="T5" s="16"/>
      <c r="V5" s="1"/>
      <c r="W5" s="1"/>
      <c r="IL5" s="2"/>
      <c r="IM5" s="2"/>
      <c r="IN5" s="2"/>
      <c r="IO5" s="2"/>
      <c r="IP5" s="2"/>
      <c r="IQ5" s="2"/>
    </row>
    <row r="6" spans="1:256" s="4" customFormat="1" ht="18" customHeight="1" x14ac:dyDescent="0.2">
      <c r="A6" s="2"/>
      <c r="B6" s="16"/>
      <c r="C6" s="6"/>
      <c r="D6" s="6"/>
      <c r="E6" s="6"/>
      <c r="F6" s="26"/>
      <c r="G6" s="26"/>
      <c r="S6" s="2"/>
      <c r="T6" s="16"/>
      <c r="V6" s="1"/>
      <c r="W6" s="1"/>
      <c r="IL6" s="2"/>
      <c r="IM6" s="2"/>
      <c r="IN6" s="2"/>
      <c r="IO6" s="2"/>
      <c r="IP6" s="2"/>
      <c r="IQ6" s="2"/>
    </row>
    <row r="7" spans="1:256" s="4" customFormat="1" ht="18" customHeight="1" x14ac:dyDescent="0.2">
      <c r="A7" s="2"/>
      <c r="B7" s="16"/>
      <c r="C7" s="6"/>
      <c r="D7" s="6"/>
      <c r="E7" s="6"/>
      <c r="F7" s="26"/>
      <c r="G7" s="26"/>
      <c r="S7" s="2"/>
      <c r="T7" s="16"/>
      <c r="V7" s="31"/>
      <c r="W7" s="31"/>
      <c r="IL7" s="2"/>
      <c r="IM7" s="2"/>
      <c r="IN7" s="2"/>
      <c r="IO7" s="2"/>
      <c r="IP7" s="2"/>
      <c r="IQ7" s="2"/>
    </row>
    <row r="8" spans="1:256" s="4" customFormat="1" ht="15.75" x14ac:dyDescent="0.2">
      <c r="A8" s="764" t="s">
        <v>145</v>
      </c>
      <c r="B8" s="764"/>
      <c r="C8" s="764"/>
      <c r="D8" s="764"/>
      <c r="E8" s="59"/>
      <c r="F8" s="26"/>
      <c r="G8" s="26"/>
      <c r="IL8" s="2"/>
      <c r="IM8" s="2"/>
      <c r="IN8" s="2"/>
      <c r="IO8" s="2"/>
      <c r="IP8" s="2"/>
      <c r="IQ8" s="2"/>
    </row>
    <row r="9" spans="1:256" ht="13.5" customHeight="1" thickBot="1" x14ac:dyDescent="0.25"/>
    <row r="10" spans="1:256" ht="15.75" customHeight="1" x14ac:dyDescent="0.2">
      <c r="A10" s="765" t="s">
        <v>132</v>
      </c>
      <c r="B10" s="759" t="s">
        <v>5</v>
      </c>
      <c r="C10" s="761" t="s">
        <v>252</v>
      </c>
      <c r="D10" s="762"/>
      <c r="E10" s="762"/>
      <c r="F10" s="762"/>
      <c r="G10" s="763"/>
      <c r="H10" s="779" t="s">
        <v>107</v>
      </c>
      <c r="I10" s="780"/>
      <c r="J10" s="780"/>
      <c r="K10" s="780"/>
      <c r="L10" s="781"/>
      <c r="M10" s="777" t="s">
        <v>256</v>
      </c>
      <c r="N10" s="762"/>
      <c r="O10" s="762"/>
      <c r="P10" s="762"/>
      <c r="Q10" s="778"/>
      <c r="R10" s="12"/>
    </row>
    <row r="11" spans="1:256" ht="94.5" customHeight="1" thickBot="1" x14ac:dyDescent="0.25">
      <c r="A11" s="766"/>
      <c r="B11" s="760"/>
      <c r="C11" s="544" t="s">
        <v>85</v>
      </c>
      <c r="D11" s="545" t="s">
        <v>133</v>
      </c>
      <c r="E11" s="545" t="s">
        <v>134</v>
      </c>
      <c r="F11" s="545" t="s">
        <v>86</v>
      </c>
      <c r="G11" s="546" t="s">
        <v>87</v>
      </c>
      <c r="H11" s="547" t="s">
        <v>85</v>
      </c>
      <c r="I11" s="548" t="s">
        <v>133</v>
      </c>
      <c r="J11" s="548" t="s">
        <v>134</v>
      </c>
      <c r="K11" s="549" t="s">
        <v>86</v>
      </c>
      <c r="L11" s="550" t="s">
        <v>87</v>
      </c>
      <c r="M11" s="556" t="s">
        <v>85</v>
      </c>
      <c r="N11" s="545" t="s">
        <v>133</v>
      </c>
      <c r="O11" s="545" t="s">
        <v>134</v>
      </c>
      <c r="P11" s="545" t="s">
        <v>86</v>
      </c>
      <c r="Q11" s="551" t="s">
        <v>87</v>
      </c>
      <c r="R11" s="12"/>
    </row>
    <row r="12" spans="1:256" ht="13.5" customHeight="1" x14ac:dyDescent="0.2">
      <c r="A12" s="782" t="s">
        <v>207</v>
      </c>
      <c r="B12" s="496" t="s">
        <v>126</v>
      </c>
      <c r="C12" s="499">
        <v>78700</v>
      </c>
      <c r="D12" s="500">
        <v>106200</v>
      </c>
      <c r="E12" s="500">
        <v>110100</v>
      </c>
      <c r="F12" s="500">
        <v>118900</v>
      </c>
      <c r="G12" s="552">
        <v>190700</v>
      </c>
      <c r="H12" s="557">
        <v>4.4999999999999998E-2</v>
      </c>
      <c r="I12" s="501">
        <f>+H12</f>
        <v>4.4999999999999998E-2</v>
      </c>
      <c r="J12" s="501">
        <f>+H12</f>
        <v>4.4999999999999998E-2</v>
      </c>
      <c r="K12" s="501">
        <f>+H12</f>
        <v>4.4999999999999998E-2</v>
      </c>
      <c r="L12" s="558">
        <f>+H12</f>
        <v>4.4999999999999998E-2</v>
      </c>
      <c r="M12" s="492">
        <f>CEILING(C12*(1+H12),100)</f>
        <v>82300</v>
      </c>
      <c r="N12" s="488">
        <f>+CEILING(C12*(1.35)*(1+I12),100)</f>
        <v>111100</v>
      </c>
      <c r="O12" s="488">
        <f>+CEILING(C12*(1.4)*(1+J12),100)</f>
        <v>115200</v>
      </c>
      <c r="P12" s="488">
        <f>+CEILING(F12*(1+K12),100)</f>
        <v>124300</v>
      </c>
      <c r="Q12" s="489">
        <f>+CEILING(G12*(1+L12),100)</f>
        <v>199300</v>
      </c>
      <c r="R12" s="42"/>
    </row>
    <row r="13" spans="1:256" ht="13.5" customHeight="1" x14ac:dyDescent="0.2">
      <c r="A13" s="772"/>
      <c r="B13" s="497" t="s">
        <v>204</v>
      </c>
      <c r="C13" s="502">
        <v>89800</v>
      </c>
      <c r="D13" s="495">
        <v>121200</v>
      </c>
      <c r="E13" s="495">
        <v>125600</v>
      </c>
      <c r="F13" s="495">
        <v>169800</v>
      </c>
      <c r="G13" s="553">
        <v>253100</v>
      </c>
      <c r="H13" s="559">
        <v>4.4999999999999998E-2</v>
      </c>
      <c r="I13" s="494">
        <f>+H13</f>
        <v>4.4999999999999998E-2</v>
      </c>
      <c r="J13" s="494">
        <f>+H13</f>
        <v>4.4999999999999998E-2</v>
      </c>
      <c r="K13" s="494">
        <f>+H13</f>
        <v>4.4999999999999998E-2</v>
      </c>
      <c r="L13" s="560">
        <f>+H13</f>
        <v>4.4999999999999998E-2</v>
      </c>
      <c r="M13" s="493">
        <f>CEILING(C13*(1+H13),100)</f>
        <v>93900</v>
      </c>
      <c r="N13" s="490">
        <f t="shared" ref="N13:N14" si="0">+CEILING(C13*(1.35)*(1+I13),100)</f>
        <v>126700</v>
      </c>
      <c r="O13" s="490">
        <f t="shared" ref="O13:O14" si="1">+CEILING(C13*(1.4)*(1+J13),100)</f>
        <v>131400</v>
      </c>
      <c r="P13" s="490">
        <f>+CEILING(F13*(1+K13),100)</f>
        <v>177500</v>
      </c>
      <c r="Q13" s="491">
        <f>+CEILING(G13*(1+L13),100)</f>
        <v>264500</v>
      </c>
      <c r="R13" s="42"/>
    </row>
    <row r="14" spans="1:256" ht="13.5" customHeight="1" thickBot="1" x14ac:dyDescent="0.25">
      <c r="A14" s="783"/>
      <c r="B14" s="498" t="s">
        <v>205</v>
      </c>
      <c r="C14" s="541">
        <v>140600</v>
      </c>
      <c r="D14" s="542">
        <v>189800</v>
      </c>
      <c r="E14" s="542">
        <v>196800</v>
      </c>
      <c r="F14" s="542">
        <v>217700</v>
      </c>
      <c r="G14" s="554">
        <v>349700</v>
      </c>
      <c r="H14" s="943">
        <v>4.4999999999999998E-2</v>
      </c>
      <c r="I14" s="944">
        <f t="shared" ref="I14" si="2">+H14</f>
        <v>4.4999999999999998E-2</v>
      </c>
      <c r="J14" s="944">
        <f t="shared" ref="J14" si="3">+H14</f>
        <v>4.4999999999999998E-2</v>
      </c>
      <c r="K14" s="944">
        <f t="shared" ref="K14" si="4">+H14</f>
        <v>4.4999999999999998E-2</v>
      </c>
      <c r="L14" s="945">
        <f t="shared" ref="L14" si="5">+H14</f>
        <v>4.4999999999999998E-2</v>
      </c>
      <c r="M14" s="543">
        <f t="shared" ref="M14:M15" si="6">CEILING(C14*(1+H14),100)</f>
        <v>147000</v>
      </c>
      <c r="N14" s="503">
        <f t="shared" si="0"/>
        <v>198400</v>
      </c>
      <c r="O14" s="503">
        <f t="shared" si="1"/>
        <v>205700</v>
      </c>
      <c r="P14" s="503">
        <f t="shared" ref="P14:Q15" si="7">+CEILING(F14*(1+K14),100)</f>
        <v>227500</v>
      </c>
      <c r="Q14" s="504">
        <f t="shared" si="7"/>
        <v>365500</v>
      </c>
    </row>
    <row r="15" spans="1:256" ht="12.75" customHeight="1" x14ac:dyDescent="0.2">
      <c r="A15" s="771" t="s">
        <v>219</v>
      </c>
      <c r="B15" s="535" t="s">
        <v>222</v>
      </c>
      <c r="C15" s="536">
        <v>397800</v>
      </c>
      <c r="D15" s="537">
        <v>537000</v>
      </c>
      <c r="E15" s="537">
        <v>556900</v>
      </c>
      <c r="F15" s="537">
        <v>497200</v>
      </c>
      <c r="G15" s="555">
        <v>596600</v>
      </c>
      <c r="H15" s="557">
        <v>0.1</v>
      </c>
      <c r="I15" s="501">
        <f>+H15</f>
        <v>0.1</v>
      </c>
      <c r="J15" s="501">
        <f t="shared" ref="J15" si="8">+H15</f>
        <v>0.1</v>
      </c>
      <c r="K15" s="501">
        <f t="shared" ref="K15" si="9">+H15</f>
        <v>0.1</v>
      </c>
      <c r="L15" s="558">
        <f t="shared" ref="L15" si="10">+H15</f>
        <v>0.1</v>
      </c>
      <c r="M15" s="538">
        <f t="shared" si="6"/>
        <v>437600</v>
      </c>
      <c r="N15" s="539">
        <f>+CEILING(C15*(1.35)*(1+I15),100)</f>
        <v>590800</v>
      </c>
      <c r="O15" s="539">
        <f>+CEILING(C15*(1.4)*(1+J15),100)</f>
        <v>612700</v>
      </c>
      <c r="P15" s="539">
        <f t="shared" si="7"/>
        <v>547000</v>
      </c>
      <c r="Q15" s="540">
        <f>+CEILING(G15*(1+L15),100)</f>
        <v>656300</v>
      </c>
    </row>
    <row r="16" spans="1:256" x14ac:dyDescent="0.2">
      <c r="A16" s="772"/>
      <c r="B16" s="497" t="s">
        <v>221</v>
      </c>
      <c r="C16" s="644"/>
      <c r="D16" s="645"/>
      <c r="E16" s="645"/>
      <c r="F16" s="645"/>
      <c r="G16" s="645"/>
      <c r="H16" s="947"/>
      <c r="I16" s="946"/>
      <c r="J16" s="946"/>
      <c r="K16" s="946"/>
      <c r="L16" s="948"/>
      <c r="M16" s="775"/>
      <c r="N16" s="775"/>
      <c r="O16" s="775"/>
      <c r="P16" s="775"/>
      <c r="Q16" s="776"/>
    </row>
    <row r="17" spans="1:17" ht="13.5" thickBot="1" x14ac:dyDescent="0.25">
      <c r="A17" s="773"/>
      <c r="B17" s="498" t="s">
        <v>220</v>
      </c>
      <c r="C17" s="628">
        <v>238900</v>
      </c>
      <c r="D17" s="629">
        <v>322600</v>
      </c>
      <c r="E17" s="629">
        <v>334500</v>
      </c>
      <c r="F17" s="629">
        <v>358100</v>
      </c>
      <c r="G17" s="630">
        <v>477400</v>
      </c>
      <c r="H17" s="561">
        <v>0.1</v>
      </c>
      <c r="I17" s="236">
        <f t="shared" ref="I17" si="11">+H17</f>
        <v>0.1</v>
      </c>
      <c r="J17" s="236">
        <f t="shared" ref="J17" si="12">+H17</f>
        <v>0.1</v>
      </c>
      <c r="K17" s="236">
        <f t="shared" ref="K17" si="13">+H17</f>
        <v>0.1</v>
      </c>
      <c r="L17" s="562">
        <f t="shared" ref="L17" si="14">+H17</f>
        <v>0.1</v>
      </c>
      <c r="M17" s="507">
        <f t="shared" ref="M17" si="15">CEILING(C17*(1+H17),100)</f>
        <v>262800</v>
      </c>
      <c r="N17" s="503">
        <f>+CEILING(C17*(1.35)*(1+I17),100)</f>
        <v>354800</v>
      </c>
      <c r="O17" s="503">
        <f>+CEILING(C17*(1.4)*(1+J17),100)</f>
        <v>368000</v>
      </c>
      <c r="P17" s="503">
        <f>+CEILING(F17*(1+K17),100)</f>
        <v>394000</v>
      </c>
      <c r="Q17" s="504">
        <f>+CEILING(G17*(1+L17),100)</f>
        <v>525200</v>
      </c>
    </row>
    <row r="18" spans="1:17" x14ac:dyDescent="0.2">
      <c r="D18" s="112"/>
    </row>
    <row r="19" spans="1:17" ht="15.75" x14ac:dyDescent="0.2">
      <c r="A19" s="764" t="s">
        <v>146</v>
      </c>
      <c r="B19" s="764"/>
      <c r="C19" s="764"/>
      <c r="D19" s="764"/>
      <c r="E19" s="764"/>
      <c r="F19" s="764"/>
      <c r="G19" s="4"/>
      <c r="H19" s="4"/>
    </row>
    <row r="20" spans="1:17" ht="13.5" thickBot="1" x14ac:dyDescent="0.25"/>
    <row r="21" spans="1:17" ht="16.5" thickBot="1" x14ac:dyDescent="0.25">
      <c r="A21" s="769" t="s">
        <v>132</v>
      </c>
      <c r="B21" s="767" t="s">
        <v>5</v>
      </c>
      <c r="C21" s="756" t="s">
        <v>257</v>
      </c>
      <c r="D21" s="757"/>
      <c r="E21" s="757"/>
      <c r="F21" s="757"/>
      <c r="G21" s="757"/>
      <c r="H21" s="758"/>
    </row>
    <row r="22" spans="1:17" ht="82.5" customHeight="1" thickBot="1" x14ac:dyDescent="0.25">
      <c r="A22" s="770"/>
      <c r="B22" s="768"/>
      <c r="C22" s="578" t="s">
        <v>85</v>
      </c>
      <c r="D22" s="579" t="s">
        <v>133</v>
      </c>
      <c r="E22" s="579" t="s">
        <v>134</v>
      </c>
      <c r="F22" s="579" t="s">
        <v>86</v>
      </c>
      <c r="G22" s="580" t="s">
        <v>87</v>
      </c>
      <c r="H22" s="574" t="s">
        <v>131</v>
      </c>
    </row>
    <row r="23" spans="1:17" ht="20.100000000000001" customHeight="1" x14ac:dyDescent="0.2">
      <c r="A23" s="751" t="str">
        <f>+A12</f>
        <v>Jardín Infantil Olitas de Mar</v>
      </c>
      <c r="B23" s="566" t="str">
        <f>+B12</f>
        <v>Media jornada</v>
      </c>
      <c r="C23" s="570"/>
      <c r="D23" s="345"/>
      <c r="E23" s="345"/>
      <c r="F23" s="345"/>
      <c r="G23" s="581"/>
      <c r="H23" s="575">
        <f>SUM(C23:G23)</f>
        <v>0</v>
      </c>
    </row>
    <row r="24" spans="1:17" ht="20.100000000000001" customHeight="1" thickBot="1" x14ac:dyDescent="0.25">
      <c r="A24" s="752"/>
      <c r="B24" s="563" t="str">
        <f t="shared" ref="B24:B28" si="16">+B13</f>
        <v>Media jornada Extendida</v>
      </c>
      <c r="C24" s="571">
        <v>3</v>
      </c>
      <c r="D24" s="189"/>
      <c r="E24" s="189"/>
      <c r="F24" s="189"/>
      <c r="G24" s="582"/>
      <c r="H24" s="576">
        <f>SUM(C24:G24)</f>
        <v>3</v>
      </c>
    </row>
    <row r="25" spans="1:17" ht="20.100000000000001" customHeight="1" thickBot="1" x14ac:dyDescent="0.25">
      <c r="A25" s="753"/>
      <c r="B25" s="567" t="str">
        <f t="shared" si="16"/>
        <v>Jornada Completa</v>
      </c>
      <c r="C25" s="572">
        <v>59</v>
      </c>
      <c r="D25" s="111"/>
      <c r="E25" s="111"/>
      <c r="F25" s="111"/>
      <c r="G25" s="583"/>
      <c r="H25" s="577">
        <f t="shared" ref="H25" si="17">SUM(C25:G25)</f>
        <v>59</v>
      </c>
      <c r="I25" s="569">
        <f>SUM(H23:H25)</f>
        <v>62</v>
      </c>
    </row>
    <row r="26" spans="1:17" ht="19.5" customHeight="1" x14ac:dyDescent="0.2">
      <c r="A26" s="748" t="str">
        <f>+A15</f>
        <v>Sala Cuna Olitas de Mar</v>
      </c>
      <c r="B26" s="566" t="str">
        <f t="shared" si="16"/>
        <v>Diurna</v>
      </c>
      <c r="C26" s="570">
        <v>5</v>
      </c>
      <c r="D26" s="345"/>
      <c r="E26" s="345"/>
      <c r="F26" s="345"/>
      <c r="G26" s="581">
        <v>1</v>
      </c>
      <c r="H26" s="575">
        <f>SUM(C26:G26)</f>
        <v>6</v>
      </c>
    </row>
    <row r="27" spans="1:17" ht="19.5" customHeight="1" thickBot="1" x14ac:dyDescent="0.25">
      <c r="A27" s="749"/>
      <c r="B27" s="563" t="str">
        <f t="shared" si="16"/>
        <v>Nocturna</v>
      </c>
      <c r="C27" s="573"/>
      <c r="D27" s="565"/>
      <c r="E27" s="565"/>
      <c r="F27" s="565"/>
      <c r="G27" s="584"/>
      <c r="H27" s="564"/>
    </row>
    <row r="28" spans="1:17" ht="19.5" customHeight="1" thickBot="1" x14ac:dyDescent="0.25">
      <c r="A28" s="750"/>
      <c r="B28" s="568" t="str">
        <f t="shared" si="16"/>
        <v>Media Jornada</v>
      </c>
      <c r="C28" s="572"/>
      <c r="D28" s="111"/>
      <c r="E28" s="111"/>
      <c r="F28" s="111"/>
      <c r="G28" s="583"/>
      <c r="H28" s="577">
        <f>SUM(C28:G28)</f>
        <v>0</v>
      </c>
      <c r="I28" s="569">
        <f>SUM(H26:H28)</f>
        <v>6</v>
      </c>
    </row>
  </sheetData>
  <sheetProtection algorithmName="SHA-512" hashValue="+pU65t1S9XMis4VKbBdde9Qx/wR9WsubkLYxCzLfF8geX1OnXP3p0/y0u90K5UIsl1H/PaTILGJUv/g2eTTX9g==" saltValue="MT9PlzXi6Og1NrhMciLPpw==" spinCount="100000" sheet="1" objects="1" scenarios="1"/>
  <mergeCells count="18">
    <mergeCell ref="M16:Q16"/>
    <mergeCell ref="H16:L16"/>
    <mergeCell ref="M10:Q10"/>
    <mergeCell ref="A19:F19"/>
    <mergeCell ref="H10:L10"/>
    <mergeCell ref="A12:A14"/>
    <mergeCell ref="A26:A28"/>
    <mergeCell ref="A23:A25"/>
    <mergeCell ref="F5:G5"/>
    <mergeCell ref="C21:H21"/>
    <mergeCell ref="B10:B11"/>
    <mergeCell ref="C10:G10"/>
    <mergeCell ref="A8:D8"/>
    <mergeCell ref="A10:A11"/>
    <mergeCell ref="B21:B22"/>
    <mergeCell ref="A21:A22"/>
    <mergeCell ref="A15:A17"/>
    <mergeCell ref="C5:D5"/>
  </mergeCells>
  <pageMargins left="0.7" right="0.7" top="0.75" bottom="0.75" header="0.3" footer="0.3"/>
  <pageSetup paperSize="9" orientation="portrait" r:id="rId1"/>
  <ignoredErrors>
    <ignoredError sqref="K14:L14 K12:L1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O207"/>
  <sheetViews>
    <sheetView showGridLines="0" topLeftCell="L13" zoomScaleNormal="100" workbookViewId="0">
      <selection activeCell="M61" sqref="M61"/>
    </sheetView>
  </sheetViews>
  <sheetFormatPr baseColWidth="10" defaultColWidth="11.42578125" defaultRowHeight="12.75" x14ac:dyDescent="0.2"/>
  <cols>
    <col min="1" max="1" width="30.28515625" style="2" customWidth="1"/>
    <col min="2" max="2" width="21.140625" style="2" customWidth="1"/>
    <col min="3" max="3" width="57.42578125" style="2" bestFit="1" customWidth="1"/>
    <col min="4" max="4" width="17" style="2" customWidth="1"/>
    <col min="5" max="5" width="14.28515625" style="2" customWidth="1"/>
    <col min="6" max="6" width="14.42578125" style="17" customWidth="1"/>
    <col min="7" max="7" width="14.28515625" style="4" customWidth="1"/>
    <col min="8" max="8" width="23" style="4" customWidth="1"/>
    <col min="9" max="9" width="15.7109375" style="2" bestFit="1" customWidth="1"/>
    <col min="10" max="10" width="13.42578125" style="2" bestFit="1" customWidth="1"/>
    <col min="11" max="11" width="14.42578125" style="2" customWidth="1"/>
    <col min="12" max="12" width="92.85546875" style="2" bestFit="1" customWidth="1"/>
    <col min="13" max="13" width="13.7109375" style="11" customWidth="1"/>
    <col min="14" max="14" width="12.85546875" style="11" bestFit="1" customWidth="1"/>
    <col min="15" max="15" width="11.42578125" style="11"/>
    <col min="16" max="16384" width="11.42578125" style="2"/>
  </cols>
  <sheetData>
    <row r="1" spans="1:15" x14ac:dyDescent="0.2">
      <c r="C1" s="26"/>
      <c r="D1" s="26" t="s">
        <v>199</v>
      </c>
      <c r="E1" s="26"/>
      <c r="F1" s="26"/>
      <c r="G1" s="26"/>
      <c r="H1" s="26"/>
    </row>
    <row r="2" spans="1:15" x14ac:dyDescent="0.2">
      <c r="C2" s="26"/>
      <c r="D2" s="26" t="s">
        <v>208</v>
      </c>
      <c r="E2" s="26"/>
      <c r="F2" s="26"/>
      <c r="G2" s="26"/>
      <c r="H2" s="26"/>
    </row>
    <row r="3" spans="1:15" x14ac:dyDescent="0.2">
      <c r="C3" s="26"/>
      <c r="E3" s="26"/>
      <c r="F3" s="26"/>
      <c r="G3" s="26"/>
      <c r="H3" s="26"/>
    </row>
    <row r="4" spans="1:15" ht="19.5" customHeight="1" x14ac:dyDescent="0.2">
      <c r="C4" s="6" t="s">
        <v>0</v>
      </c>
      <c r="D4" s="798" t="s">
        <v>147</v>
      </c>
      <c r="E4" s="799"/>
      <c r="F4" s="26"/>
      <c r="G4" s="26"/>
      <c r="H4" s="26"/>
    </row>
    <row r="5" spans="1:15" x14ac:dyDescent="0.2">
      <c r="B5" s="26"/>
      <c r="C5" s="26"/>
      <c r="D5" s="26"/>
      <c r="E5" s="26"/>
      <c r="F5" s="26"/>
      <c r="G5" s="26"/>
      <c r="H5" s="26"/>
    </row>
    <row r="6" spans="1:15" x14ac:dyDescent="0.2">
      <c r="B6" s="26"/>
      <c r="C6" s="26"/>
      <c r="D6" s="26"/>
      <c r="E6" s="26"/>
      <c r="F6" s="26"/>
      <c r="G6" s="26"/>
      <c r="H6" s="26"/>
    </row>
    <row r="7" spans="1:15" x14ac:dyDescent="0.2">
      <c r="C7" s="4"/>
    </row>
    <row r="8" spans="1:15" ht="15.75" x14ac:dyDescent="0.2">
      <c r="A8" s="764" t="s">
        <v>148</v>
      </c>
      <c r="B8" s="764"/>
      <c r="C8" s="764"/>
      <c r="D8" s="26"/>
      <c r="G8" s="2"/>
    </row>
    <row r="10" spans="1:15" ht="12.75" customHeight="1" x14ac:dyDescent="0.2">
      <c r="A10" s="784" t="s">
        <v>112</v>
      </c>
      <c r="B10" s="788" t="s">
        <v>75</v>
      </c>
      <c r="C10" s="786" t="s">
        <v>76</v>
      </c>
      <c r="D10" s="801" t="s">
        <v>77</v>
      </c>
      <c r="E10" s="800" t="s">
        <v>78</v>
      </c>
      <c r="F10" s="800"/>
      <c r="G10" s="800"/>
      <c r="H10" s="802" t="s">
        <v>258</v>
      </c>
      <c r="L10" s="794" t="s">
        <v>226</v>
      </c>
      <c r="M10" s="796" t="s">
        <v>225</v>
      </c>
      <c r="N10" s="796" t="s">
        <v>227</v>
      </c>
      <c r="O10" s="796" t="s">
        <v>228</v>
      </c>
    </row>
    <row r="11" spans="1:15" ht="39" customHeight="1" thickBot="1" x14ac:dyDescent="0.25">
      <c r="A11" s="785"/>
      <c r="B11" s="789"/>
      <c r="C11" s="787"/>
      <c r="D11" s="801"/>
      <c r="E11" s="179" t="s">
        <v>67</v>
      </c>
      <c r="F11" s="180" t="s">
        <v>68</v>
      </c>
      <c r="G11" s="181" t="s">
        <v>6</v>
      </c>
      <c r="H11" s="803"/>
      <c r="L11" s="795"/>
      <c r="M11" s="797"/>
      <c r="N11" s="797"/>
      <c r="O11" s="797"/>
    </row>
    <row r="12" spans="1:15" ht="15.75" customHeight="1" x14ac:dyDescent="0.2">
      <c r="A12" s="793" t="str">
        <f>+'B) Reajuste Tarifas y Ocupación'!A12</f>
        <v>Jardín Infantil Olitas de Mar</v>
      </c>
      <c r="B12" s="308"/>
      <c r="C12" s="357" t="s">
        <v>11</v>
      </c>
      <c r="D12" s="366">
        <f>SUM(D13+D18)</f>
        <v>47858435.219999999</v>
      </c>
      <c r="E12" s="367"/>
      <c r="F12" s="367"/>
      <c r="G12" s="368">
        <f>SUM(G13,G18)</f>
        <v>31367098</v>
      </c>
      <c r="H12" s="369">
        <f>SUM(H13,H18)</f>
        <v>79225533.219999999</v>
      </c>
      <c r="L12" s="349" t="s">
        <v>11</v>
      </c>
      <c r="M12" s="350"/>
      <c r="N12" s="350"/>
      <c r="O12" s="350"/>
    </row>
    <row r="13" spans="1:15" ht="12.75" customHeight="1" x14ac:dyDescent="0.2">
      <c r="A13" s="716"/>
      <c r="B13" s="292"/>
      <c r="C13" s="360" t="s">
        <v>12</v>
      </c>
      <c r="D13" s="370">
        <f>SUM(D14:D17)</f>
        <v>41120035.219999999</v>
      </c>
      <c r="E13" s="371"/>
      <c r="F13" s="371"/>
      <c r="G13" s="372">
        <f>SUM(G14:G17)</f>
        <v>280000</v>
      </c>
      <c r="H13" s="293">
        <f>SUM(H14:H17)</f>
        <v>41400035.219999999</v>
      </c>
      <c r="L13" s="351" t="s">
        <v>16</v>
      </c>
      <c r="M13" s="352"/>
      <c r="N13" s="353"/>
      <c r="O13" s="353"/>
    </row>
    <row r="14" spans="1:15" ht="12.75" customHeight="1" x14ac:dyDescent="0.2">
      <c r="A14" s="716"/>
      <c r="B14" s="294">
        <v>53103040100000</v>
      </c>
      <c r="C14" s="354" t="s">
        <v>94</v>
      </c>
      <c r="D14" s="373">
        <f>'F) Remuneraciones'!L11</f>
        <v>41120035.219999999</v>
      </c>
      <c r="E14" s="374">
        <v>0</v>
      </c>
      <c r="F14" s="375">
        <v>0</v>
      </c>
      <c r="G14" s="374">
        <f>E14*F14</f>
        <v>0</v>
      </c>
      <c r="H14" s="376">
        <f>D14+G14</f>
        <v>41120035.219999999</v>
      </c>
      <c r="L14" s="315" t="s">
        <v>173</v>
      </c>
      <c r="M14" s="356">
        <v>500000</v>
      </c>
      <c r="N14" s="314">
        <f t="shared" ref="N14:N61" si="0">M14*0.8</f>
        <v>400000</v>
      </c>
      <c r="O14" s="314">
        <f t="shared" ref="O14:O61" si="1">M14*0.2</f>
        <v>100000</v>
      </c>
    </row>
    <row r="15" spans="1:15" ht="12.75" customHeight="1" x14ac:dyDescent="0.2">
      <c r="A15" s="716"/>
      <c r="B15" s="294">
        <v>53103050000000</v>
      </c>
      <c r="C15" s="354" t="s">
        <v>167</v>
      </c>
      <c r="D15" s="377">
        <v>0</v>
      </c>
      <c r="E15" s="378">
        <v>0</v>
      </c>
      <c r="F15" s="379">
        <v>0</v>
      </c>
      <c r="G15" s="374">
        <f>E15*F15</f>
        <v>0</v>
      </c>
      <c r="H15" s="376">
        <f>D15+G15</f>
        <v>0</v>
      </c>
      <c r="L15" s="295" t="s">
        <v>19</v>
      </c>
      <c r="M15" s="355">
        <v>60000</v>
      </c>
      <c r="N15" s="314">
        <f t="shared" si="0"/>
        <v>48000</v>
      </c>
      <c r="O15" s="314">
        <f t="shared" si="1"/>
        <v>12000</v>
      </c>
    </row>
    <row r="16" spans="1:15" ht="12.75" customHeight="1" x14ac:dyDescent="0.2">
      <c r="A16" s="716"/>
      <c r="B16" s="313">
        <v>53103040400000</v>
      </c>
      <c r="C16" s="296" t="s">
        <v>168</v>
      </c>
      <c r="D16" s="377">
        <v>0</v>
      </c>
      <c r="E16" s="378">
        <v>0</v>
      </c>
      <c r="F16" s="379">
        <v>0</v>
      </c>
      <c r="G16" s="374">
        <f>E16*F16</f>
        <v>0</v>
      </c>
      <c r="H16" s="376">
        <f>D16+G16</f>
        <v>0</v>
      </c>
      <c r="L16" s="295" t="s">
        <v>174</v>
      </c>
      <c r="M16" s="355">
        <v>0</v>
      </c>
      <c r="N16" s="314">
        <f t="shared" si="0"/>
        <v>0</v>
      </c>
      <c r="O16" s="314">
        <f t="shared" si="1"/>
        <v>0</v>
      </c>
    </row>
    <row r="17" spans="1:15" ht="12.75" customHeight="1" x14ac:dyDescent="0.2">
      <c r="A17" s="716"/>
      <c r="B17" s="294">
        <v>53103080010000</v>
      </c>
      <c r="C17" s="354" t="s">
        <v>169</v>
      </c>
      <c r="D17" s="377">
        <v>0</v>
      </c>
      <c r="E17" s="378">
        <v>70000</v>
      </c>
      <c r="F17" s="379">
        <v>4</v>
      </c>
      <c r="G17" s="374">
        <f>E17*F17</f>
        <v>280000</v>
      </c>
      <c r="H17" s="376">
        <f>D17+G17</f>
        <v>280000</v>
      </c>
      <c r="L17" s="295" t="s">
        <v>209</v>
      </c>
      <c r="M17" s="355">
        <v>350000</v>
      </c>
      <c r="N17" s="314">
        <f t="shared" si="0"/>
        <v>280000</v>
      </c>
      <c r="O17" s="314">
        <f t="shared" si="1"/>
        <v>70000</v>
      </c>
    </row>
    <row r="18" spans="1:15" ht="12.75" customHeight="1" x14ac:dyDescent="0.2">
      <c r="A18" s="716"/>
      <c r="B18" s="292"/>
      <c r="C18" s="360" t="s">
        <v>16</v>
      </c>
      <c r="D18" s="370">
        <f>SUM(D19:D38)</f>
        <v>6738400</v>
      </c>
      <c r="E18" s="371"/>
      <c r="F18" s="371"/>
      <c r="G18" s="370">
        <f>SUM(G19:G38)</f>
        <v>31087098</v>
      </c>
      <c r="H18" s="293">
        <f>SUM(H19:H38)</f>
        <v>37825498</v>
      </c>
      <c r="L18" s="295" t="s">
        <v>22</v>
      </c>
      <c r="M18" s="355">
        <v>0</v>
      </c>
      <c r="N18" s="314">
        <f t="shared" si="0"/>
        <v>0</v>
      </c>
      <c r="O18" s="314">
        <f t="shared" si="1"/>
        <v>0</v>
      </c>
    </row>
    <row r="19" spans="1:15" ht="12.75" customHeight="1" x14ac:dyDescent="0.2">
      <c r="A19" s="716"/>
      <c r="B19" s="294">
        <v>53201010100000</v>
      </c>
      <c r="C19" s="380" t="s">
        <v>170</v>
      </c>
      <c r="D19" s="377">
        <v>0</v>
      </c>
      <c r="E19" s="378">
        <v>2065</v>
      </c>
      <c r="F19" s="379">
        <v>924</v>
      </c>
      <c r="G19" s="374">
        <f t="shared" ref="G19:G38" si="2">E19*F19</f>
        <v>1908060</v>
      </c>
      <c r="H19" s="376">
        <f t="shared" ref="H19:H38" si="3">D19+G19</f>
        <v>1908060</v>
      </c>
      <c r="L19" s="295" t="s">
        <v>176</v>
      </c>
      <c r="M19" s="355">
        <v>0</v>
      </c>
      <c r="N19" s="314">
        <f t="shared" si="0"/>
        <v>0</v>
      </c>
      <c r="O19" s="314">
        <f t="shared" si="1"/>
        <v>0</v>
      </c>
    </row>
    <row r="20" spans="1:15" ht="12.75" customHeight="1" x14ac:dyDescent="0.2">
      <c r="A20" s="716"/>
      <c r="B20" s="294">
        <v>53201010100000</v>
      </c>
      <c r="C20" s="380" t="s">
        <v>171</v>
      </c>
      <c r="D20" s="377">
        <v>0</v>
      </c>
      <c r="E20" s="378">
        <v>2049</v>
      </c>
      <c r="F20" s="379">
        <v>13902</v>
      </c>
      <c r="G20" s="374">
        <f t="shared" si="2"/>
        <v>28485198</v>
      </c>
      <c r="H20" s="376">
        <f t="shared" si="3"/>
        <v>28485198</v>
      </c>
      <c r="L20" s="295" t="s">
        <v>24</v>
      </c>
      <c r="M20" s="355">
        <v>1900000</v>
      </c>
      <c r="N20" s="314">
        <f t="shared" si="0"/>
        <v>1520000</v>
      </c>
      <c r="O20" s="314">
        <f t="shared" si="1"/>
        <v>380000</v>
      </c>
    </row>
    <row r="21" spans="1:15" ht="12.75" customHeight="1" x14ac:dyDescent="0.2">
      <c r="A21" s="716"/>
      <c r="B21" s="294">
        <v>53201010100000</v>
      </c>
      <c r="C21" s="380" t="s">
        <v>172</v>
      </c>
      <c r="D21" s="377">
        <v>0</v>
      </c>
      <c r="E21" s="378">
        <v>2065</v>
      </c>
      <c r="F21" s="379">
        <v>336</v>
      </c>
      <c r="G21" s="374">
        <f t="shared" si="2"/>
        <v>693840</v>
      </c>
      <c r="H21" s="376">
        <f t="shared" si="3"/>
        <v>693840</v>
      </c>
      <c r="L21" s="295" t="s">
        <v>25</v>
      </c>
      <c r="M21" s="355">
        <v>1900000</v>
      </c>
      <c r="N21" s="314">
        <f t="shared" si="0"/>
        <v>1520000</v>
      </c>
      <c r="O21" s="314">
        <f t="shared" si="1"/>
        <v>380000</v>
      </c>
    </row>
    <row r="22" spans="1:15" ht="12.75" customHeight="1" x14ac:dyDescent="0.2">
      <c r="A22" s="716"/>
      <c r="B22" s="294">
        <v>53202010100000</v>
      </c>
      <c r="C22" s="354" t="s">
        <v>173</v>
      </c>
      <c r="D22" s="381">
        <f t="shared" ref="D22:D38" si="4">N14</f>
        <v>400000</v>
      </c>
      <c r="E22" s="381">
        <v>0</v>
      </c>
      <c r="F22" s="382">
        <v>0</v>
      </c>
      <c r="G22" s="374">
        <f t="shared" si="2"/>
        <v>0</v>
      </c>
      <c r="H22" s="376">
        <f t="shared" si="3"/>
        <v>400000</v>
      </c>
      <c r="L22" s="295" t="s">
        <v>26</v>
      </c>
      <c r="M22" s="355">
        <v>1983000</v>
      </c>
      <c r="N22" s="314">
        <f t="shared" si="0"/>
        <v>1586400</v>
      </c>
      <c r="O22" s="314">
        <f t="shared" si="1"/>
        <v>396600</v>
      </c>
    </row>
    <row r="23" spans="1:15" ht="12.75" customHeight="1" x14ac:dyDescent="0.2">
      <c r="A23" s="716"/>
      <c r="B23" s="294">
        <v>53203010100000</v>
      </c>
      <c r="C23" s="354" t="s">
        <v>19</v>
      </c>
      <c r="D23" s="374">
        <f t="shared" si="4"/>
        <v>48000</v>
      </c>
      <c r="E23" s="374">
        <v>0</v>
      </c>
      <c r="F23" s="382">
        <v>0</v>
      </c>
      <c r="G23" s="374">
        <f t="shared" si="2"/>
        <v>0</v>
      </c>
      <c r="H23" s="376">
        <f t="shared" si="3"/>
        <v>48000</v>
      </c>
      <c r="L23" s="295" t="s">
        <v>27</v>
      </c>
      <c r="M23" s="355">
        <v>0</v>
      </c>
      <c r="N23" s="314">
        <f t="shared" si="0"/>
        <v>0</v>
      </c>
      <c r="O23" s="314">
        <f t="shared" si="1"/>
        <v>0</v>
      </c>
    </row>
    <row r="24" spans="1:15" ht="12.75" customHeight="1" x14ac:dyDescent="0.2">
      <c r="A24" s="716"/>
      <c r="B24" s="294">
        <v>53203030000000</v>
      </c>
      <c r="C24" s="354" t="s">
        <v>174</v>
      </c>
      <c r="D24" s="374">
        <f t="shared" si="4"/>
        <v>0</v>
      </c>
      <c r="E24" s="374">
        <v>0</v>
      </c>
      <c r="F24" s="382">
        <v>0</v>
      </c>
      <c r="G24" s="374">
        <f t="shared" si="2"/>
        <v>0</v>
      </c>
      <c r="H24" s="376">
        <f t="shared" si="3"/>
        <v>0</v>
      </c>
      <c r="L24" s="295" t="s">
        <v>29</v>
      </c>
      <c r="M24" s="355">
        <v>0</v>
      </c>
      <c r="N24" s="314">
        <f t="shared" si="0"/>
        <v>0</v>
      </c>
      <c r="O24" s="314">
        <f t="shared" si="1"/>
        <v>0</v>
      </c>
    </row>
    <row r="25" spans="1:15" ht="12.75" customHeight="1" x14ac:dyDescent="0.2">
      <c r="A25" s="716"/>
      <c r="B25" s="294">
        <v>53204030000000</v>
      </c>
      <c r="C25" s="354" t="s">
        <v>209</v>
      </c>
      <c r="D25" s="374">
        <f t="shared" si="4"/>
        <v>280000</v>
      </c>
      <c r="E25" s="374">
        <v>0</v>
      </c>
      <c r="F25" s="382">
        <v>0</v>
      </c>
      <c r="G25" s="374">
        <f t="shared" si="2"/>
        <v>0</v>
      </c>
      <c r="H25" s="376">
        <f>D25+G25</f>
        <v>280000</v>
      </c>
      <c r="L25" s="295" t="s">
        <v>30</v>
      </c>
      <c r="M25" s="355">
        <v>0</v>
      </c>
      <c r="N25" s="314">
        <f t="shared" si="0"/>
        <v>0</v>
      </c>
      <c r="O25" s="314">
        <f t="shared" si="1"/>
        <v>0</v>
      </c>
    </row>
    <row r="26" spans="1:15" ht="12.75" customHeight="1" x14ac:dyDescent="0.2">
      <c r="A26" s="716"/>
      <c r="B26" s="294">
        <v>53204100100001</v>
      </c>
      <c r="C26" s="354" t="s">
        <v>22</v>
      </c>
      <c r="D26" s="374">
        <f t="shared" si="4"/>
        <v>0</v>
      </c>
      <c r="E26" s="374">
        <v>0</v>
      </c>
      <c r="F26" s="382">
        <v>0</v>
      </c>
      <c r="G26" s="374">
        <f t="shared" si="2"/>
        <v>0</v>
      </c>
      <c r="H26" s="376">
        <f t="shared" si="3"/>
        <v>0</v>
      </c>
      <c r="L26" s="295" t="s">
        <v>31</v>
      </c>
      <c r="M26" s="356">
        <v>0</v>
      </c>
      <c r="N26" s="314">
        <f t="shared" si="0"/>
        <v>0</v>
      </c>
      <c r="O26" s="314">
        <f t="shared" si="1"/>
        <v>0</v>
      </c>
    </row>
    <row r="27" spans="1:15" ht="12.75" customHeight="1" x14ac:dyDescent="0.2">
      <c r="A27" s="716"/>
      <c r="B27" s="294">
        <v>53204130100000</v>
      </c>
      <c r="C27" s="354" t="s">
        <v>176</v>
      </c>
      <c r="D27" s="374">
        <f t="shared" si="4"/>
        <v>0</v>
      </c>
      <c r="E27" s="374">
        <v>0</v>
      </c>
      <c r="F27" s="382">
        <v>0</v>
      </c>
      <c r="G27" s="374">
        <f t="shared" si="2"/>
        <v>0</v>
      </c>
      <c r="H27" s="376">
        <f t="shared" si="3"/>
        <v>0</v>
      </c>
      <c r="L27" s="295" t="s">
        <v>177</v>
      </c>
      <c r="M27" s="355">
        <v>0</v>
      </c>
      <c r="N27" s="314">
        <f t="shared" si="0"/>
        <v>0</v>
      </c>
      <c r="O27" s="314">
        <f t="shared" si="1"/>
        <v>0</v>
      </c>
    </row>
    <row r="28" spans="1:15" ht="12.75" customHeight="1" x14ac:dyDescent="0.2">
      <c r="A28" s="716"/>
      <c r="B28" s="294">
        <v>53205010100000</v>
      </c>
      <c r="C28" s="354" t="s">
        <v>24</v>
      </c>
      <c r="D28" s="374">
        <f t="shared" si="4"/>
        <v>1520000</v>
      </c>
      <c r="E28" s="374">
        <v>0</v>
      </c>
      <c r="F28" s="382">
        <v>0</v>
      </c>
      <c r="G28" s="374">
        <f t="shared" si="2"/>
        <v>0</v>
      </c>
      <c r="H28" s="376">
        <f t="shared" si="3"/>
        <v>1520000</v>
      </c>
      <c r="L28" s="295" t="s">
        <v>32</v>
      </c>
      <c r="M28" s="355">
        <v>0</v>
      </c>
      <c r="N28" s="314">
        <f t="shared" si="0"/>
        <v>0</v>
      </c>
      <c r="O28" s="314">
        <f t="shared" si="1"/>
        <v>0</v>
      </c>
    </row>
    <row r="29" spans="1:15" ht="12.75" customHeight="1" x14ac:dyDescent="0.2">
      <c r="A29" s="716"/>
      <c r="B29" s="294">
        <v>53205020100000</v>
      </c>
      <c r="C29" s="354" t="s">
        <v>25</v>
      </c>
      <c r="D29" s="374">
        <f t="shared" si="4"/>
        <v>1520000</v>
      </c>
      <c r="E29" s="374">
        <v>0</v>
      </c>
      <c r="F29" s="382">
        <v>0</v>
      </c>
      <c r="G29" s="374">
        <f t="shared" si="2"/>
        <v>0</v>
      </c>
      <c r="H29" s="376">
        <f t="shared" si="3"/>
        <v>1520000</v>
      </c>
      <c r="L29" s="315" t="s">
        <v>178</v>
      </c>
      <c r="M29" s="355">
        <v>1650000</v>
      </c>
      <c r="N29" s="314">
        <f t="shared" si="0"/>
        <v>1320000</v>
      </c>
      <c r="O29" s="314">
        <f t="shared" si="1"/>
        <v>330000</v>
      </c>
    </row>
    <row r="30" spans="1:15" ht="12.75" customHeight="1" x14ac:dyDescent="0.2">
      <c r="A30" s="716"/>
      <c r="B30" s="294">
        <v>53205030100000</v>
      </c>
      <c r="C30" s="354" t="s">
        <v>26</v>
      </c>
      <c r="D30" s="374">
        <f t="shared" si="4"/>
        <v>1586400</v>
      </c>
      <c r="E30" s="374">
        <v>0</v>
      </c>
      <c r="F30" s="382">
        <v>0</v>
      </c>
      <c r="G30" s="374">
        <f t="shared" si="2"/>
        <v>0</v>
      </c>
      <c r="H30" s="376">
        <f t="shared" si="3"/>
        <v>1586400</v>
      </c>
      <c r="L30" s="295" t="s">
        <v>179</v>
      </c>
      <c r="M30" s="356">
        <v>80000</v>
      </c>
      <c r="N30" s="314">
        <f t="shared" si="0"/>
        <v>64000</v>
      </c>
      <c r="O30" s="314">
        <f t="shared" si="1"/>
        <v>16000</v>
      </c>
    </row>
    <row r="31" spans="1:15" ht="12.75" customHeight="1" x14ac:dyDescent="0.2">
      <c r="A31" s="716"/>
      <c r="B31" s="294">
        <v>53205050100000</v>
      </c>
      <c r="C31" s="354" t="s">
        <v>27</v>
      </c>
      <c r="D31" s="374">
        <f t="shared" si="4"/>
        <v>0</v>
      </c>
      <c r="E31" s="374">
        <v>0</v>
      </c>
      <c r="F31" s="382">
        <v>0</v>
      </c>
      <c r="G31" s="374">
        <f t="shared" si="2"/>
        <v>0</v>
      </c>
      <c r="H31" s="376">
        <f t="shared" si="3"/>
        <v>0</v>
      </c>
      <c r="L31" s="357" t="s">
        <v>34</v>
      </c>
      <c r="M31" s="358">
        <v>0</v>
      </c>
      <c r="N31" s="359"/>
      <c r="O31" s="359"/>
    </row>
    <row r="32" spans="1:15" ht="12.75" customHeight="1" x14ac:dyDescent="0.2">
      <c r="A32" s="716"/>
      <c r="B32" s="294">
        <v>53205070100000</v>
      </c>
      <c r="C32" s="354" t="s">
        <v>29</v>
      </c>
      <c r="D32" s="374">
        <f t="shared" si="4"/>
        <v>0</v>
      </c>
      <c r="E32" s="374">
        <v>0</v>
      </c>
      <c r="F32" s="382">
        <v>0</v>
      </c>
      <c r="G32" s="374">
        <f t="shared" si="2"/>
        <v>0</v>
      </c>
      <c r="H32" s="376">
        <f t="shared" si="3"/>
        <v>0</v>
      </c>
      <c r="L32" s="360" t="s">
        <v>35</v>
      </c>
      <c r="M32" s="361"/>
      <c r="N32" s="362"/>
      <c r="O32" s="362"/>
    </row>
    <row r="33" spans="1:15" ht="12.75" customHeight="1" x14ac:dyDescent="0.2">
      <c r="A33" s="716"/>
      <c r="B33" s="294">
        <v>53208010100000</v>
      </c>
      <c r="C33" s="354" t="s">
        <v>30</v>
      </c>
      <c r="D33" s="374">
        <f t="shared" si="4"/>
        <v>0</v>
      </c>
      <c r="E33" s="374">
        <v>0</v>
      </c>
      <c r="F33" s="382">
        <v>0</v>
      </c>
      <c r="G33" s="374">
        <f t="shared" si="2"/>
        <v>0</v>
      </c>
      <c r="H33" s="376">
        <f t="shared" si="3"/>
        <v>0</v>
      </c>
      <c r="L33" s="295" t="s">
        <v>41</v>
      </c>
      <c r="M33" s="355">
        <v>100000</v>
      </c>
      <c r="N33" s="314">
        <f t="shared" si="0"/>
        <v>80000</v>
      </c>
      <c r="O33" s="314">
        <f t="shared" si="1"/>
        <v>20000</v>
      </c>
    </row>
    <row r="34" spans="1:15" ht="12.75" customHeight="1" x14ac:dyDescent="0.2">
      <c r="A34" s="716"/>
      <c r="B34" s="294">
        <v>53208070100001</v>
      </c>
      <c r="C34" s="354" t="s">
        <v>31</v>
      </c>
      <c r="D34" s="374">
        <f t="shared" si="4"/>
        <v>0</v>
      </c>
      <c r="E34" s="374">
        <v>0</v>
      </c>
      <c r="F34" s="382">
        <v>0</v>
      </c>
      <c r="G34" s="374">
        <f t="shared" si="2"/>
        <v>0</v>
      </c>
      <c r="H34" s="376">
        <f t="shared" si="3"/>
        <v>0</v>
      </c>
      <c r="L34" s="315" t="s">
        <v>182</v>
      </c>
      <c r="M34" s="355">
        <v>100000</v>
      </c>
      <c r="N34" s="314">
        <f t="shared" si="0"/>
        <v>80000</v>
      </c>
      <c r="O34" s="314">
        <f t="shared" si="1"/>
        <v>20000</v>
      </c>
    </row>
    <row r="35" spans="1:15" ht="12.75" customHeight="1" x14ac:dyDescent="0.2">
      <c r="A35" s="716"/>
      <c r="B35" s="294">
        <v>53208100100001</v>
      </c>
      <c r="C35" s="354" t="s">
        <v>177</v>
      </c>
      <c r="D35" s="374">
        <f t="shared" si="4"/>
        <v>0</v>
      </c>
      <c r="E35" s="374">
        <v>0</v>
      </c>
      <c r="F35" s="382">
        <v>0</v>
      </c>
      <c r="G35" s="374">
        <f t="shared" si="2"/>
        <v>0</v>
      </c>
      <c r="H35" s="376">
        <f t="shared" si="3"/>
        <v>0</v>
      </c>
      <c r="L35" s="360" t="s">
        <v>42</v>
      </c>
      <c r="M35" s="361"/>
      <c r="N35" s="362"/>
      <c r="O35" s="362"/>
    </row>
    <row r="36" spans="1:15" ht="12.75" customHeight="1" x14ac:dyDescent="0.2">
      <c r="A36" s="716"/>
      <c r="B36" s="294">
        <v>53211030000000</v>
      </c>
      <c r="C36" s="354" t="s">
        <v>32</v>
      </c>
      <c r="D36" s="374">
        <f t="shared" si="4"/>
        <v>0</v>
      </c>
      <c r="E36" s="374">
        <v>0</v>
      </c>
      <c r="F36" s="382">
        <v>0</v>
      </c>
      <c r="G36" s="374">
        <f t="shared" si="2"/>
        <v>0</v>
      </c>
      <c r="H36" s="376">
        <f t="shared" si="3"/>
        <v>0</v>
      </c>
      <c r="L36" s="295" t="s">
        <v>44</v>
      </c>
      <c r="M36" s="355">
        <v>0</v>
      </c>
      <c r="N36" s="314">
        <f t="shared" si="0"/>
        <v>0</v>
      </c>
      <c r="O36" s="314">
        <f t="shared" si="1"/>
        <v>0</v>
      </c>
    </row>
    <row r="37" spans="1:15" ht="12.75" customHeight="1" x14ac:dyDescent="0.2">
      <c r="A37" s="716"/>
      <c r="B37" s="294">
        <v>53212020100000</v>
      </c>
      <c r="C37" s="354" t="s">
        <v>178</v>
      </c>
      <c r="D37" s="374">
        <f t="shared" si="4"/>
        <v>1320000</v>
      </c>
      <c r="E37" s="374">
        <v>0</v>
      </c>
      <c r="F37" s="382">
        <v>0</v>
      </c>
      <c r="G37" s="374">
        <f t="shared" si="2"/>
        <v>0</v>
      </c>
      <c r="H37" s="376">
        <f t="shared" si="3"/>
        <v>1320000</v>
      </c>
      <c r="L37" s="360" t="s">
        <v>45</v>
      </c>
      <c r="M37" s="363"/>
      <c r="N37" s="364"/>
      <c r="O37" s="364"/>
    </row>
    <row r="38" spans="1:15" ht="12.75" customHeight="1" x14ac:dyDescent="0.2">
      <c r="A38" s="716"/>
      <c r="B38" s="294">
        <v>53214020000000</v>
      </c>
      <c r="C38" s="354" t="s">
        <v>179</v>
      </c>
      <c r="D38" s="374">
        <f t="shared" si="4"/>
        <v>64000</v>
      </c>
      <c r="E38" s="374">
        <v>0</v>
      </c>
      <c r="F38" s="382">
        <v>0</v>
      </c>
      <c r="G38" s="374">
        <f t="shared" si="2"/>
        <v>0</v>
      </c>
      <c r="H38" s="376">
        <f t="shared" si="3"/>
        <v>64000</v>
      </c>
      <c r="L38" s="295" t="s">
        <v>47</v>
      </c>
      <c r="M38" s="355">
        <v>0</v>
      </c>
      <c r="N38" s="314">
        <f t="shared" si="0"/>
        <v>0</v>
      </c>
      <c r="O38" s="314">
        <f t="shared" si="1"/>
        <v>0</v>
      </c>
    </row>
    <row r="39" spans="1:15" ht="15.75" customHeight="1" x14ac:dyDescent="0.2">
      <c r="A39" s="716"/>
      <c r="B39" s="308"/>
      <c r="C39" s="357" t="s">
        <v>34</v>
      </c>
      <c r="D39" s="297">
        <f>+D40+D45+D47+D56+D65+D73</f>
        <v>8633190.4000000004</v>
      </c>
      <c r="E39" s="383"/>
      <c r="F39" s="383"/>
      <c r="G39" s="297">
        <f>+G40+G45+G47+G56+G65+G73</f>
        <v>2208600</v>
      </c>
      <c r="H39" s="297">
        <f>+H40+H45+H47+H56+H65+H73</f>
        <v>10841790.4</v>
      </c>
      <c r="L39" s="295" t="s">
        <v>210</v>
      </c>
      <c r="M39" s="355">
        <v>100000</v>
      </c>
      <c r="N39" s="314">
        <f t="shared" si="0"/>
        <v>80000</v>
      </c>
      <c r="O39" s="314">
        <f t="shared" si="1"/>
        <v>20000</v>
      </c>
    </row>
    <row r="40" spans="1:15" ht="12.75" customHeight="1" x14ac:dyDescent="0.2">
      <c r="A40" s="716"/>
      <c r="B40" s="292"/>
      <c r="C40" s="360" t="s">
        <v>35</v>
      </c>
      <c r="D40" s="370">
        <f>SUM(D41:D44)</f>
        <v>160000</v>
      </c>
      <c r="E40" s="371"/>
      <c r="F40" s="371"/>
      <c r="G40" s="370">
        <f>SUM(G41:G44)</f>
        <v>330000</v>
      </c>
      <c r="H40" s="370">
        <f>SUM(H41:H44)</f>
        <v>490000</v>
      </c>
      <c r="L40" s="295" t="s">
        <v>49</v>
      </c>
      <c r="M40" s="355">
        <v>0</v>
      </c>
      <c r="N40" s="314">
        <f t="shared" si="0"/>
        <v>0</v>
      </c>
      <c r="O40" s="314">
        <f t="shared" si="1"/>
        <v>0</v>
      </c>
    </row>
    <row r="41" spans="1:15" ht="12.75" customHeight="1" x14ac:dyDescent="0.2">
      <c r="A41" s="716"/>
      <c r="B41" s="294">
        <v>53202020100000</v>
      </c>
      <c r="C41" s="354" t="s">
        <v>180</v>
      </c>
      <c r="D41" s="377"/>
      <c r="E41" s="378">
        <v>30000</v>
      </c>
      <c r="F41" s="467">
        <v>10</v>
      </c>
      <c r="G41" s="374">
        <f>E41*F41</f>
        <v>300000</v>
      </c>
      <c r="H41" s="376">
        <f t="shared" ref="H41:H74" si="5">D41+G41</f>
        <v>300000</v>
      </c>
      <c r="L41" s="295" t="s">
        <v>50</v>
      </c>
      <c r="M41" s="355">
        <v>4000000</v>
      </c>
      <c r="N41" s="314">
        <f t="shared" si="0"/>
        <v>3200000</v>
      </c>
      <c r="O41" s="314">
        <f t="shared" si="1"/>
        <v>800000</v>
      </c>
    </row>
    <row r="42" spans="1:15" ht="12.75" customHeight="1" x14ac:dyDescent="0.2">
      <c r="A42" s="716"/>
      <c r="B42" s="294">
        <v>53202030000000</v>
      </c>
      <c r="C42" s="354" t="s">
        <v>181</v>
      </c>
      <c r="D42" s="377"/>
      <c r="E42" s="378">
        <v>30000</v>
      </c>
      <c r="F42" s="467">
        <v>1</v>
      </c>
      <c r="G42" s="374">
        <f t="shared" ref="G42:G74" si="6">E42*F42</f>
        <v>30000</v>
      </c>
      <c r="H42" s="376">
        <f t="shared" si="5"/>
        <v>30000</v>
      </c>
      <c r="L42" s="295" t="s">
        <v>51</v>
      </c>
      <c r="M42" s="355">
        <v>300000</v>
      </c>
      <c r="N42" s="314">
        <f t="shared" si="0"/>
        <v>240000</v>
      </c>
      <c r="O42" s="314">
        <f t="shared" si="1"/>
        <v>60000</v>
      </c>
    </row>
    <row r="43" spans="1:15" ht="12.75" customHeight="1" x14ac:dyDescent="0.2">
      <c r="A43" s="716"/>
      <c r="B43" s="294">
        <v>53211020000000</v>
      </c>
      <c r="C43" s="354" t="s">
        <v>41</v>
      </c>
      <c r="D43" s="384">
        <f>N33</f>
        <v>80000</v>
      </c>
      <c r="E43" s="384">
        <v>0</v>
      </c>
      <c r="F43" s="385">
        <v>0</v>
      </c>
      <c r="G43" s="374">
        <f t="shared" si="6"/>
        <v>0</v>
      </c>
      <c r="H43" s="376">
        <f t="shared" si="5"/>
        <v>80000</v>
      </c>
      <c r="L43" s="295" t="s">
        <v>52</v>
      </c>
      <c r="M43" s="356">
        <v>4000000</v>
      </c>
      <c r="N43" s="314">
        <f t="shared" si="0"/>
        <v>3200000</v>
      </c>
      <c r="O43" s="314">
        <f t="shared" si="1"/>
        <v>800000</v>
      </c>
    </row>
    <row r="44" spans="1:15" ht="12.75" customHeight="1" x14ac:dyDescent="0.2">
      <c r="A44" s="716"/>
      <c r="B44" s="294">
        <v>53101040600000</v>
      </c>
      <c r="C44" s="354" t="s">
        <v>182</v>
      </c>
      <c r="D44" s="384">
        <f>N34</f>
        <v>80000</v>
      </c>
      <c r="E44" s="384">
        <v>0</v>
      </c>
      <c r="F44" s="385">
        <v>0</v>
      </c>
      <c r="G44" s="374">
        <f t="shared" si="6"/>
        <v>0</v>
      </c>
      <c r="H44" s="376">
        <f t="shared" si="5"/>
        <v>80000</v>
      </c>
      <c r="L44" s="315" t="s">
        <v>183</v>
      </c>
      <c r="M44" s="356">
        <v>200000</v>
      </c>
      <c r="N44" s="314">
        <f t="shared" si="0"/>
        <v>160000</v>
      </c>
      <c r="O44" s="314">
        <f t="shared" si="1"/>
        <v>40000</v>
      </c>
    </row>
    <row r="45" spans="1:15" ht="12.75" customHeight="1" x14ac:dyDescent="0.2">
      <c r="A45" s="716"/>
      <c r="B45" s="292"/>
      <c r="C45" s="360" t="s">
        <v>42</v>
      </c>
      <c r="D45" s="370">
        <f>SUM(D46:D46)</f>
        <v>0</v>
      </c>
      <c r="E45" s="371"/>
      <c r="F45" s="371"/>
      <c r="G45" s="386">
        <f>SUM(G46:G46)</f>
        <v>0</v>
      </c>
      <c r="H45" s="387">
        <f>SUM(H46:H46)</f>
        <v>0</v>
      </c>
      <c r="L45" s="295" t="s">
        <v>175</v>
      </c>
      <c r="M45" s="355">
        <v>300000</v>
      </c>
      <c r="N45" s="314">
        <f t="shared" si="0"/>
        <v>240000</v>
      </c>
      <c r="O45" s="314">
        <f t="shared" si="1"/>
        <v>60000</v>
      </c>
    </row>
    <row r="46" spans="1:15" ht="12.75" customHeight="1" x14ac:dyDescent="0.2">
      <c r="A46" s="716"/>
      <c r="B46" s="298">
        <v>53205990000000</v>
      </c>
      <c r="C46" s="354" t="s">
        <v>44</v>
      </c>
      <c r="D46" s="384">
        <f>N36</f>
        <v>0</v>
      </c>
      <c r="E46" s="384">
        <v>0</v>
      </c>
      <c r="F46" s="385">
        <v>0</v>
      </c>
      <c r="G46" s="374">
        <f t="shared" si="6"/>
        <v>0</v>
      </c>
      <c r="H46" s="376">
        <f t="shared" si="5"/>
        <v>0</v>
      </c>
      <c r="L46" s="360" t="s">
        <v>55</v>
      </c>
      <c r="M46" s="363"/>
      <c r="N46" s="364"/>
      <c r="O46" s="364"/>
    </row>
    <row r="47" spans="1:15" ht="12.75" customHeight="1" x14ac:dyDescent="0.2">
      <c r="A47" s="716"/>
      <c r="B47" s="292"/>
      <c r="C47" s="360" t="s">
        <v>45</v>
      </c>
      <c r="D47" s="370">
        <f>SUM(D48:D55)</f>
        <v>7120000</v>
      </c>
      <c r="E47" s="371"/>
      <c r="F47" s="371"/>
      <c r="G47" s="370">
        <f>SUM(G48:G55)</f>
        <v>0</v>
      </c>
      <c r="H47" s="293">
        <f>SUM(H48:H55)</f>
        <v>7120000</v>
      </c>
      <c r="L47" s="295" t="s">
        <v>56</v>
      </c>
      <c r="M47" s="355">
        <v>0</v>
      </c>
      <c r="N47" s="314">
        <f t="shared" si="0"/>
        <v>0</v>
      </c>
      <c r="O47" s="314">
        <f t="shared" si="1"/>
        <v>0</v>
      </c>
    </row>
    <row r="48" spans="1:15" ht="12.75" customHeight="1" x14ac:dyDescent="0.2">
      <c r="A48" s="716"/>
      <c r="B48" s="294">
        <v>53204010000000</v>
      </c>
      <c r="C48" s="354" t="s">
        <v>47</v>
      </c>
      <c r="D48" s="384">
        <f t="shared" ref="D48:D55" si="7">N38</f>
        <v>0</v>
      </c>
      <c r="E48" s="384">
        <v>0</v>
      </c>
      <c r="F48" s="385">
        <v>0</v>
      </c>
      <c r="G48" s="384">
        <f t="shared" si="6"/>
        <v>0</v>
      </c>
      <c r="H48" s="376">
        <f t="shared" si="5"/>
        <v>0</v>
      </c>
      <c r="L48" s="295" t="s">
        <v>57</v>
      </c>
      <c r="M48" s="355">
        <v>0</v>
      </c>
      <c r="N48" s="314">
        <f t="shared" si="0"/>
        <v>0</v>
      </c>
      <c r="O48" s="314">
        <f t="shared" si="1"/>
        <v>0</v>
      </c>
    </row>
    <row r="49" spans="1:15" ht="12.75" customHeight="1" x14ac:dyDescent="0.2">
      <c r="A49" s="716"/>
      <c r="B49" s="298">
        <v>53204040200000</v>
      </c>
      <c r="C49" s="354" t="s">
        <v>210</v>
      </c>
      <c r="D49" s="384">
        <f t="shared" si="7"/>
        <v>80000</v>
      </c>
      <c r="E49" s="384">
        <v>0</v>
      </c>
      <c r="F49" s="385">
        <v>0</v>
      </c>
      <c r="G49" s="384">
        <f t="shared" si="6"/>
        <v>0</v>
      </c>
      <c r="H49" s="376">
        <f t="shared" si="5"/>
        <v>80000</v>
      </c>
      <c r="L49" s="295" t="s">
        <v>166</v>
      </c>
      <c r="M49" s="355">
        <v>0</v>
      </c>
      <c r="N49" s="314">
        <f t="shared" si="0"/>
        <v>0</v>
      </c>
      <c r="O49" s="314">
        <f t="shared" si="1"/>
        <v>0</v>
      </c>
    </row>
    <row r="50" spans="1:15" ht="12.75" customHeight="1" x14ac:dyDescent="0.2">
      <c r="A50" s="716"/>
      <c r="B50" s="294">
        <v>53204060000000</v>
      </c>
      <c r="C50" s="354" t="s">
        <v>49</v>
      </c>
      <c r="D50" s="384">
        <f t="shared" si="7"/>
        <v>0</v>
      </c>
      <c r="E50" s="384">
        <v>0</v>
      </c>
      <c r="F50" s="385">
        <v>0</v>
      </c>
      <c r="G50" s="384">
        <f t="shared" si="6"/>
        <v>0</v>
      </c>
      <c r="H50" s="376">
        <f t="shared" si="5"/>
        <v>0</v>
      </c>
      <c r="L50" s="295" t="s">
        <v>184</v>
      </c>
      <c r="M50" s="355">
        <v>1291488</v>
      </c>
      <c r="N50" s="314">
        <f t="shared" si="0"/>
        <v>1033190.4</v>
      </c>
      <c r="O50" s="314">
        <f t="shared" si="1"/>
        <v>258297.60000000001</v>
      </c>
    </row>
    <row r="51" spans="1:15" ht="12.75" customHeight="1" x14ac:dyDescent="0.2">
      <c r="A51" s="716"/>
      <c r="B51" s="294">
        <v>53204070000000</v>
      </c>
      <c r="C51" s="354" t="s">
        <v>50</v>
      </c>
      <c r="D51" s="384">
        <f t="shared" si="7"/>
        <v>3200000</v>
      </c>
      <c r="E51" s="384">
        <v>0</v>
      </c>
      <c r="F51" s="385">
        <v>0</v>
      </c>
      <c r="G51" s="384">
        <f t="shared" si="6"/>
        <v>0</v>
      </c>
      <c r="H51" s="376">
        <f t="shared" si="5"/>
        <v>3200000</v>
      </c>
      <c r="L51" s="295" t="s">
        <v>187</v>
      </c>
      <c r="M51" s="355">
        <v>0</v>
      </c>
      <c r="N51" s="314">
        <f t="shared" si="0"/>
        <v>0</v>
      </c>
      <c r="O51" s="314">
        <f t="shared" si="1"/>
        <v>0</v>
      </c>
    </row>
    <row r="52" spans="1:15" ht="12.75" customHeight="1" x14ac:dyDescent="0.2">
      <c r="A52" s="716"/>
      <c r="B52" s="294">
        <v>53204080000000</v>
      </c>
      <c r="C52" s="354" t="s">
        <v>51</v>
      </c>
      <c r="D52" s="384">
        <f t="shared" si="7"/>
        <v>240000</v>
      </c>
      <c r="E52" s="384">
        <v>0</v>
      </c>
      <c r="F52" s="385">
        <v>0</v>
      </c>
      <c r="G52" s="384">
        <f t="shared" si="6"/>
        <v>0</v>
      </c>
      <c r="H52" s="376">
        <f t="shared" si="5"/>
        <v>240000</v>
      </c>
      <c r="L52" s="295" t="s">
        <v>185</v>
      </c>
      <c r="M52" s="355">
        <v>150000</v>
      </c>
      <c r="N52" s="314">
        <f t="shared" si="0"/>
        <v>120000</v>
      </c>
      <c r="O52" s="314">
        <f t="shared" si="1"/>
        <v>30000</v>
      </c>
    </row>
    <row r="53" spans="1:15" ht="12.75" customHeight="1" x14ac:dyDescent="0.2">
      <c r="A53" s="716"/>
      <c r="B53" s="294">
        <v>53214010000000</v>
      </c>
      <c r="C53" s="354" t="s">
        <v>52</v>
      </c>
      <c r="D53" s="388">
        <f t="shared" si="7"/>
        <v>3200000</v>
      </c>
      <c r="E53" s="388">
        <v>0</v>
      </c>
      <c r="F53" s="385">
        <v>0</v>
      </c>
      <c r="G53" s="384">
        <f t="shared" si="6"/>
        <v>0</v>
      </c>
      <c r="H53" s="376">
        <f t="shared" si="5"/>
        <v>3200000</v>
      </c>
      <c r="L53" s="295" t="s">
        <v>64</v>
      </c>
      <c r="M53" s="355"/>
      <c r="N53" s="314">
        <f t="shared" si="0"/>
        <v>0</v>
      </c>
      <c r="O53" s="314">
        <f t="shared" si="1"/>
        <v>0</v>
      </c>
    </row>
    <row r="54" spans="1:15" ht="12.75" customHeight="1" x14ac:dyDescent="0.2">
      <c r="A54" s="716"/>
      <c r="B54" s="294">
        <v>53214040000000</v>
      </c>
      <c r="C54" s="354" t="s">
        <v>183</v>
      </c>
      <c r="D54" s="388">
        <f t="shared" si="7"/>
        <v>160000</v>
      </c>
      <c r="E54" s="388">
        <v>0</v>
      </c>
      <c r="F54" s="385">
        <v>0</v>
      </c>
      <c r="G54" s="384">
        <f t="shared" si="6"/>
        <v>0</v>
      </c>
      <c r="H54" s="376">
        <f t="shared" si="5"/>
        <v>160000</v>
      </c>
      <c r="L54" s="360" t="s">
        <v>65</v>
      </c>
      <c r="M54" s="365"/>
      <c r="N54" s="364"/>
      <c r="O54" s="364"/>
    </row>
    <row r="55" spans="1:15" ht="12.75" customHeight="1" x14ac:dyDescent="0.2">
      <c r="A55" s="716"/>
      <c r="B55" s="313">
        <v>53204020100000</v>
      </c>
      <c r="C55" s="354" t="s">
        <v>175</v>
      </c>
      <c r="D55" s="384">
        <f t="shared" si="7"/>
        <v>240000</v>
      </c>
      <c r="E55" s="384">
        <v>0</v>
      </c>
      <c r="F55" s="385">
        <v>0</v>
      </c>
      <c r="G55" s="384">
        <f t="shared" si="6"/>
        <v>0</v>
      </c>
      <c r="H55" s="376">
        <f t="shared" si="5"/>
        <v>240000</v>
      </c>
      <c r="L55" s="295" t="s">
        <v>98</v>
      </c>
      <c r="M55" s="355">
        <v>0</v>
      </c>
      <c r="N55" s="314">
        <f t="shared" si="0"/>
        <v>0</v>
      </c>
      <c r="O55" s="314">
        <f t="shared" si="1"/>
        <v>0</v>
      </c>
    </row>
    <row r="56" spans="1:15" ht="12.75" customHeight="1" x14ac:dyDescent="0.2">
      <c r="A56" s="716"/>
      <c r="B56" s="292"/>
      <c r="C56" s="360" t="s">
        <v>55</v>
      </c>
      <c r="D56" s="370">
        <f>SUM(D57:D64)</f>
        <v>1153190.3999999999</v>
      </c>
      <c r="E56" s="371"/>
      <c r="F56" s="371"/>
      <c r="G56" s="370">
        <f>SUM(G57:G64)</f>
        <v>514600</v>
      </c>
      <c r="H56" s="293">
        <f>SUM(H57:H64)</f>
        <v>1667790.4</v>
      </c>
      <c r="L56" s="295" t="s">
        <v>99</v>
      </c>
      <c r="M56" s="355">
        <v>0</v>
      </c>
      <c r="N56" s="314">
        <f t="shared" si="0"/>
        <v>0</v>
      </c>
      <c r="O56" s="314">
        <f t="shared" si="1"/>
        <v>0</v>
      </c>
    </row>
    <row r="57" spans="1:15" ht="12.75" customHeight="1" x14ac:dyDescent="0.2">
      <c r="A57" s="716"/>
      <c r="B57" s="294">
        <v>53207010000000</v>
      </c>
      <c r="C57" s="354" t="s">
        <v>56</v>
      </c>
      <c r="D57" s="384">
        <f>N47</f>
        <v>0</v>
      </c>
      <c r="E57" s="384">
        <v>0</v>
      </c>
      <c r="F57" s="385">
        <v>0</v>
      </c>
      <c r="G57" s="384">
        <f t="shared" si="6"/>
        <v>0</v>
      </c>
      <c r="H57" s="376">
        <f t="shared" si="5"/>
        <v>0</v>
      </c>
      <c r="L57" s="295" t="s">
        <v>188</v>
      </c>
      <c r="M57" s="355">
        <v>250000</v>
      </c>
      <c r="N57" s="314">
        <f t="shared" si="0"/>
        <v>200000</v>
      </c>
      <c r="O57" s="314">
        <f t="shared" si="1"/>
        <v>50000</v>
      </c>
    </row>
    <row r="58" spans="1:15" ht="12.75" customHeight="1" x14ac:dyDescent="0.2">
      <c r="A58" s="716"/>
      <c r="B58" s="294">
        <v>53207020000000</v>
      </c>
      <c r="C58" s="354" t="s">
        <v>57</v>
      </c>
      <c r="D58" s="384">
        <f>N48</f>
        <v>0</v>
      </c>
      <c r="E58" s="384">
        <v>0</v>
      </c>
      <c r="F58" s="385">
        <v>0</v>
      </c>
      <c r="G58" s="384">
        <f t="shared" si="6"/>
        <v>0</v>
      </c>
      <c r="H58" s="376">
        <f t="shared" si="5"/>
        <v>0</v>
      </c>
      <c r="L58" s="295" t="s">
        <v>101</v>
      </c>
      <c r="M58" s="355">
        <v>0</v>
      </c>
      <c r="N58" s="314">
        <f t="shared" si="0"/>
        <v>0</v>
      </c>
      <c r="O58" s="314">
        <f t="shared" si="1"/>
        <v>0</v>
      </c>
    </row>
    <row r="59" spans="1:15" ht="12.75" customHeight="1" x14ac:dyDescent="0.2">
      <c r="A59" s="716"/>
      <c r="B59" s="294">
        <v>53208020000000</v>
      </c>
      <c r="C59" s="354" t="s">
        <v>166</v>
      </c>
      <c r="D59" s="384">
        <f>N49</f>
        <v>0</v>
      </c>
      <c r="E59" s="384">
        <v>0</v>
      </c>
      <c r="F59" s="385">
        <v>0</v>
      </c>
      <c r="G59" s="384">
        <f t="shared" si="6"/>
        <v>0</v>
      </c>
      <c r="H59" s="376">
        <f t="shared" si="5"/>
        <v>0</v>
      </c>
      <c r="L59" s="315" t="s">
        <v>189</v>
      </c>
      <c r="M59" s="355">
        <v>0</v>
      </c>
      <c r="N59" s="314">
        <f t="shared" si="0"/>
        <v>0</v>
      </c>
      <c r="O59" s="314">
        <f t="shared" si="1"/>
        <v>0</v>
      </c>
    </row>
    <row r="60" spans="1:15" ht="12.75" customHeight="1" x14ac:dyDescent="0.2">
      <c r="A60" s="716"/>
      <c r="B60" s="294">
        <v>53208990000000</v>
      </c>
      <c r="C60" s="354" t="s">
        <v>184</v>
      </c>
      <c r="D60" s="384">
        <f>N50</f>
        <v>1033190.4</v>
      </c>
      <c r="E60" s="384">
        <v>0</v>
      </c>
      <c r="F60" s="385">
        <v>0</v>
      </c>
      <c r="G60" s="384">
        <f t="shared" si="6"/>
        <v>0</v>
      </c>
      <c r="H60" s="376">
        <f t="shared" si="5"/>
        <v>1033190.4</v>
      </c>
      <c r="L60" s="295" t="s">
        <v>103</v>
      </c>
      <c r="M60" s="355">
        <v>0</v>
      </c>
      <c r="N60" s="314">
        <f t="shared" si="0"/>
        <v>0</v>
      </c>
      <c r="O60" s="314">
        <f t="shared" si="1"/>
        <v>0</v>
      </c>
    </row>
    <row r="61" spans="1:15" ht="12.75" customHeight="1" x14ac:dyDescent="0.2">
      <c r="A61" s="716"/>
      <c r="B61" s="313">
        <v>53210020300000</v>
      </c>
      <c r="C61" s="354" t="s">
        <v>186</v>
      </c>
      <c r="D61" s="634">
        <v>0</v>
      </c>
      <c r="E61" s="637">
        <v>8300</v>
      </c>
      <c r="F61" s="638">
        <f>+'B) Reajuste Tarifas y Ocupación'!I25</f>
        <v>62</v>
      </c>
      <c r="G61" s="374">
        <f t="shared" si="6"/>
        <v>514600</v>
      </c>
      <c r="H61" s="376">
        <f t="shared" si="5"/>
        <v>514600</v>
      </c>
      <c r="L61" s="295" t="s">
        <v>211</v>
      </c>
      <c r="M61" s="355">
        <v>0</v>
      </c>
      <c r="N61" s="314">
        <f t="shared" si="0"/>
        <v>0</v>
      </c>
      <c r="O61" s="314">
        <f t="shared" si="1"/>
        <v>0</v>
      </c>
    </row>
    <row r="62" spans="1:15" ht="12.75" customHeight="1" x14ac:dyDescent="0.2">
      <c r="A62" s="716"/>
      <c r="B62" s="294">
        <v>53208990000000</v>
      </c>
      <c r="C62" s="354" t="s">
        <v>187</v>
      </c>
      <c r="D62" s="374">
        <f>N51</f>
        <v>0</v>
      </c>
      <c r="E62" s="374">
        <v>0</v>
      </c>
      <c r="F62" s="382">
        <v>0</v>
      </c>
      <c r="G62" s="374">
        <f t="shared" si="6"/>
        <v>0</v>
      </c>
      <c r="H62" s="376">
        <f t="shared" si="5"/>
        <v>0</v>
      </c>
    </row>
    <row r="63" spans="1:15" ht="12.75" customHeight="1" x14ac:dyDescent="0.2">
      <c r="A63" s="716"/>
      <c r="B63" s="294">
        <v>53209990000000</v>
      </c>
      <c r="C63" s="354" t="s">
        <v>185</v>
      </c>
      <c r="D63" s="374">
        <f>N52</f>
        <v>120000</v>
      </c>
      <c r="E63" s="374">
        <v>0</v>
      </c>
      <c r="F63" s="382">
        <v>0</v>
      </c>
      <c r="G63" s="374">
        <f t="shared" si="6"/>
        <v>0</v>
      </c>
      <c r="H63" s="376">
        <f t="shared" si="5"/>
        <v>120000</v>
      </c>
    </row>
    <row r="64" spans="1:15" ht="12.75" customHeight="1" x14ac:dyDescent="0.2">
      <c r="A64" s="716"/>
      <c r="B64" s="294">
        <v>53210020100000</v>
      </c>
      <c r="C64" s="354" t="s">
        <v>64</v>
      </c>
      <c r="D64" s="639">
        <f>+N53</f>
        <v>0</v>
      </c>
      <c r="E64" s="374">
        <v>0</v>
      </c>
      <c r="F64" s="382">
        <v>0</v>
      </c>
      <c r="G64" s="374">
        <f t="shared" si="6"/>
        <v>0</v>
      </c>
      <c r="H64" s="376">
        <f t="shared" si="5"/>
        <v>0</v>
      </c>
    </row>
    <row r="65" spans="1:10" ht="12.75" customHeight="1" x14ac:dyDescent="0.2">
      <c r="A65" s="716"/>
      <c r="B65" s="292"/>
      <c r="C65" s="360" t="s">
        <v>65</v>
      </c>
      <c r="D65" s="370">
        <f>SUM(D66:D72)</f>
        <v>200000</v>
      </c>
      <c r="E65" s="371"/>
      <c r="F65" s="371"/>
      <c r="G65" s="370">
        <f>SUM(G66:G72)</f>
        <v>0</v>
      </c>
      <c r="H65" s="293">
        <f>SUM(H66:H72)</f>
        <v>200000</v>
      </c>
    </row>
    <row r="66" spans="1:10" ht="12.75" customHeight="1" x14ac:dyDescent="0.2">
      <c r="A66" s="716"/>
      <c r="B66" s="294">
        <v>53206030000000</v>
      </c>
      <c r="C66" s="354" t="s">
        <v>98</v>
      </c>
      <c r="D66" s="384">
        <f t="shared" ref="D66:D72" si="8">N55</f>
        <v>0</v>
      </c>
      <c r="E66" s="384">
        <v>0</v>
      </c>
      <c r="F66" s="385">
        <v>0</v>
      </c>
      <c r="G66" s="374">
        <f t="shared" si="6"/>
        <v>0</v>
      </c>
      <c r="H66" s="376">
        <f t="shared" si="5"/>
        <v>0</v>
      </c>
    </row>
    <row r="67" spans="1:10" ht="12.75" customHeight="1" x14ac:dyDescent="0.2">
      <c r="A67" s="716"/>
      <c r="B67" s="294">
        <v>53206040000000</v>
      </c>
      <c r="C67" s="354" t="s">
        <v>99</v>
      </c>
      <c r="D67" s="384">
        <f t="shared" si="8"/>
        <v>0</v>
      </c>
      <c r="E67" s="384">
        <v>0</v>
      </c>
      <c r="F67" s="385">
        <v>0</v>
      </c>
      <c r="G67" s="374">
        <f t="shared" si="6"/>
        <v>0</v>
      </c>
      <c r="H67" s="376">
        <f t="shared" si="5"/>
        <v>0</v>
      </c>
    </row>
    <row r="68" spans="1:10" ht="12.75" customHeight="1" x14ac:dyDescent="0.2">
      <c r="A68" s="716"/>
      <c r="B68" s="294">
        <v>53206060000000</v>
      </c>
      <c r="C68" s="354" t="s">
        <v>188</v>
      </c>
      <c r="D68" s="384">
        <f t="shared" si="8"/>
        <v>200000</v>
      </c>
      <c r="E68" s="384">
        <v>0</v>
      </c>
      <c r="F68" s="385">
        <v>0</v>
      </c>
      <c r="G68" s="374">
        <f t="shared" si="6"/>
        <v>0</v>
      </c>
      <c r="H68" s="376">
        <f t="shared" si="5"/>
        <v>200000</v>
      </c>
    </row>
    <row r="69" spans="1:10" ht="12.75" customHeight="1" x14ac:dyDescent="0.2">
      <c r="A69" s="716"/>
      <c r="B69" s="294">
        <v>53206070000000</v>
      </c>
      <c r="C69" s="354" t="s">
        <v>101</v>
      </c>
      <c r="D69" s="384">
        <f t="shared" si="8"/>
        <v>0</v>
      </c>
      <c r="E69" s="384">
        <v>0</v>
      </c>
      <c r="F69" s="385">
        <v>0</v>
      </c>
      <c r="G69" s="374">
        <f t="shared" si="6"/>
        <v>0</v>
      </c>
      <c r="H69" s="376">
        <f t="shared" si="5"/>
        <v>0</v>
      </c>
    </row>
    <row r="70" spans="1:10" ht="12.75" customHeight="1" x14ac:dyDescent="0.2">
      <c r="A70" s="716"/>
      <c r="B70" s="294">
        <v>53206990000000</v>
      </c>
      <c r="C70" s="354" t="s">
        <v>189</v>
      </c>
      <c r="D70" s="384">
        <f t="shared" si="8"/>
        <v>0</v>
      </c>
      <c r="E70" s="384">
        <v>0</v>
      </c>
      <c r="F70" s="385">
        <v>0</v>
      </c>
      <c r="G70" s="374">
        <f t="shared" si="6"/>
        <v>0</v>
      </c>
      <c r="H70" s="376">
        <f t="shared" si="5"/>
        <v>0</v>
      </c>
    </row>
    <row r="71" spans="1:10" ht="12.75" customHeight="1" x14ac:dyDescent="0.2">
      <c r="A71" s="716"/>
      <c r="B71" s="294">
        <v>53208030000000</v>
      </c>
      <c r="C71" s="354" t="s">
        <v>103</v>
      </c>
      <c r="D71" s="384">
        <f t="shared" si="8"/>
        <v>0</v>
      </c>
      <c r="E71" s="384">
        <v>0</v>
      </c>
      <c r="F71" s="385">
        <v>0</v>
      </c>
      <c r="G71" s="374">
        <f t="shared" si="6"/>
        <v>0</v>
      </c>
      <c r="H71" s="376">
        <f t="shared" si="5"/>
        <v>0</v>
      </c>
    </row>
    <row r="72" spans="1:10" ht="12.75" customHeight="1" x14ac:dyDescent="0.2">
      <c r="A72" s="716"/>
      <c r="B72" s="294">
        <v>53206990000000</v>
      </c>
      <c r="C72" s="354" t="s">
        <v>211</v>
      </c>
      <c r="D72" s="384">
        <f t="shared" si="8"/>
        <v>0</v>
      </c>
      <c r="E72" s="384">
        <v>0</v>
      </c>
      <c r="F72" s="385">
        <v>0</v>
      </c>
      <c r="G72" s="374">
        <f t="shared" si="6"/>
        <v>0</v>
      </c>
      <c r="H72" s="376">
        <f>D72+G72</f>
        <v>0</v>
      </c>
    </row>
    <row r="73" spans="1:10" ht="12.75" customHeight="1" x14ac:dyDescent="0.2">
      <c r="A73" s="716"/>
      <c r="B73" s="292"/>
      <c r="C73" s="360" t="s">
        <v>66</v>
      </c>
      <c r="D73" s="370">
        <f>SUM(D74:D74)</f>
        <v>0</v>
      </c>
      <c r="E73" s="371"/>
      <c r="F73" s="371"/>
      <c r="G73" s="370">
        <f>SUM(G74:G74)</f>
        <v>1364000</v>
      </c>
      <c r="H73" s="293">
        <f>SUM(H74:H74)</f>
        <v>1364000</v>
      </c>
    </row>
    <row r="74" spans="1:10" ht="12.75" customHeight="1" x14ac:dyDescent="0.2">
      <c r="A74" s="716"/>
      <c r="B74" s="389"/>
      <c r="C74" s="390" t="s">
        <v>212</v>
      </c>
      <c r="D74" s="377"/>
      <c r="E74" s="377">
        <v>2000</v>
      </c>
      <c r="F74" s="467">
        <v>682</v>
      </c>
      <c r="G74" s="374">
        <f t="shared" si="6"/>
        <v>1364000</v>
      </c>
      <c r="H74" s="391">
        <f t="shared" si="5"/>
        <v>1364000</v>
      </c>
      <c r="I74" s="392" t="s">
        <v>213</v>
      </c>
      <c r="J74" s="393">
        <f>+H72+H71+H70+H69+H68+H67+H66+H64+H63+H62+H61+H60+H59+H58+H57+H55+H52+H51+H50+H49+H48+H46+H44+H43+H37+H36+H35+H33+H32+H31+H30+H29+H28+H27+H26+H25+H24+H23</f>
        <v>12062190.4</v>
      </c>
    </row>
    <row r="75" spans="1:10" ht="12.75" customHeight="1" collapsed="1" thickBot="1" x14ac:dyDescent="0.25">
      <c r="A75" s="717"/>
      <c r="B75" s="394"/>
      <c r="C75" s="395" t="s">
        <v>104</v>
      </c>
      <c r="D75" s="396">
        <f>SUM(D12,D39)</f>
        <v>56491625.619999997</v>
      </c>
      <c r="E75" s="397"/>
      <c r="F75" s="397"/>
      <c r="G75" s="396">
        <f>SUM(G12,G39)</f>
        <v>33575698</v>
      </c>
      <c r="H75" s="398">
        <f>SUM(H12,H39)</f>
        <v>90067323.620000005</v>
      </c>
      <c r="I75" s="399" t="s">
        <v>214</v>
      </c>
      <c r="J75" s="400">
        <f>+H75-J74</f>
        <v>78005133.219999999</v>
      </c>
    </row>
    <row r="76" spans="1:10" ht="15.75" customHeight="1" x14ac:dyDescent="0.2">
      <c r="A76" s="793" t="s">
        <v>223</v>
      </c>
      <c r="B76" s="308"/>
      <c r="C76" s="357" t="s">
        <v>11</v>
      </c>
      <c r="D76" s="366">
        <f>SUM(D77+D82)</f>
        <v>24146465.359999999</v>
      </c>
      <c r="E76" s="367"/>
      <c r="F76" s="367"/>
      <c r="G76" s="368">
        <f>SUM(G77,G82)</f>
        <v>4982593</v>
      </c>
      <c r="H76" s="369">
        <f>SUM(H77,H82)</f>
        <v>29129058.359999999</v>
      </c>
    </row>
    <row r="77" spans="1:10" ht="12.75" customHeight="1" x14ac:dyDescent="0.2">
      <c r="A77" s="716"/>
      <c r="B77" s="292"/>
      <c r="C77" s="360" t="s">
        <v>12</v>
      </c>
      <c r="D77" s="370">
        <f>SUM(D78:D81)</f>
        <v>22461865.359999999</v>
      </c>
      <c r="E77" s="371"/>
      <c r="F77" s="371"/>
      <c r="G77" s="372">
        <f>SUM(G78:G81)</f>
        <v>280000</v>
      </c>
      <c r="H77" s="293">
        <f>SUM(H78:H81)</f>
        <v>22741865.359999999</v>
      </c>
    </row>
    <row r="78" spans="1:10" ht="12.75" customHeight="1" x14ac:dyDescent="0.2">
      <c r="A78" s="716"/>
      <c r="B78" s="294">
        <v>53103040100000</v>
      </c>
      <c r="C78" s="354" t="s">
        <v>94</v>
      </c>
      <c r="D78" s="373">
        <f>+'F) Remuneraciones'!L23</f>
        <v>22461865.359999999</v>
      </c>
      <c r="E78" s="374">
        <v>0</v>
      </c>
      <c r="F78" s="375">
        <v>0</v>
      </c>
      <c r="G78" s="374">
        <f>E78*F78</f>
        <v>0</v>
      </c>
      <c r="H78" s="376">
        <f>D78+G78</f>
        <v>22461865.359999999</v>
      </c>
    </row>
    <row r="79" spans="1:10" ht="12.75" customHeight="1" x14ac:dyDescent="0.2">
      <c r="A79" s="716"/>
      <c r="B79" s="294">
        <v>53103050000000</v>
      </c>
      <c r="C79" s="354" t="s">
        <v>167</v>
      </c>
      <c r="D79" s="377">
        <v>0</v>
      </c>
      <c r="E79" s="378">
        <v>0</v>
      </c>
      <c r="F79" s="379">
        <v>0</v>
      </c>
      <c r="G79" s="374">
        <f>E79*F79</f>
        <v>0</v>
      </c>
      <c r="H79" s="376">
        <f>D79+G79</f>
        <v>0</v>
      </c>
    </row>
    <row r="80" spans="1:10" ht="12.75" customHeight="1" x14ac:dyDescent="0.2">
      <c r="A80" s="716"/>
      <c r="B80" s="313">
        <v>53103040400000</v>
      </c>
      <c r="C80" s="296" t="s">
        <v>168</v>
      </c>
      <c r="D80" s="377">
        <v>0</v>
      </c>
      <c r="E80" s="378">
        <v>0</v>
      </c>
      <c r="F80" s="379">
        <v>0</v>
      </c>
      <c r="G80" s="374">
        <f>E80*F80</f>
        <v>0</v>
      </c>
      <c r="H80" s="376">
        <f>D80+G80</f>
        <v>0</v>
      </c>
    </row>
    <row r="81" spans="1:8" ht="12.75" customHeight="1" x14ac:dyDescent="0.2">
      <c r="A81" s="716"/>
      <c r="B81" s="294">
        <v>53103080010000</v>
      </c>
      <c r="C81" s="354" t="s">
        <v>169</v>
      </c>
      <c r="D81" s="377">
        <v>0</v>
      </c>
      <c r="E81" s="378">
        <v>70000</v>
      </c>
      <c r="F81" s="379">
        <v>4</v>
      </c>
      <c r="G81" s="374">
        <f>E81*F81</f>
        <v>280000</v>
      </c>
      <c r="H81" s="376">
        <f>D81+G81</f>
        <v>280000</v>
      </c>
    </row>
    <row r="82" spans="1:8" ht="12.75" customHeight="1" x14ac:dyDescent="0.2">
      <c r="A82" s="716"/>
      <c r="B82" s="292"/>
      <c r="C82" s="360" t="s">
        <v>16</v>
      </c>
      <c r="D82" s="370">
        <f>SUM(D83:D102)</f>
        <v>1684600</v>
      </c>
      <c r="E82" s="371"/>
      <c r="F82" s="371"/>
      <c r="G82" s="370">
        <f>SUM(G83:G102)</f>
        <v>4702593</v>
      </c>
      <c r="H82" s="293">
        <f>SUM(H83:H102)</f>
        <v>6387193</v>
      </c>
    </row>
    <row r="83" spans="1:8" ht="12.75" customHeight="1" x14ac:dyDescent="0.2">
      <c r="A83" s="716"/>
      <c r="B83" s="294">
        <v>53201010100000</v>
      </c>
      <c r="C83" s="380" t="s">
        <v>170</v>
      </c>
      <c r="D83" s="377">
        <v>0</v>
      </c>
      <c r="E83" s="378">
        <v>2065</v>
      </c>
      <c r="F83" s="379">
        <v>441</v>
      </c>
      <c r="G83" s="374">
        <f t="shared" ref="G83:G102" si="9">E83*F83</f>
        <v>910665</v>
      </c>
      <c r="H83" s="376">
        <f t="shared" ref="H83:H88" si="10">D83+G83</f>
        <v>910665</v>
      </c>
    </row>
    <row r="84" spans="1:8" ht="12.75" customHeight="1" x14ac:dyDescent="0.2">
      <c r="A84" s="716"/>
      <c r="B84" s="294">
        <v>53201010100000</v>
      </c>
      <c r="C84" s="380" t="s">
        <v>171</v>
      </c>
      <c r="D84" s="377">
        <v>0</v>
      </c>
      <c r="E84" s="378">
        <v>2049</v>
      </c>
      <c r="F84" s="379">
        <v>1512</v>
      </c>
      <c r="G84" s="374">
        <f t="shared" si="9"/>
        <v>3098088</v>
      </c>
      <c r="H84" s="376">
        <f t="shared" si="10"/>
        <v>3098088</v>
      </c>
    </row>
    <row r="85" spans="1:8" ht="12.75" customHeight="1" x14ac:dyDescent="0.2">
      <c r="A85" s="716"/>
      <c r="B85" s="294">
        <v>53201010100000</v>
      </c>
      <c r="C85" s="380" t="s">
        <v>172</v>
      </c>
      <c r="D85" s="377"/>
      <c r="E85" s="378">
        <v>2065</v>
      </c>
      <c r="F85" s="379">
        <v>336</v>
      </c>
      <c r="G85" s="374">
        <f t="shared" si="9"/>
        <v>693840</v>
      </c>
      <c r="H85" s="376">
        <f t="shared" si="10"/>
        <v>693840</v>
      </c>
    </row>
    <row r="86" spans="1:8" ht="12.75" customHeight="1" x14ac:dyDescent="0.2">
      <c r="A86" s="716"/>
      <c r="B86" s="294">
        <v>53202010100000</v>
      </c>
      <c r="C86" s="354" t="s">
        <v>173</v>
      </c>
      <c r="D86" s="374">
        <f>O14</f>
        <v>100000</v>
      </c>
      <c r="E86" s="374">
        <v>0</v>
      </c>
      <c r="F86" s="382">
        <v>0</v>
      </c>
      <c r="G86" s="374">
        <f t="shared" si="9"/>
        <v>0</v>
      </c>
      <c r="H86" s="376">
        <f t="shared" si="10"/>
        <v>100000</v>
      </c>
    </row>
    <row r="87" spans="1:8" ht="12.75" customHeight="1" x14ac:dyDescent="0.2">
      <c r="A87" s="716"/>
      <c r="B87" s="294">
        <v>53203010100000</v>
      </c>
      <c r="C87" s="354" t="s">
        <v>19</v>
      </c>
      <c r="D87" s="374">
        <f t="shared" ref="D87:D102" si="11">O15</f>
        <v>12000</v>
      </c>
      <c r="E87" s="374">
        <v>0</v>
      </c>
      <c r="F87" s="382">
        <v>0</v>
      </c>
      <c r="G87" s="374">
        <f t="shared" si="9"/>
        <v>0</v>
      </c>
      <c r="H87" s="376">
        <f t="shared" si="10"/>
        <v>12000</v>
      </c>
    </row>
    <row r="88" spans="1:8" ht="12.75" customHeight="1" x14ac:dyDescent="0.2">
      <c r="A88" s="716"/>
      <c r="B88" s="294">
        <v>53203030000000</v>
      </c>
      <c r="C88" s="354" t="s">
        <v>174</v>
      </c>
      <c r="D88" s="374">
        <f t="shared" si="11"/>
        <v>0</v>
      </c>
      <c r="E88" s="374">
        <v>0</v>
      </c>
      <c r="F88" s="382">
        <v>0</v>
      </c>
      <c r="G88" s="374">
        <f t="shared" si="9"/>
        <v>0</v>
      </c>
      <c r="H88" s="376">
        <f t="shared" si="10"/>
        <v>0</v>
      </c>
    </row>
    <row r="89" spans="1:8" ht="12.75" customHeight="1" x14ac:dyDescent="0.2">
      <c r="A89" s="716"/>
      <c r="B89" s="294">
        <v>53204030000000</v>
      </c>
      <c r="C89" s="354" t="s">
        <v>209</v>
      </c>
      <c r="D89" s="374">
        <f t="shared" si="11"/>
        <v>70000</v>
      </c>
      <c r="E89" s="374">
        <v>0</v>
      </c>
      <c r="F89" s="382">
        <v>0</v>
      </c>
      <c r="G89" s="374">
        <f t="shared" si="9"/>
        <v>0</v>
      </c>
      <c r="H89" s="376">
        <f>D89+G89</f>
        <v>70000</v>
      </c>
    </row>
    <row r="90" spans="1:8" ht="12.75" customHeight="1" x14ac:dyDescent="0.2">
      <c r="A90" s="716"/>
      <c r="B90" s="294">
        <v>53204100100001</v>
      </c>
      <c r="C90" s="354" t="s">
        <v>22</v>
      </c>
      <c r="D90" s="374">
        <f t="shared" si="11"/>
        <v>0</v>
      </c>
      <c r="E90" s="374">
        <v>0</v>
      </c>
      <c r="F90" s="382">
        <v>0</v>
      </c>
      <c r="G90" s="374">
        <f t="shared" si="9"/>
        <v>0</v>
      </c>
      <c r="H90" s="376">
        <f t="shared" ref="H90:H102" si="12">D90+G90</f>
        <v>0</v>
      </c>
    </row>
    <row r="91" spans="1:8" ht="12.75" customHeight="1" x14ac:dyDescent="0.2">
      <c r="A91" s="716"/>
      <c r="B91" s="294">
        <v>53204130100000</v>
      </c>
      <c r="C91" s="354" t="s">
        <v>176</v>
      </c>
      <c r="D91" s="374">
        <f t="shared" si="11"/>
        <v>0</v>
      </c>
      <c r="E91" s="374">
        <v>0</v>
      </c>
      <c r="F91" s="382">
        <v>0</v>
      </c>
      <c r="G91" s="374">
        <f t="shared" si="9"/>
        <v>0</v>
      </c>
      <c r="H91" s="376">
        <f t="shared" si="12"/>
        <v>0</v>
      </c>
    </row>
    <row r="92" spans="1:8" ht="12.75" customHeight="1" x14ac:dyDescent="0.2">
      <c r="A92" s="716"/>
      <c r="B92" s="294">
        <v>53205010100000</v>
      </c>
      <c r="C92" s="354" t="s">
        <v>24</v>
      </c>
      <c r="D92" s="374">
        <f t="shared" si="11"/>
        <v>380000</v>
      </c>
      <c r="E92" s="374">
        <v>0</v>
      </c>
      <c r="F92" s="382">
        <v>0</v>
      </c>
      <c r="G92" s="374">
        <f t="shared" si="9"/>
        <v>0</v>
      </c>
      <c r="H92" s="376">
        <f t="shared" si="12"/>
        <v>380000</v>
      </c>
    </row>
    <row r="93" spans="1:8" ht="12.75" customHeight="1" x14ac:dyDescent="0.2">
      <c r="A93" s="716"/>
      <c r="B93" s="294">
        <v>53205020100000</v>
      </c>
      <c r="C93" s="354" t="s">
        <v>25</v>
      </c>
      <c r="D93" s="374">
        <f t="shared" si="11"/>
        <v>380000</v>
      </c>
      <c r="E93" s="374">
        <v>0</v>
      </c>
      <c r="F93" s="382">
        <v>0</v>
      </c>
      <c r="G93" s="374">
        <f t="shared" si="9"/>
        <v>0</v>
      </c>
      <c r="H93" s="376">
        <f t="shared" si="12"/>
        <v>380000</v>
      </c>
    </row>
    <row r="94" spans="1:8" ht="12.75" customHeight="1" x14ac:dyDescent="0.2">
      <c r="A94" s="716"/>
      <c r="B94" s="294">
        <v>53205030100000</v>
      </c>
      <c r="C94" s="354" t="s">
        <v>26</v>
      </c>
      <c r="D94" s="374">
        <f t="shared" si="11"/>
        <v>396600</v>
      </c>
      <c r="E94" s="374">
        <v>0</v>
      </c>
      <c r="F94" s="382">
        <v>0</v>
      </c>
      <c r="G94" s="374">
        <f t="shared" si="9"/>
        <v>0</v>
      </c>
      <c r="H94" s="376">
        <f t="shared" si="12"/>
        <v>396600</v>
      </c>
    </row>
    <row r="95" spans="1:8" ht="12.75" customHeight="1" x14ac:dyDescent="0.2">
      <c r="A95" s="716"/>
      <c r="B95" s="294">
        <v>53205050100000</v>
      </c>
      <c r="C95" s="354" t="s">
        <v>27</v>
      </c>
      <c r="D95" s="374">
        <f t="shared" si="11"/>
        <v>0</v>
      </c>
      <c r="E95" s="374">
        <v>0</v>
      </c>
      <c r="F95" s="382">
        <v>0</v>
      </c>
      <c r="G95" s="374">
        <f t="shared" si="9"/>
        <v>0</v>
      </c>
      <c r="H95" s="376">
        <f t="shared" si="12"/>
        <v>0</v>
      </c>
    </row>
    <row r="96" spans="1:8" ht="12.75" customHeight="1" x14ac:dyDescent="0.2">
      <c r="A96" s="716"/>
      <c r="B96" s="294">
        <v>53205070100000</v>
      </c>
      <c r="C96" s="354" t="s">
        <v>29</v>
      </c>
      <c r="D96" s="374">
        <f t="shared" si="11"/>
        <v>0</v>
      </c>
      <c r="E96" s="374">
        <v>0</v>
      </c>
      <c r="F96" s="382">
        <v>0</v>
      </c>
      <c r="G96" s="374">
        <f t="shared" si="9"/>
        <v>0</v>
      </c>
      <c r="H96" s="376">
        <f t="shared" si="12"/>
        <v>0</v>
      </c>
    </row>
    <row r="97" spans="1:8" ht="12.75" customHeight="1" x14ac:dyDescent="0.2">
      <c r="A97" s="716"/>
      <c r="B97" s="294">
        <v>53208010100000</v>
      </c>
      <c r="C97" s="354" t="s">
        <v>30</v>
      </c>
      <c r="D97" s="374">
        <f t="shared" si="11"/>
        <v>0</v>
      </c>
      <c r="E97" s="374">
        <v>0</v>
      </c>
      <c r="F97" s="382">
        <v>0</v>
      </c>
      <c r="G97" s="374">
        <f t="shared" si="9"/>
        <v>0</v>
      </c>
      <c r="H97" s="376">
        <f t="shared" si="12"/>
        <v>0</v>
      </c>
    </row>
    <row r="98" spans="1:8" ht="12.75" customHeight="1" x14ac:dyDescent="0.2">
      <c r="A98" s="716"/>
      <c r="B98" s="294">
        <v>53208070100001</v>
      </c>
      <c r="C98" s="354" t="s">
        <v>31</v>
      </c>
      <c r="D98" s="374">
        <f t="shared" si="11"/>
        <v>0</v>
      </c>
      <c r="E98" s="374">
        <v>0</v>
      </c>
      <c r="F98" s="382">
        <v>0</v>
      </c>
      <c r="G98" s="374">
        <f t="shared" si="9"/>
        <v>0</v>
      </c>
      <c r="H98" s="376">
        <f t="shared" si="12"/>
        <v>0</v>
      </c>
    </row>
    <row r="99" spans="1:8" ht="12.75" customHeight="1" x14ac:dyDescent="0.2">
      <c r="A99" s="716"/>
      <c r="B99" s="294">
        <v>53208100100001</v>
      </c>
      <c r="C99" s="354" t="s">
        <v>177</v>
      </c>
      <c r="D99" s="374">
        <f t="shared" si="11"/>
        <v>0</v>
      </c>
      <c r="E99" s="374">
        <v>0</v>
      </c>
      <c r="F99" s="382">
        <v>0</v>
      </c>
      <c r="G99" s="374">
        <f t="shared" si="9"/>
        <v>0</v>
      </c>
      <c r="H99" s="376">
        <f t="shared" si="12"/>
        <v>0</v>
      </c>
    </row>
    <row r="100" spans="1:8" ht="12.75" customHeight="1" x14ac:dyDescent="0.2">
      <c r="A100" s="716"/>
      <c r="B100" s="294">
        <v>53211030000000</v>
      </c>
      <c r="C100" s="354" t="s">
        <v>32</v>
      </c>
      <c r="D100" s="374">
        <f t="shared" si="11"/>
        <v>0</v>
      </c>
      <c r="E100" s="374">
        <v>0</v>
      </c>
      <c r="F100" s="382">
        <v>0</v>
      </c>
      <c r="G100" s="374">
        <f t="shared" si="9"/>
        <v>0</v>
      </c>
      <c r="H100" s="376">
        <f t="shared" si="12"/>
        <v>0</v>
      </c>
    </row>
    <row r="101" spans="1:8" ht="12.75" customHeight="1" x14ac:dyDescent="0.2">
      <c r="A101" s="716"/>
      <c r="B101" s="294">
        <v>53212020100000</v>
      </c>
      <c r="C101" s="354" t="s">
        <v>178</v>
      </c>
      <c r="D101" s="374">
        <f t="shared" si="11"/>
        <v>330000</v>
      </c>
      <c r="E101" s="374">
        <v>0</v>
      </c>
      <c r="F101" s="382">
        <v>0</v>
      </c>
      <c r="G101" s="374">
        <f t="shared" si="9"/>
        <v>0</v>
      </c>
      <c r="H101" s="376">
        <f t="shared" si="12"/>
        <v>330000</v>
      </c>
    </row>
    <row r="102" spans="1:8" ht="12.75" customHeight="1" x14ac:dyDescent="0.2">
      <c r="A102" s="716"/>
      <c r="B102" s="294">
        <v>53214020000000</v>
      </c>
      <c r="C102" s="354" t="s">
        <v>179</v>
      </c>
      <c r="D102" s="374">
        <f t="shared" si="11"/>
        <v>16000</v>
      </c>
      <c r="E102" s="374">
        <v>0</v>
      </c>
      <c r="F102" s="382">
        <v>0</v>
      </c>
      <c r="G102" s="374">
        <f t="shared" si="9"/>
        <v>0</v>
      </c>
      <c r="H102" s="376">
        <f t="shared" si="12"/>
        <v>16000</v>
      </c>
    </row>
    <row r="103" spans="1:8" ht="15.75" customHeight="1" x14ac:dyDescent="0.2">
      <c r="A103" s="716"/>
      <c r="B103" s="308"/>
      <c r="C103" s="357" t="s">
        <v>34</v>
      </c>
      <c r="D103" s="297">
        <f>+D104+D109+D111+D120+D129+D137</f>
        <v>2158297.6</v>
      </c>
      <c r="E103" s="383"/>
      <c r="F103" s="383"/>
      <c r="G103" s="297">
        <f>+G104+G109+G111+G120+G129+G137</f>
        <v>301800</v>
      </c>
      <c r="H103" s="297">
        <f>+H104+H109+H111+H120+H129+H137</f>
        <v>2460097.6</v>
      </c>
    </row>
    <row r="104" spans="1:8" ht="12.75" customHeight="1" x14ac:dyDescent="0.2">
      <c r="A104" s="716"/>
      <c r="B104" s="292"/>
      <c r="C104" s="360" t="s">
        <v>35</v>
      </c>
      <c r="D104" s="370">
        <f>SUM(D105:D108)</f>
        <v>40000</v>
      </c>
      <c r="E104" s="371"/>
      <c r="F104" s="371"/>
      <c r="G104" s="370">
        <f>SUM(G105:G108)</f>
        <v>120000</v>
      </c>
      <c r="H104" s="370">
        <f>SUM(H105:H108)</f>
        <v>160000</v>
      </c>
    </row>
    <row r="105" spans="1:8" ht="12.75" customHeight="1" x14ac:dyDescent="0.2">
      <c r="A105" s="716"/>
      <c r="B105" s="294">
        <v>53202020100000</v>
      </c>
      <c r="C105" s="354" t="s">
        <v>180</v>
      </c>
      <c r="D105" s="377">
        <v>0</v>
      </c>
      <c r="E105" s="378">
        <v>30000</v>
      </c>
      <c r="F105" s="467">
        <v>3</v>
      </c>
      <c r="G105" s="374">
        <f>E105*F105</f>
        <v>90000</v>
      </c>
      <c r="H105" s="376">
        <f t="shared" ref="H105:H108" si="13">D105+G105</f>
        <v>90000</v>
      </c>
    </row>
    <row r="106" spans="1:8" ht="12.75" customHeight="1" x14ac:dyDescent="0.2">
      <c r="A106" s="716"/>
      <c r="B106" s="294">
        <v>53202030000000</v>
      </c>
      <c r="C106" s="354" t="s">
        <v>181</v>
      </c>
      <c r="D106" s="377">
        <v>0</v>
      </c>
      <c r="E106" s="378">
        <v>30000</v>
      </c>
      <c r="F106" s="467">
        <v>1</v>
      </c>
      <c r="G106" s="374">
        <f t="shared" ref="G106:G108" si="14">E106*F106</f>
        <v>30000</v>
      </c>
      <c r="H106" s="376">
        <f t="shared" si="13"/>
        <v>30000</v>
      </c>
    </row>
    <row r="107" spans="1:8" ht="12.75" customHeight="1" x14ac:dyDescent="0.2">
      <c r="A107" s="716"/>
      <c r="B107" s="294">
        <v>53211020000000</v>
      </c>
      <c r="C107" s="354" t="s">
        <v>41</v>
      </c>
      <c r="D107" s="384">
        <f>O33</f>
        <v>20000</v>
      </c>
      <c r="E107" s="384">
        <v>0</v>
      </c>
      <c r="F107" s="385">
        <v>0</v>
      </c>
      <c r="G107" s="374">
        <f t="shared" si="14"/>
        <v>0</v>
      </c>
      <c r="H107" s="376">
        <f t="shared" si="13"/>
        <v>20000</v>
      </c>
    </row>
    <row r="108" spans="1:8" ht="12.75" customHeight="1" x14ac:dyDescent="0.2">
      <c r="A108" s="716"/>
      <c r="B108" s="294">
        <v>53101040600000</v>
      </c>
      <c r="C108" s="354" t="s">
        <v>182</v>
      </c>
      <c r="D108" s="384">
        <f>O34</f>
        <v>20000</v>
      </c>
      <c r="E108" s="384">
        <v>0</v>
      </c>
      <c r="F108" s="385">
        <v>0</v>
      </c>
      <c r="G108" s="374">
        <f t="shared" si="14"/>
        <v>0</v>
      </c>
      <c r="H108" s="376">
        <f t="shared" si="13"/>
        <v>20000</v>
      </c>
    </row>
    <row r="109" spans="1:8" ht="12.75" customHeight="1" x14ac:dyDescent="0.2">
      <c r="A109" s="716"/>
      <c r="B109" s="292"/>
      <c r="C109" s="360" t="s">
        <v>42</v>
      </c>
      <c r="D109" s="370">
        <f>SUM(D110:D110)</f>
        <v>0</v>
      </c>
      <c r="E109" s="371"/>
      <c r="F109" s="371"/>
      <c r="G109" s="386">
        <f>SUM(G110:G110)</f>
        <v>0</v>
      </c>
      <c r="H109" s="387">
        <f>SUM(H110:H110)</f>
        <v>0</v>
      </c>
    </row>
    <row r="110" spans="1:8" ht="12.75" customHeight="1" x14ac:dyDescent="0.2">
      <c r="A110" s="716"/>
      <c r="B110" s="298">
        <v>53205990000000</v>
      </c>
      <c r="C110" s="354" t="s">
        <v>44</v>
      </c>
      <c r="D110" s="384">
        <f>+O36</f>
        <v>0</v>
      </c>
      <c r="E110" s="384">
        <v>0</v>
      </c>
      <c r="F110" s="385">
        <v>0</v>
      </c>
      <c r="G110" s="374">
        <f t="shared" ref="G110" si="15">E110*F110</f>
        <v>0</v>
      </c>
      <c r="H110" s="376">
        <f t="shared" ref="H110" si="16">D110+G110</f>
        <v>0</v>
      </c>
    </row>
    <row r="111" spans="1:8" ht="12.75" customHeight="1" x14ac:dyDescent="0.2">
      <c r="A111" s="716"/>
      <c r="B111" s="292"/>
      <c r="C111" s="360" t="s">
        <v>45</v>
      </c>
      <c r="D111" s="370">
        <f>SUM(D112:D119)</f>
        <v>1780000</v>
      </c>
      <c r="E111" s="371"/>
      <c r="F111" s="371"/>
      <c r="G111" s="370">
        <f>SUM(G112:G119)</f>
        <v>0</v>
      </c>
      <c r="H111" s="293">
        <f>SUM(H112:H119)</f>
        <v>1780000</v>
      </c>
    </row>
    <row r="112" spans="1:8" ht="12.75" customHeight="1" x14ac:dyDescent="0.2">
      <c r="A112" s="716"/>
      <c r="B112" s="294">
        <v>53204010000000</v>
      </c>
      <c r="C112" s="354" t="s">
        <v>47</v>
      </c>
      <c r="D112" s="384">
        <f>+O38</f>
        <v>0</v>
      </c>
      <c r="E112" s="384">
        <v>0</v>
      </c>
      <c r="F112" s="385">
        <v>0</v>
      </c>
      <c r="G112" s="384">
        <f t="shared" ref="G112:G119" si="17">E112*F112</f>
        <v>0</v>
      </c>
      <c r="H112" s="376">
        <f t="shared" ref="H112:H119" si="18">D112+G112</f>
        <v>0</v>
      </c>
    </row>
    <row r="113" spans="1:8" ht="12.75" customHeight="1" x14ac:dyDescent="0.2">
      <c r="A113" s="716"/>
      <c r="B113" s="298">
        <v>53204040200000</v>
      </c>
      <c r="C113" s="354" t="s">
        <v>210</v>
      </c>
      <c r="D113" s="384">
        <f t="shared" ref="D113:D119" si="19">+O39</f>
        <v>20000</v>
      </c>
      <c r="E113" s="384">
        <v>0</v>
      </c>
      <c r="F113" s="385">
        <v>0</v>
      </c>
      <c r="G113" s="384">
        <f t="shared" si="17"/>
        <v>0</v>
      </c>
      <c r="H113" s="376">
        <f t="shared" si="18"/>
        <v>20000</v>
      </c>
    </row>
    <row r="114" spans="1:8" ht="12.75" customHeight="1" x14ac:dyDescent="0.2">
      <c r="A114" s="716"/>
      <c r="B114" s="294">
        <v>53204060000000</v>
      </c>
      <c r="C114" s="354" t="s">
        <v>49</v>
      </c>
      <c r="D114" s="384">
        <f t="shared" si="19"/>
        <v>0</v>
      </c>
      <c r="E114" s="384">
        <v>0</v>
      </c>
      <c r="F114" s="385">
        <v>0</v>
      </c>
      <c r="G114" s="384">
        <f t="shared" si="17"/>
        <v>0</v>
      </c>
      <c r="H114" s="376">
        <f t="shared" si="18"/>
        <v>0</v>
      </c>
    </row>
    <row r="115" spans="1:8" ht="12.75" customHeight="1" x14ac:dyDescent="0.2">
      <c r="A115" s="716"/>
      <c r="B115" s="294">
        <v>53204070000000</v>
      </c>
      <c r="C115" s="354" t="s">
        <v>50</v>
      </c>
      <c r="D115" s="384">
        <f t="shared" si="19"/>
        <v>800000</v>
      </c>
      <c r="E115" s="384">
        <v>0</v>
      </c>
      <c r="F115" s="385">
        <v>0</v>
      </c>
      <c r="G115" s="384">
        <f t="shared" si="17"/>
        <v>0</v>
      </c>
      <c r="H115" s="376">
        <f t="shared" si="18"/>
        <v>800000</v>
      </c>
    </row>
    <row r="116" spans="1:8" ht="12.75" customHeight="1" x14ac:dyDescent="0.2">
      <c r="A116" s="716"/>
      <c r="B116" s="294">
        <v>53204080000000</v>
      </c>
      <c r="C116" s="354" t="s">
        <v>51</v>
      </c>
      <c r="D116" s="384">
        <f t="shared" si="19"/>
        <v>60000</v>
      </c>
      <c r="E116" s="384">
        <v>0</v>
      </c>
      <c r="F116" s="385">
        <v>0</v>
      </c>
      <c r="G116" s="384">
        <f t="shared" si="17"/>
        <v>0</v>
      </c>
      <c r="H116" s="376">
        <f t="shared" si="18"/>
        <v>60000</v>
      </c>
    </row>
    <row r="117" spans="1:8" ht="12.75" customHeight="1" x14ac:dyDescent="0.2">
      <c r="A117" s="716"/>
      <c r="B117" s="294">
        <v>53214010000000</v>
      </c>
      <c r="C117" s="354" t="s">
        <v>52</v>
      </c>
      <c r="D117" s="384">
        <f t="shared" si="19"/>
        <v>800000</v>
      </c>
      <c r="E117" s="388">
        <v>0</v>
      </c>
      <c r="F117" s="385">
        <v>0</v>
      </c>
      <c r="G117" s="384">
        <f t="shared" si="17"/>
        <v>0</v>
      </c>
      <c r="H117" s="376">
        <f t="shared" si="18"/>
        <v>800000</v>
      </c>
    </row>
    <row r="118" spans="1:8" ht="12.75" customHeight="1" x14ac:dyDescent="0.2">
      <c r="A118" s="716"/>
      <c r="B118" s="294">
        <v>53214040000000</v>
      </c>
      <c r="C118" s="354" t="s">
        <v>183</v>
      </c>
      <c r="D118" s="384">
        <f t="shared" si="19"/>
        <v>40000</v>
      </c>
      <c r="E118" s="388">
        <v>0</v>
      </c>
      <c r="F118" s="385">
        <v>0</v>
      </c>
      <c r="G118" s="384">
        <f t="shared" si="17"/>
        <v>0</v>
      </c>
      <c r="H118" s="376">
        <f t="shared" si="18"/>
        <v>40000</v>
      </c>
    </row>
    <row r="119" spans="1:8" ht="12.75" customHeight="1" x14ac:dyDescent="0.2">
      <c r="A119" s="716"/>
      <c r="B119" s="313">
        <v>53204020100000</v>
      </c>
      <c r="C119" s="354" t="s">
        <v>175</v>
      </c>
      <c r="D119" s="384">
        <f t="shared" si="19"/>
        <v>60000</v>
      </c>
      <c r="E119" s="384">
        <v>0</v>
      </c>
      <c r="F119" s="385">
        <v>0</v>
      </c>
      <c r="G119" s="384">
        <f t="shared" si="17"/>
        <v>0</v>
      </c>
      <c r="H119" s="376">
        <f t="shared" si="18"/>
        <v>60000</v>
      </c>
    </row>
    <row r="120" spans="1:8" ht="12.75" customHeight="1" x14ac:dyDescent="0.2">
      <c r="A120" s="716"/>
      <c r="B120" s="292"/>
      <c r="C120" s="360" t="s">
        <v>55</v>
      </c>
      <c r="D120" s="370">
        <f>SUM(D121:D128)</f>
        <v>288297.59999999998</v>
      </c>
      <c r="E120" s="371"/>
      <c r="F120" s="371"/>
      <c r="G120" s="370">
        <f>SUM(G121:G128)</f>
        <v>49800</v>
      </c>
      <c r="H120" s="293">
        <f>SUM(H121:H128)</f>
        <v>338097.6</v>
      </c>
    </row>
    <row r="121" spans="1:8" ht="12.75" customHeight="1" x14ac:dyDescent="0.2">
      <c r="A121" s="716"/>
      <c r="B121" s="294">
        <v>53207010000000</v>
      </c>
      <c r="C121" s="354" t="s">
        <v>56</v>
      </c>
      <c r="D121" s="384">
        <f>+O47</f>
        <v>0</v>
      </c>
      <c r="E121" s="384">
        <v>0</v>
      </c>
      <c r="F121" s="385">
        <v>0</v>
      </c>
      <c r="G121" s="384">
        <f t="shared" ref="G121:G128" si="20">E121*F121</f>
        <v>0</v>
      </c>
      <c r="H121" s="376">
        <f t="shared" ref="H121:H128" si="21">D121+G121</f>
        <v>0</v>
      </c>
    </row>
    <row r="122" spans="1:8" ht="12.75" customHeight="1" x14ac:dyDescent="0.2">
      <c r="A122" s="716"/>
      <c r="B122" s="294">
        <v>53207020000000</v>
      </c>
      <c r="C122" s="354" t="s">
        <v>57</v>
      </c>
      <c r="D122" s="384">
        <f t="shared" ref="D122:D124" si="22">+O48</f>
        <v>0</v>
      </c>
      <c r="E122" s="384">
        <v>0</v>
      </c>
      <c r="F122" s="385">
        <v>0</v>
      </c>
      <c r="G122" s="384">
        <f t="shared" si="20"/>
        <v>0</v>
      </c>
      <c r="H122" s="376">
        <f t="shared" si="21"/>
        <v>0</v>
      </c>
    </row>
    <row r="123" spans="1:8" ht="12.75" customHeight="1" x14ac:dyDescent="0.2">
      <c r="A123" s="716"/>
      <c r="B123" s="294">
        <v>53208020000000</v>
      </c>
      <c r="C123" s="354" t="s">
        <v>166</v>
      </c>
      <c r="D123" s="384">
        <f t="shared" si="22"/>
        <v>0</v>
      </c>
      <c r="E123" s="384">
        <v>0</v>
      </c>
      <c r="F123" s="385">
        <v>0</v>
      </c>
      <c r="G123" s="384">
        <f t="shared" si="20"/>
        <v>0</v>
      </c>
      <c r="H123" s="376">
        <f t="shared" si="21"/>
        <v>0</v>
      </c>
    </row>
    <row r="124" spans="1:8" ht="12.75" customHeight="1" x14ac:dyDescent="0.2">
      <c r="A124" s="716"/>
      <c r="B124" s="294">
        <v>53208990000000</v>
      </c>
      <c r="C124" s="354" t="s">
        <v>184</v>
      </c>
      <c r="D124" s="384">
        <f t="shared" si="22"/>
        <v>258297.60000000001</v>
      </c>
      <c r="E124" s="384">
        <v>0</v>
      </c>
      <c r="F124" s="385">
        <v>0</v>
      </c>
      <c r="G124" s="384">
        <f t="shared" si="20"/>
        <v>0</v>
      </c>
      <c r="H124" s="376">
        <f t="shared" si="21"/>
        <v>258297.60000000001</v>
      </c>
    </row>
    <row r="125" spans="1:8" ht="12.75" customHeight="1" x14ac:dyDescent="0.2">
      <c r="A125" s="716"/>
      <c r="B125" s="313">
        <v>53210020300000</v>
      </c>
      <c r="C125" s="354" t="s">
        <v>186</v>
      </c>
      <c r="D125" s="627">
        <v>0</v>
      </c>
      <c r="E125" s="640">
        <v>8300</v>
      </c>
      <c r="F125" s="638">
        <f>+'B) Reajuste Tarifas y Ocupación'!I28</f>
        <v>6</v>
      </c>
      <c r="G125" s="374">
        <f t="shared" si="20"/>
        <v>49800</v>
      </c>
      <c r="H125" s="376">
        <f t="shared" si="21"/>
        <v>49800</v>
      </c>
    </row>
    <row r="126" spans="1:8" ht="12.75" customHeight="1" x14ac:dyDescent="0.2">
      <c r="A126" s="716"/>
      <c r="B126" s="294">
        <v>53208990000000</v>
      </c>
      <c r="C126" s="354" t="s">
        <v>187</v>
      </c>
      <c r="D126" s="374">
        <f>+O51</f>
        <v>0</v>
      </c>
      <c r="E126" s="374">
        <v>0</v>
      </c>
      <c r="F126" s="382">
        <v>0</v>
      </c>
      <c r="G126" s="374">
        <f t="shared" si="20"/>
        <v>0</v>
      </c>
      <c r="H126" s="376">
        <f t="shared" si="21"/>
        <v>0</v>
      </c>
    </row>
    <row r="127" spans="1:8" ht="12.75" customHeight="1" x14ac:dyDescent="0.2">
      <c r="A127" s="716"/>
      <c r="B127" s="294">
        <v>53209990000000</v>
      </c>
      <c r="C127" s="354" t="s">
        <v>185</v>
      </c>
      <c r="D127" s="374">
        <f t="shared" ref="D127:D128" si="23">+O52</f>
        <v>30000</v>
      </c>
      <c r="E127" s="374">
        <v>0</v>
      </c>
      <c r="F127" s="382">
        <v>0</v>
      </c>
      <c r="G127" s="374">
        <f t="shared" si="20"/>
        <v>0</v>
      </c>
      <c r="H127" s="376">
        <f t="shared" si="21"/>
        <v>30000</v>
      </c>
    </row>
    <row r="128" spans="1:8" ht="12.75" customHeight="1" x14ac:dyDescent="0.2">
      <c r="A128" s="716"/>
      <c r="B128" s="294">
        <v>53210020100000</v>
      </c>
      <c r="C128" s="354" t="s">
        <v>64</v>
      </c>
      <c r="D128" s="374">
        <f t="shared" si="23"/>
        <v>0</v>
      </c>
      <c r="E128" s="374">
        <v>0</v>
      </c>
      <c r="F128" s="382">
        <v>0</v>
      </c>
      <c r="G128" s="374">
        <f t="shared" si="20"/>
        <v>0</v>
      </c>
      <c r="H128" s="376">
        <f t="shared" si="21"/>
        <v>0</v>
      </c>
    </row>
    <row r="129" spans="1:10" ht="12.75" customHeight="1" x14ac:dyDescent="0.2">
      <c r="A129" s="716"/>
      <c r="B129" s="292"/>
      <c r="C129" s="360" t="s">
        <v>65</v>
      </c>
      <c r="D129" s="370">
        <f>SUM(D130:D136)</f>
        <v>50000</v>
      </c>
      <c r="E129" s="371"/>
      <c r="F129" s="371"/>
      <c r="G129" s="370">
        <f>SUM(G130:G136)</f>
        <v>0</v>
      </c>
      <c r="H129" s="293">
        <f>SUM(H130:H136)</f>
        <v>50000</v>
      </c>
    </row>
    <row r="130" spans="1:10" ht="12.75" customHeight="1" x14ac:dyDescent="0.2">
      <c r="A130" s="716"/>
      <c r="B130" s="294">
        <v>53206030000000</v>
      </c>
      <c r="C130" s="354" t="s">
        <v>98</v>
      </c>
      <c r="D130" s="384">
        <f>+O55</f>
        <v>0</v>
      </c>
      <c r="E130" s="384">
        <v>0</v>
      </c>
      <c r="F130" s="385">
        <v>0</v>
      </c>
      <c r="G130" s="374">
        <f t="shared" ref="G130:G136" si="24">E130*F130</f>
        <v>0</v>
      </c>
      <c r="H130" s="376">
        <f t="shared" ref="H130:H135" si="25">D130+G130</f>
        <v>0</v>
      </c>
    </row>
    <row r="131" spans="1:10" ht="12.75" customHeight="1" x14ac:dyDescent="0.2">
      <c r="A131" s="716"/>
      <c r="B131" s="294">
        <v>53206040000000</v>
      </c>
      <c r="C131" s="354" t="s">
        <v>99</v>
      </c>
      <c r="D131" s="384">
        <f t="shared" ref="D131:D136" si="26">+O56</f>
        <v>0</v>
      </c>
      <c r="E131" s="384">
        <v>0</v>
      </c>
      <c r="F131" s="385">
        <v>0</v>
      </c>
      <c r="G131" s="374">
        <f t="shared" si="24"/>
        <v>0</v>
      </c>
      <c r="H131" s="376">
        <f t="shared" si="25"/>
        <v>0</v>
      </c>
    </row>
    <row r="132" spans="1:10" ht="12.75" customHeight="1" x14ac:dyDescent="0.2">
      <c r="A132" s="716"/>
      <c r="B132" s="294">
        <v>53206060000000</v>
      </c>
      <c r="C132" s="354" t="s">
        <v>188</v>
      </c>
      <c r="D132" s="384">
        <f t="shared" si="26"/>
        <v>50000</v>
      </c>
      <c r="E132" s="384">
        <v>0</v>
      </c>
      <c r="F132" s="385">
        <v>0</v>
      </c>
      <c r="G132" s="374">
        <f t="shared" si="24"/>
        <v>0</v>
      </c>
      <c r="H132" s="376">
        <f t="shared" si="25"/>
        <v>50000</v>
      </c>
    </row>
    <row r="133" spans="1:10" ht="12.75" customHeight="1" x14ac:dyDescent="0.2">
      <c r="A133" s="716"/>
      <c r="B133" s="294">
        <v>53206070000000</v>
      </c>
      <c r="C133" s="354" t="s">
        <v>101</v>
      </c>
      <c r="D133" s="384">
        <f t="shared" si="26"/>
        <v>0</v>
      </c>
      <c r="E133" s="384">
        <v>0</v>
      </c>
      <c r="F133" s="385">
        <v>0</v>
      </c>
      <c r="G133" s="374">
        <f t="shared" si="24"/>
        <v>0</v>
      </c>
      <c r="H133" s="376">
        <f t="shared" si="25"/>
        <v>0</v>
      </c>
    </row>
    <row r="134" spans="1:10" ht="12.75" customHeight="1" x14ac:dyDescent="0.2">
      <c r="A134" s="716"/>
      <c r="B134" s="294">
        <v>53206990000000</v>
      </c>
      <c r="C134" s="354" t="s">
        <v>189</v>
      </c>
      <c r="D134" s="384">
        <f t="shared" si="26"/>
        <v>0</v>
      </c>
      <c r="E134" s="384">
        <v>0</v>
      </c>
      <c r="F134" s="385">
        <v>0</v>
      </c>
      <c r="G134" s="374">
        <f t="shared" si="24"/>
        <v>0</v>
      </c>
      <c r="H134" s="376">
        <f t="shared" si="25"/>
        <v>0</v>
      </c>
    </row>
    <row r="135" spans="1:10" ht="12.75" customHeight="1" x14ac:dyDescent="0.2">
      <c r="A135" s="716"/>
      <c r="B135" s="294">
        <v>53208030000000</v>
      </c>
      <c r="C135" s="354" t="s">
        <v>103</v>
      </c>
      <c r="D135" s="384">
        <f t="shared" si="26"/>
        <v>0</v>
      </c>
      <c r="E135" s="384">
        <v>0</v>
      </c>
      <c r="F135" s="385">
        <v>0</v>
      </c>
      <c r="G135" s="374">
        <f t="shared" si="24"/>
        <v>0</v>
      </c>
      <c r="H135" s="376">
        <f t="shared" si="25"/>
        <v>0</v>
      </c>
    </row>
    <row r="136" spans="1:10" ht="12.75" customHeight="1" x14ac:dyDescent="0.2">
      <c r="A136" s="716"/>
      <c r="B136" s="294">
        <v>53206990000000</v>
      </c>
      <c r="C136" s="354" t="s">
        <v>211</v>
      </c>
      <c r="D136" s="384">
        <f t="shared" si="26"/>
        <v>0</v>
      </c>
      <c r="E136" s="384">
        <v>0</v>
      </c>
      <c r="F136" s="385">
        <v>0</v>
      </c>
      <c r="G136" s="374">
        <f t="shared" si="24"/>
        <v>0</v>
      </c>
      <c r="H136" s="376">
        <f>D136+G136</f>
        <v>0</v>
      </c>
    </row>
    <row r="137" spans="1:10" ht="12.75" customHeight="1" x14ac:dyDescent="0.2">
      <c r="A137" s="716"/>
      <c r="B137" s="292"/>
      <c r="C137" s="360" t="s">
        <v>66</v>
      </c>
      <c r="D137" s="370">
        <f>SUM(D138:D138)</f>
        <v>0</v>
      </c>
      <c r="E137" s="371"/>
      <c r="F137" s="371"/>
      <c r="G137" s="370">
        <f>SUM(G138:G138)</f>
        <v>132000</v>
      </c>
      <c r="H137" s="293">
        <f>SUM(H138:H138)</f>
        <v>132000</v>
      </c>
    </row>
    <row r="138" spans="1:10" ht="12.75" customHeight="1" x14ac:dyDescent="0.2">
      <c r="A138" s="716"/>
      <c r="B138" s="389"/>
      <c r="C138" s="390" t="s">
        <v>212</v>
      </c>
      <c r="D138" s="377"/>
      <c r="E138" s="377">
        <v>2000</v>
      </c>
      <c r="F138" s="467">
        <v>66</v>
      </c>
      <c r="G138" s="374">
        <f t="shared" ref="G138" si="27">E138*F138</f>
        <v>132000</v>
      </c>
      <c r="H138" s="391">
        <f t="shared" ref="H138" si="28">D138+G138</f>
        <v>132000</v>
      </c>
      <c r="I138" s="392" t="s">
        <v>213</v>
      </c>
      <c r="J138" s="393">
        <f>+H136+H135+H134+H133+H132+H131+H130+H128+H127+H126+H125+H124+H123+H122+H121+H119+H116+H115+H114+H113+H112+H110+H108+H107+H101+H100+H99+H97+H96+H95+H94+H93+H92+H91+H90+H89+H88+H87</f>
        <v>2936697.6</v>
      </c>
    </row>
    <row r="139" spans="1:10" ht="12.75" customHeight="1" collapsed="1" thickBot="1" x14ac:dyDescent="0.25">
      <c r="A139" s="717"/>
      <c r="B139" s="394"/>
      <c r="C139" s="395" t="s">
        <v>104</v>
      </c>
      <c r="D139" s="396">
        <f>SUM(D76,D103)</f>
        <v>26304762.960000001</v>
      </c>
      <c r="E139" s="397"/>
      <c r="F139" s="397"/>
      <c r="G139" s="396">
        <f>SUM(G76,G103)</f>
        <v>5284393</v>
      </c>
      <c r="H139" s="398">
        <f>SUM(H76,H103)</f>
        <v>31589155.960000001</v>
      </c>
      <c r="I139" s="399" t="s">
        <v>214</v>
      </c>
      <c r="J139" s="400">
        <f>+H139-J138</f>
        <v>28652458.359999999</v>
      </c>
    </row>
    <row r="140" spans="1:10" ht="31.5" customHeight="1" x14ac:dyDescent="0.2">
      <c r="A140" s="790" t="s">
        <v>224</v>
      </c>
      <c r="B140" s="401"/>
      <c r="C140" s="402" t="s">
        <v>11</v>
      </c>
      <c r="D140" s="403">
        <f>SUM(D141,D146)</f>
        <v>0</v>
      </c>
      <c r="E140" s="404"/>
      <c r="F140" s="404"/>
      <c r="G140" s="405">
        <f>SUM(G141,G146)</f>
        <v>0</v>
      </c>
      <c r="H140" s="406">
        <f>SUM(H141,H146)</f>
        <v>0</v>
      </c>
      <c r="I140" s="407"/>
      <c r="J140" s="407"/>
    </row>
    <row r="141" spans="1:10" ht="15.75" customHeight="1" x14ac:dyDescent="0.2">
      <c r="A141" s="791"/>
      <c r="B141" s="408"/>
      <c r="C141" s="409" t="s">
        <v>12</v>
      </c>
      <c r="D141" s="410">
        <f>SUM(D142:D145)</f>
        <v>0</v>
      </c>
      <c r="E141" s="411"/>
      <c r="F141" s="411"/>
      <c r="G141" s="412">
        <f>SUM(G142:G145)</f>
        <v>0</v>
      </c>
      <c r="H141" s="413">
        <f>SUM(H142:H145)</f>
        <v>0</v>
      </c>
      <c r="I141" s="407"/>
      <c r="J141" s="407"/>
    </row>
    <row r="142" spans="1:10" ht="15.75" customHeight="1" x14ac:dyDescent="0.2">
      <c r="A142" s="791"/>
      <c r="B142" s="414">
        <v>53103040100000</v>
      </c>
      <c r="C142" s="415" t="s">
        <v>94</v>
      </c>
      <c r="D142" s="416">
        <f>'F) Remuneraciones'!L31</f>
        <v>0</v>
      </c>
      <c r="E142" s="417">
        <v>0</v>
      </c>
      <c r="F142" s="418">
        <v>0</v>
      </c>
      <c r="G142" s="419">
        <f>E142*F142</f>
        <v>0</v>
      </c>
      <c r="H142" s="420">
        <f>D142+G142</f>
        <v>0</v>
      </c>
      <c r="I142" s="407"/>
      <c r="J142" s="407"/>
    </row>
    <row r="143" spans="1:10" ht="15.75" customHeight="1" x14ac:dyDescent="0.2">
      <c r="A143" s="791"/>
      <c r="B143" s="414">
        <v>53103050000000</v>
      </c>
      <c r="C143" s="415" t="s">
        <v>167</v>
      </c>
      <c r="D143" s="421">
        <v>0</v>
      </c>
      <c r="E143" s="422">
        <v>0</v>
      </c>
      <c r="F143" s="423">
        <v>0</v>
      </c>
      <c r="G143" s="419">
        <f>E143*F143</f>
        <v>0</v>
      </c>
      <c r="H143" s="420">
        <f>D143+G143</f>
        <v>0</v>
      </c>
      <c r="I143" s="407"/>
      <c r="J143" s="407"/>
    </row>
    <row r="144" spans="1:10" ht="15.75" customHeight="1" x14ac:dyDescent="0.2">
      <c r="A144" s="791"/>
      <c r="B144" s="424">
        <v>53103040400000</v>
      </c>
      <c r="C144" s="425" t="s">
        <v>168</v>
      </c>
      <c r="D144" s="421">
        <v>0</v>
      </c>
      <c r="E144" s="422">
        <v>0</v>
      </c>
      <c r="F144" s="423">
        <v>0</v>
      </c>
      <c r="G144" s="419">
        <f>E144*F144</f>
        <v>0</v>
      </c>
      <c r="H144" s="420">
        <f>D144+G144</f>
        <v>0</v>
      </c>
      <c r="I144" s="407"/>
      <c r="J144" s="407"/>
    </row>
    <row r="145" spans="1:10" ht="15.75" customHeight="1" x14ac:dyDescent="0.2">
      <c r="A145" s="791"/>
      <c r="B145" s="414">
        <v>53103080010000</v>
      </c>
      <c r="C145" s="415" t="s">
        <v>169</v>
      </c>
      <c r="D145" s="421">
        <v>0</v>
      </c>
      <c r="E145" s="422">
        <v>0</v>
      </c>
      <c r="F145" s="423">
        <v>0</v>
      </c>
      <c r="G145" s="419">
        <f>E145*F145</f>
        <v>0</v>
      </c>
      <c r="H145" s="420">
        <f>D145+G145</f>
        <v>0</v>
      </c>
      <c r="I145" s="407"/>
      <c r="J145" s="407"/>
    </row>
    <row r="146" spans="1:10" ht="15.75" customHeight="1" x14ac:dyDescent="0.2">
      <c r="A146" s="791"/>
      <c r="B146" s="408"/>
      <c r="C146" s="409" t="s">
        <v>16</v>
      </c>
      <c r="D146" s="410">
        <f>SUM(D147:D166)</f>
        <v>0</v>
      </c>
      <c r="E146" s="411"/>
      <c r="F146" s="411"/>
      <c r="G146" s="410">
        <f>SUM(G147:G166)</f>
        <v>0</v>
      </c>
      <c r="H146" s="413">
        <f>SUM(H147:H166)</f>
        <v>0</v>
      </c>
      <c r="I146" s="407"/>
      <c r="J146" s="407"/>
    </row>
    <row r="147" spans="1:10" ht="15.75" customHeight="1" x14ac:dyDescent="0.2">
      <c r="A147" s="791"/>
      <c r="B147" s="414">
        <v>53201010100000</v>
      </c>
      <c r="C147" s="426" t="s">
        <v>170</v>
      </c>
      <c r="D147" s="421">
        <v>0</v>
      </c>
      <c r="E147" s="422">
        <v>0</v>
      </c>
      <c r="F147" s="423">
        <v>0</v>
      </c>
      <c r="G147" s="419">
        <f t="shared" ref="G147:G166" si="29">E147*F147</f>
        <v>0</v>
      </c>
      <c r="H147" s="420">
        <f t="shared" ref="H147:H166" si="30">D147+G147</f>
        <v>0</v>
      </c>
      <c r="I147" s="407"/>
      <c r="J147" s="407"/>
    </row>
    <row r="148" spans="1:10" ht="15.75" customHeight="1" x14ac:dyDescent="0.2">
      <c r="A148" s="791"/>
      <c r="B148" s="414">
        <v>53201010100000</v>
      </c>
      <c r="C148" s="426" t="s">
        <v>171</v>
      </c>
      <c r="D148" s="421">
        <v>0</v>
      </c>
      <c r="E148" s="422">
        <v>0</v>
      </c>
      <c r="F148" s="423">
        <v>0</v>
      </c>
      <c r="G148" s="419">
        <f t="shared" si="29"/>
        <v>0</v>
      </c>
      <c r="H148" s="420">
        <f t="shared" si="30"/>
        <v>0</v>
      </c>
      <c r="I148" s="407"/>
      <c r="J148" s="407"/>
    </row>
    <row r="149" spans="1:10" ht="15.75" customHeight="1" x14ac:dyDescent="0.2">
      <c r="A149" s="791"/>
      <c r="B149" s="414">
        <v>53201010100000</v>
      </c>
      <c r="C149" s="426" t="s">
        <v>172</v>
      </c>
      <c r="D149" s="421">
        <v>0</v>
      </c>
      <c r="E149" s="422">
        <v>0</v>
      </c>
      <c r="F149" s="423">
        <v>0</v>
      </c>
      <c r="G149" s="419">
        <f t="shared" si="29"/>
        <v>0</v>
      </c>
      <c r="H149" s="420">
        <f t="shared" si="30"/>
        <v>0</v>
      </c>
      <c r="I149" s="407"/>
      <c r="J149" s="407"/>
    </row>
    <row r="150" spans="1:10" ht="15.75" customHeight="1" x14ac:dyDescent="0.2">
      <c r="A150" s="791"/>
      <c r="B150" s="414">
        <v>53202010100000</v>
      </c>
      <c r="C150" s="415" t="s">
        <v>173</v>
      </c>
      <c r="D150" s="421">
        <v>0</v>
      </c>
      <c r="E150" s="422">
        <v>0</v>
      </c>
      <c r="F150" s="423">
        <v>0</v>
      </c>
      <c r="G150" s="419">
        <f t="shared" si="29"/>
        <v>0</v>
      </c>
      <c r="H150" s="420">
        <f t="shared" si="30"/>
        <v>0</v>
      </c>
      <c r="I150" s="407"/>
      <c r="J150" s="407"/>
    </row>
    <row r="151" spans="1:10" ht="15.75" customHeight="1" x14ac:dyDescent="0.2">
      <c r="A151" s="791"/>
      <c r="B151" s="414">
        <v>53203010100000</v>
      </c>
      <c r="C151" s="415" t="s">
        <v>19</v>
      </c>
      <c r="D151" s="427">
        <v>0</v>
      </c>
      <c r="E151" s="428">
        <v>0</v>
      </c>
      <c r="F151" s="429">
        <v>0</v>
      </c>
      <c r="G151" s="419">
        <f t="shared" si="29"/>
        <v>0</v>
      </c>
      <c r="H151" s="420">
        <f t="shared" si="30"/>
        <v>0</v>
      </c>
      <c r="I151" s="407"/>
      <c r="J151" s="407"/>
    </row>
    <row r="152" spans="1:10" ht="15.75" customHeight="1" x14ac:dyDescent="0.2">
      <c r="A152" s="791"/>
      <c r="B152" s="414">
        <v>53203030000000</v>
      </c>
      <c r="C152" s="415" t="s">
        <v>174</v>
      </c>
      <c r="D152" s="427">
        <v>0</v>
      </c>
      <c r="E152" s="428">
        <v>0</v>
      </c>
      <c r="F152" s="429">
        <v>0</v>
      </c>
      <c r="G152" s="419">
        <f t="shared" si="29"/>
        <v>0</v>
      </c>
      <c r="H152" s="420">
        <f t="shared" si="30"/>
        <v>0</v>
      </c>
      <c r="I152" s="407"/>
      <c r="J152" s="407"/>
    </row>
    <row r="153" spans="1:10" ht="15.75" customHeight="1" x14ac:dyDescent="0.2">
      <c r="A153" s="791"/>
      <c r="B153" s="414">
        <v>53204030000000</v>
      </c>
      <c r="C153" s="415" t="s">
        <v>209</v>
      </c>
      <c r="D153" s="427">
        <v>0</v>
      </c>
      <c r="E153" s="428">
        <v>0</v>
      </c>
      <c r="F153" s="429">
        <v>0</v>
      </c>
      <c r="G153" s="419">
        <f t="shared" si="29"/>
        <v>0</v>
      </c>
      <c r="H153" s="420">
        <f>D153+G153</f>
        <v>0</v>
      </c>
      <c r="I153" s="407"/>
      <c r="J153" s="407"/>
    </row>
    <row r="154" spans="1:10" ht="15.75" customHeight="1" x14ac:dyDescent="0.2">
      <c r="A154" s="791"/>
      <c r="B154" s="414">
        <v>53204100100001</v>
      </c>
      <c r="C154" s="415" t="s">
        <v>22</v>
      </c>
      <c r="D154" s="427">
        <v>0</v>
      </c>
      <c r="E154" s="428">
        <v>0</v>
      </c>
      <c r="F154" s="429">
        <v>0</v>
      </c>
      <c r="G154" s="419">
        <f t="shared" si="29"/>
        <v>0</v>
      </c>
      <c r="H154" s="420">
        <f t="shared" si="30"/>
        <v>0</v>
      </c>
      <c r="I154" s="407"/>
      <c r="J154" s="407"/>
    </row>
    <row r="155" spans="1:10" ht="15.75" customHeight="1" x14ac:dyDescent="0.2">
      <c r="A155" s="791"/>
      <c r="B155" s="414">
        <v>53204130100000</v>
      </c>
      <c r="C155" s="415" t="s">
        <v>176</v>
      </c>
      <c r="D155" s="427">
        <v>0</v>
      </c>
      <c r="E155" s="428">
        <v>0</v>
      </c>
      <c r="F155" s="429">
        <v>0</v>
      </c>
      <c r="G155" s="419">
        <f t="shared" si="29"/>
        <v>0</v>
      </c>
      <c r="H155" s="420">
        <f t="shared" si="30"/>
        <v>0</v>
      </c>
      <c r="I155" s="407"/>
      <c r="J155" s="407"/>
    </row>
    <row r="156" spans="1:10" ht="15.75" customHeight="1" x14ac:dyDescent="0.2">
      <c r="A156" s="791"/>
      <c r="B156" s="414">
        <v>53205010100000</v>
      </c>
      <c r="C156" s="415" t="s">
        <v>24</v>
      </c>
      <c r="D156" s="427">
        <v>0</v>
      </c>
      <c r="E156" s="428">
        <v>0</v>
      </c>
      <c r="F156" s="429">
        <v>0</v>
      </c>
      <c r="G156" s="419">
        <f t="shared" si="29"/>
        <v>0</v>
      </c>
      <c r="H156" s="420">
        <f t="shared" si="30"/>
        <v>0</v>
      </c>
      <c r="I156" s="407"/>
      <c r="J156" s="407"/>
    </row>
    <row r="157" spans="1:10" ht="15.75" customHeight="1" x14ac:dyDescent="0.2">
      <c r="A157" s="791"/>
      <c r="B157" s="414">
        <v>53205020100000</v>
      </c>
      <c r="C157" s="415" t="s">
        <v>25</v>
      </c>
      <c r="D157" s="427">
        <v>0</v>
      </c>
      <c r="E157" s="428">
        <v>0</v>
      </c>
      <c r="F157" s="429">
        <v>0</v>
      </c>
      <c r="G157" s="419">
        <f t="shared" si="29"/>
        <v>0</v>
      </c>
      <c r="H157" s="420">
        <f t="shared" si="30"/>
        <v>0</v>
      </c>
      <c r="I157" s="407"/>
      <c r="J157" s="407"/>
    </row>
    <row r="158" spans="1:10" ht="15.75" customHeight="1" x14ac:dyDescent="0.2">
      <c r="A158" s="791"/>
      <c r="B158" s="414">
        <v>53205030100000</v>
      </c>
      <c r="C158" s="415" t="s">
        <v>26</v>
      </c>
      <c r="D158" s="427">
        <v>0</v>
      </c>
      <c r="E158" s="428">
        <v>0</v>
      </c>
      <c r="F158" s="429">
        <v>0</v>
      </c>
      <c r="G158" s="419">
        <f t="shared" si="29"/>
        <v>0</v>
      </c>
      <c r="H158" s="420">
        <f t="shared" si="30"/>
        <v>0</v>
      </c>
      <c r="I158" s="407"/>
      <c r="J158" s="407"/>
    </row>
    <row r="159" spans="1:10" ht="15.75" customHeight="1" x14ac:dyDescent="0.2">
      <c r="A159" s="791"/>
      <c r="B159" s="414">
        <v>53205050100000</v>
      </c>
      <c r="C159" s="415" t="s">
        <v>27</v>
      </c>
      <c r="D159" s="427">
        <v>0</v>
      </c>
      <c r="E159" s="428">
        <v>0</v>
      </c>
      <c r="F159" s="429">
        <v>0</v>
      </c>
      <c r="G159" s="419">
        <f t="shared" si="29"/>
        <v>0</v>
      </c>
      <c r="H159" s="420">
        <f t="shared" si="30"/>
        <v>0</v>
      </c>
      <c r="I159" s="407"/>
      <c r="J159" s="407"/>
    </row>
    <row r="160" spans="1:10" ht="15.75" customHeight="1" x14ac:dyDescent="0.2">
      <c r="A160" s="791"/>
      <c r="B160" s="414">
        <v>53205070100000</v>
      </c>
      <c r="C160" s="415" t="s">
        <v>29</v>
      </c>
      <c r="D160" s="427">
        <v>0</v>
      </c>
      <c r="E160" s="428">
        <v>0</v>
      </c>
      <c r="F160" s="429">
        <v>0</v>
      </c>
      <c r="G160" s="419">
        <f t="shared" si="29"/>
        <v>0</v>
      </c>
      <c r="H160" s="420">
        <f t="shared" si="30"/>
        <v>0</v>
      </c>
      <c r="I160" s="407"/>
      <c r="J160" s="407"/>
    </row>
    <row r="161" spans="1:10" ht="15.75" customHeight="1" x14ac:dyDescent="0.2">
      <c r="A161" s="791"/>
      <c r="B161" s="414">
        <v>53208010100000</v>
      </c>
      <c r="C161" s="415" t="s">
        <v>30</v>
      </c>
      <c r="D161" s="427">
        <v>0</v>
      </c>
      <c r="E161" s="428">
        <v>0</v>
      </c>
      <c r="F161" s="429">
        <v>0</v>
      </c>
      <c r="G161" s="419">
        <f t="shared" si="29"/>
        <v>0</v>
      </c>
      <c r="H161" s="420">
        <f t="shared" si="30"/>
        <v>0</v>
      </c>
      <c r="I161" s="407"/>
      <c r="J161" s="407"/>
    </row>
    <row r="162" spans="1:10" ht="15.75" customHeight="1" x14ac:dyDescent="0.2">
      <c r="A162" s="791"/>
      <c r="B162" s="414">
        <v>53208070100001</v>
      </c>
      <c r="C162" s="415" t="s">
        <v>31</v>
      </c>
      <c r="D162" s="421">
        <v>0</v>
      </c>
      <c r="E162" s="422">
        <v>0</v>
      </c>
      <c r="F162" s="423">
        <v>0</v>
      </c>
      <c r="G162" s="419">
        <f t="shared" si="29"/>
        <v>0</v>
      </c>
      <c r="H162" s="420">
        <f t="shared" si="30"/>
        <v>0</v>
      </c>
      <c r="I162" s="407"/>
      <c r="J162" s="407"/>
    </row>
    <row r="163" spans="1:10" ht="15.75" customHeight="1" x14ac:dyDescent="0.2">
      <c r="A163" s="791"/>
      <c r="B163" s="414">
        <v>53208100100001</v>
      </c>
      <c r="C163" s="415" t="s">
        <v>177</v>
      </c>
      <c r="D163" s="427">
        <v>0</v>
      </c>
      <c r="E163" s="428">
        <v>0</v>
      </c>
      <c r="F163" s="429">
        <v>0</v>
      </c>
      <c r="G163" s="419">
        <f t="shared" si="29"/>
        <v>0</v>
      </c>
      <c r="H163" s="420">
        <f t="shared" si="30"/>
        <v>0</v>
      </c>
      <c r="I163" s="407"/>
      <c r="J163" s="407"/>
    </row>
    <row r="164" spans="1:10" ht="15.75" customHeight="1" x14ac:dyDescent="0.2">
      <c r="A164" s="791"/>
      <c r="B164" s="414">
        <v>53211030000000</v>
      </c>
      <c r="C164" s="415" t="s">
        <v>32</v>
      </c>
      <c r="D164" s="427">
        <v>0</v>
      </c>
      <c r="E164" s="428">
        <v>0</v>
      </c>
      <c r="F164" s="429">
        <v>0</v>
      </c>
      <c r="G164" s="419">
        <f t="shared" si="29"/>
        <v>0</v>
      </c>
      <c r="H164" s="420">
        <f t="shared" si="30"/>
        <v>0</v>
      </c>
      <c r="I164" s="407"/>
      <c r="J164" s="407"/>
    </row>
    <row r="165" spans="1:10" ht="15.75" customHeight="1" x14ac:dyDescent="0.2">
      <c r="A165" s="791"/>
      <c r="B165" s="414">
        <v>53212020100000</v>
      </c>
      <c r="C165" s="415" t="s">
        <v>178</v>
      </c>
      <c r="D165" s="427">
        <v>0</v>
      </c>
      <c r="E165" s="428">
        <v>0</v>
      </c>
      <c r="F165" s="429">
        <v>0</v>
      </c>
      <c r="G165" s="419">
        <f t="shared" si="29"/>
        <v>0</v>
      </c>
      <c r="H165" s="420">
        <f t="shared" si="30"/>
        <v>0</v>
      </c>
      <c r="I165" s="407"/>
      <c r="J165" s="407"/>
    </row>
    <row r="166" spans="1:10" ht="15.75" customHeight="1" x14ac:dyDescent="0.2">
      <c r="A166" s="791"/>
      <c r="B166" s="414">
        <v>53214020000000</v>
      </c>
      <c r="C166" s="415" t="s">
        <v>179</v>
      </c>
      <c r="D166" s="421">
        <v>0</v>
      </c>
      <c r="E166" s="422">
        <v>0</v>
      </c>
      <c r="F166" s="423">
        <v>0</v>
      </c>
      <c r="G166" s="419">
        <f t="shared" si="29"/>
        <v>0</v>
      </c>
      <c r="H166" s="420">
        <f t="shared" si="30"/>
        <v>0</v>
      </c>
      <c r="I166" s="407"/>
      <c r="J166" s="407"/>
    </row>
    <row r="167" spans="1:10" ht="15.75" customHeight="1" x14ac:dyDescent="0.2">
      <c r="A167" s="791"/>
      <c r="B167" s="401"/>
      <c r="C167" s="402" t="s">
        <v>34</v>
      </c>
      <c r="D167" s="403">
        <v>0</v>
      </c>
      <c r="E167" s="404"/>
      <c r="F167" s="404"/>
      <c r="G167" s="403">
        <f>SUM(G168,G173,G175,G184,G193,G201)</f>
        <v>0</v>
      </c>
      <c r="H167" s="430">
        <f>SUM(H168,H173,H175,H184,H193,H201)</f>
        <v>0</v>
      </c>
      <c r="I167" s="407"/>
      <c r="J167" s="407"/>
    </row>
    <row r="168" spans="1:10" ht="15.75" customHeight="1" x14ac:dyDescent="0.2">
      <c r="A168" s="791"/>
      <c r="B168" s="408"/>
      <c r="C168" s="409" t="s">
        <v>35</v>
      </c>
      <c r="D168" s="410">
        <f>SUM(D169:D172)</f>
        <v>0</v>
      </c>
      <c r="E168" s="411"/>
      <c r="F168" s="411"/>
      <c r="G168" s="431">
        <f>SUM(G169:G172)</f>
        <v>0</v>
      </c>
      <c r="H168" s="432">
        <f>SUM(H169:H172)</f>
        <v>0</v>
      </c>
      <c r="I168" s="407"/>
      <c r="J168" s="407"/>
    </row>
    <row r="169" spans="1:10" ht="15.75" customHeight="1" x14ac:dyDescent="0.2">
      <c r="A169" s="791"/>
      <c r="B169" s="414">
        <v>53202020100000</v>
      </c>
      <c r="C169" s="415" t="s">
        <v>180</v>
      </c>
      <c r="D169" s="421">
        <v>0</v>
      </c>
      <c r="E169" s="422">
        <v>0</v>
      </c>
      <c r="F169" s="423">
        <v>0</v>
      </c>
      <c r="G169" s="419">
        <f>E169*F169</f>
        <v>0</v>
      </c>
      <c r="H169" s="420">
        <f t="shared" ref="H169:H202" si="31">D169+G169</f>
        <v>0</v>
      </c>
      <c r="I169" s="407"/>
      <c r="J169" s="407"/>
    </row>
    <row r="170" spans="1:10" ht="15.75" customHeight="1" x14ac:dyDescent="0.2">
      <c r="A170" s="791"/>
      <c r="B170" s="414">
        <v>53202030000000</v>
      </c>
      <c r="C170" s="415" t="s">
        <v>181</v>
      </c>
      <c r="D170" s="421">
        <v>0</v>
      </c>
      <c r="E170" s="422">
        <v>0</v>
      </c>
      <c r="F170" s="423">
        <v>0</v>
      </c>
      <c r="G170" s="419">
        <f t="shared" ref="G170:G202" si="32">E170*F170</f>
        <v>0</v>
      </c>
      <c r="H170" s="420">
        <f t="shared" si="31"/>
        <v>0</v>
      </c>
      <c r="I170" s="407"/>
      <c r="J170" s="407"/>
    </row>
    <row r="171" spans="1:10" ht="15.75" customHeight="1" x14ac:dyDescent="0.2">
      <c r="A171" s="791"/>
      <c r="B171" s="414">
        <v>53211020000000</v>
      </c>
      <c r="C171" s="415" t="s">
        <v>41</v>
      </c>
      <c r="D171" s="428">
        <f>O111</f>
        <v>0</v>
      </c>
      <c r="E171" s="428">
        <v>0</v>
      </c>
      <c r="F171" s="428">
        <v>0</v>
      </c>
      <c r="G171" s="419">
        <f t="shared" si="32"/>
        <v>0</v>
      </c>
      <c r="H171" s="420">
        <f t="shared" si="31"/>
        <v>0</v>
      </c>
      <c r="I171" s="407"/>
      <c r="J171" s="407"/>
    </row>
    <row r="172" spans="1:10" ht="15.75" customHeight="1" x14ac:dyDescent="0.2">
      <c r="A172" s="791"/>
      <c r="B172" s="414">
        <v>53101040600000</v>
      </c>
      <c r="C172" s="415" t="s">
        <v>182</v>
      </c>
      <c r="D172" s="428">
        <f>O112</f>
        <v>0</v>
      </c>
      <c r="E172" s="428">
        <v>0</v>
      </c>
      <c r="F172" s="428">
        <v>0</v>
      </c>
      <c r="G172" s="419">
        <f t="shared" si="32"/>
        <v>0</v>
      </c>
      <c r="H172" s="420">
        <f t="shared" si="31"/>
        <v>0</v>
      </c>
      <c r="I172" s="407"/>
      <c r="J172" s="407"/>
    </row>
    <row r="173" spans="1:10" ht="15.75" customHeight="1" x14ac:dyDescent="0.2">
      <c r="A173" s="791"/>
      <c r="B173" s="408"/>
      <c r="C173" s="409" t="s">
        <v>42</v>
      </c>
      <c r="D173" s="410">
        <f>SUM(D174:D174)</f>
        <v>0</v>
      </c>
      <c r="E173" s="411"/>
      <c r="F173" s="411"/>
      <c r="G173" s="431">
        <f>SUM(G174:G174)</f>
        <v>0</v>
      </c>
      <c r="H173" s="432">
        <f>SUM(H174:H174)</f>
        <v>0</v>
      </c>
      <c r="I173" s="407"/>
      <c r="J173" s="407"/>
    </row>
    <row r="174" spans="1:10" ht="15.75" customHeight="1" x14ac:dyDescent="0.2">
      <c r="A174" s="791"/>
      <c r="B174" s="433">
        <v>53205990000000</v>
      </c>
      <c r="C174" s="415" t="s">
        <v>44</v>
      </c>
      <c r="D174" s="428">
        <v>0</v>
      </c>
      <c r="E174" s="428">
        <v>0</v>
      </c>
      <c r="F174" s="428">
        <v>0</v>
      </c>
      <c r="G174" s="419">
        <f t="shared" si="32"/>
        <v>0</v>
      </c>
      <c r="H174" s="420">
        <f t="shared" si="31"/>
        <v>0</v>
      </c>
      <c r="I174" s="407"/>
      <c r="J174" s="407"/>
    </row>
    <row r="175" spans="1:10" ht="15.75" customHeight="1" x14ac:dyDescent="0.2">
      <c r="A175" s="791"/>
      <c r="B175" s="408"/>
      <c r="C175" s="409" t="s">
        <v>45</v>
      </c>
      <c r="D175" s="410">
        <f>SUM(D176:D183)</f>
        <v>0</v>
      </c>
      <c r="E175" s="411"/>
      <c r="F175" s="411"/>
      <c r="G175" s="410">
        <f>SUM(G176:G183)</f>
        <v>0</v>
      </c>
      <c r="H175" s="413">
        <f>SUM(H176:H183)</f>
        <v>0</v>
      </c>
      <c r="I175" s="407"/>
      <c r="J175" s="407"/>
    </row>
    <row r="176" spans="1:10" ht="15.75" customHeight="1" x14ac:dyDescent="0.2">
      <c r="A176" s="791"/>
      <c r="B176" s="414">
        <v>53204010000000</v>
      </c>
      <c r="C176" s="415" t="s">
        <v>47</v>
      </c>
      <c r="D176" s="428">
        <v>0</v>
      </c>
      <c r="E176" s="428">
        <v>0</v>
      </c>
      <c r="F176" s="428">
        <v>0</v>
      </c>
      <c r="G176" s="419">
        <f t="shared" si="32"/>
        <v>0</v>
      </c>
      <c r="H176" s="420">
        <f t="shared" si="31"/>
        <v>0</v>
      </c>
      <c r="I176" s="407"/>
      <c r="J176" s="407"/>
    </row>
    <row r="177" spans="1:10" ht="15.75" customHeight="1" x14ac:dyDescent="0.2">
      <c r="A177" s="791"/>
      <c r="B177" s="433">
        <v>53204040200000</v>
      </c>
      <c r="C177" s="415" t="s">
        <v>210</v>
      </c>
      <c r="D177" s="428">
        <v>0</v>
      </c>
      <c r="E177" s="428">
        <v>0</v>
      </c>
      <c r="F177" s="428">
        <v>0</v>
      </c>
      <c r="G177" s="419">
        <f t="shared" si="32"/>
        <v>0</v>
      </c>
      <c r="H177" s="420">
        <f t="shared" si="31"/>
        <v>0</v>
      </c>
      <c r="I177" s="407"/>
      <c r="J177" s="407"/>
    </row>
    <row r="178" spans="1:10" ht="15.75" customHeight="1" x14ac:dyDescent="0.2">
      <c r="A178" s="791"/>
      <c r="B178" s="414">
        <v>53204060000000</v>
      </c>
      <c r="C178" s="415" t="s">
        <v>49</v>
      </c>
      <c r="D178" s="428">
        <v>0</v>
      </c>
      <c r="E178" s="428">
        <v>0</v>
      </c>
      <c r="F178" s="428">
        <v>0</v>
      </c>
      <c r="G178" s="419">
        <f t="shared" si="32"/>
        <v>0</v>
      </c>
      <c r="H178" s="420">
        <f t="shared" si="31"/>
        <v>0</v>
      </c>
      <c r="I178" s="407"/>
      <c r="J178" s="407"/>
    </row>
    <row r="179" spans="1:10" ht="15.75" customHeight="1" x14ac:dyDescent="0.2">
      <c r="A179" s="791"/>
      <c r="B179" s="414">
        <v>53204070000000</v>
      </c>
      <c r="C179" s="415" t="s">
        <v>50</v>
      </c>
      <c r="D179" s="428">
        <v>0</v>
      </c>
      <c r="E179" s="428">
        <v>0</v>
      </c>
      <c r="F179" s="428">
        <v>0</v>
      </c>
      <c r="G179" s="419">
        <f t="shared" si="32"/>
        <v>0</v>
      </c>
      <c r="H179" s="420">
        <f t="shared" si="31"/>
        <v>0</v>
      </c>
      <c r="I179" s="407"/>
      <c r="J179" s="407"/>
    </row>
    <row r="180" spans="1:10" ht="15.75" customHeight="1" x14ac:dyDescent="0.2">
      <c r="A180" s="791"/>
      <c r="B180" s="414">
        <v>53204080000000</v>
      </c>
      <c r="C180" s="415" t="s">
        <v>51</v>
      </c>
      <c r="D180" s="428">
        <v>0</v>
      </c>
      <c r="E180" s="428">
        <v>0</v>
      </c>
      <c r="F180" s="428">
        <v>0</v>
      </c>
      <c r="G180" s="419">
        <f t="shared" si="32"/>
        <v>0</v>
      </c>
      <c r="H180" s="420">
        <f t="shared" si="31"/>
        <v>0</v>
      </c>
      <c r="I180" s="407"/>
      <c r="J180" s="407"/>
    </row>
    <row r="181" spans="1:10" ht="15.75" customHeight="1" x14ac:dyDescent="0.2">
      <c r="A181" s="791"/>
      <c r="B181" s="414">
        <v>53214010000000</v>
      </c>
      <c r="C181" s="415" t="s">
        <v>52</v>
      </c>
      <c r="D181" s="434">
        <v>0</v>
      </c>
      <c r="E181" s="434">
        <v>0</v>
      </c>
      <c r="F181" s="434">
        <v>0</v>
      </c>
      <c r="G181" s="419">
        <f t="shared" si="32"/>
        <v>0</v>
      </c>
      <c r="H181" s="420">
        <f t="shared" si="31"/>
        <v>0</v>
      </c>
      <c r="I181" s="407"/>
      <c r="J181" s="407"/>
    </row>
    <row r="182" spans="1:10" ht="15.75" customHeight="1" x14ac:dyDescent="0.2">
      <c r="A182" s="791"/>
      <c r="B182" s="414">
        <v>53214040000000</v>
      </c>
      <c r="C182" s="415" t="s">
        <v>183</v>
      </c>
      <c r="D182" s="434">
        <v>0</v>
      </c>
      <c r="E182" s="434">
        <v>0</v>
      </c>
      <c r="F182" s="434">
        <v>0</v>
      </c>
      <c r="G182" s="419">
        <f t="shared" si="32"/>
        <v>0</v>
      </c>
      <c r="H182" s="420">
        <f t="shared" si="31"/>
        <v>0</v>
      </c>
      <c r="I182" s="407"/>
      <c r="J182" s="407"/>
    </row>
    <row r="183" spans="1:10" ht="15.75" customHeight="1" x14ac:dyDescent="0.2">
      <c r="A183" s="791"/>
      <c r="B183" s="424">
        <v>53204020100000</v>
      </c>
      <c r="C183" s="415" t="s">
        <v>175</v>
      </c>
      <c r="D183" s="428">
        <v>0</v>
      </c>
      <c r="E183" s="428">
        <v>0</v>
      </c>
      <c r="F183" s="428">
        <v>0</v>
      </c>
      <c r="G183" s="419">
        <f t="shared" si="32"/>
        <v>0</v>
      </c>
      <c r="H183" s="420">
        <f t="shared" si="31"/>
        <v>0</v>
      </c>
      <c r="I183" s="407"/>
      <c r="J183" s="407"/>
    </row>
    <row r="184" spans="1:10" ht="15.75" customHeight="1" x14ac:dyDescent="0.2">
      <c r="A184" s="791"/>
      <c r="B184" s="408"/>
      <c r="C184" s="409" t="s">
        <v>55</v>
      </c>
      <c r="D184" s="410">
        <f>SUM(D185:D192)</f>
        <v>0</v>
      </c>
      <c r="E184" s="411"/>
      <c r="F184" s="411"/>
      <c r="G184" s="410">
        <f>SUM(G185:G192)</f>
        <v>0</v>
      </c>
      <c r="H184" s="413">
        <f>SUM(H185:H192)</f>
        <v>0</v>
      </c>
      <c r="I184" s="407"/>
      <c r="J184" s="407"/>
    </row>
    <row r="185" spans="1:10" ht="15.75" customHeight="1" x14ac:dyDescent="0.2">
      <c r="A185" s="791"/>
      <c r="B185" s="414">
        <v>53207010000000</v>
      </c>
      <c r="C185" s="415" t="s">
        <v>56</v>
      </c>
      <c r="D185" s="428">
        <v>0</v>
      </c>
      <c r="E185" s="428">
        <v>0</v>
      </c>
      <c r="F185" s="428">
        <v>0</v>
      </c>
      <c r="G185" s="419">
        <f t="shared" si="32"/>
        <v>0</v>
      </c>
      <c r="H185" s="420">
        <f t="shared" si="31"/>
        <v>0</v>
      </c>
      <c r="I185" s="407"/>
      <c r="J185" s="407"/>
    </row>
    <row r="186" spans="1:10" ht="15.75" customHeight="1" x14ac:dyDescent="0.2">
      <c r="A186" s="791"/>
      <c r="B186" s="414">
        <v>53207020000000</v>
      </c>
      <c r="C186" s="415" t="s">
        <v>57</v>
      </c>
      <c r="D186" s="428">
        <v>0</v>
      </c>
      <c r="E186" s="428">
        <v>0</v>
      </c>
      <c r="F186" s="428">
        <v>0</v>
      </c>
      <c r="G186" s="419">
        <f t="shared" si="32"/>
        <v>0</v>
      </c>
      <c r="H186" s="420">
        <f t="shared" si="31"/>
        <v>0</v>
      </c>
      <c r="I186" s="407"/>
      <c r="J186" s="407"/>
    </row>
    <row r="187" spans="1:10" ht="15.75" customHeight="1" x14ac:dyDescent="0.2">
      <c r="A187" s="791"/>
      <c r="B187" s="414">
        <v>53208020000000</v>
      </c>
      <c r="C187" s="415" t="s">
        <v>166</v>
      </c>
      <c r="D187" s="428">
        <v>0</v>
      </c>
      <c r="E187" s="428">
        <v>0</v>
      </c>
      <c r="F187" s="428">
        <v>0</v>
      </c>
      <c r="G187" s="419">
        <f t="shared" si="32"/>
        <v>0</v>
      </c>
      <c r="H187" s="420">
        <f t="shared" si="31"/>
        <v>0</v>
      </c>
      <c r="I187" s="407"/>
      <c r="J187" s="407"/>
    </row>
    <row r="188" spans="1:10" ht="15.75" customHeight="1" x14ac:dyDescent="0.2">
      <c r="A188" s="791"/>
      <c r="B188" s="414">
        <v>53208990000000</v>
      </c>
      <c r="C188" s="415" t="s">
        <v>184</v>
      </c>
      <c r="D188" s="428">
        <v>0</v>
      </c>
      <c r="E188" s="428">
        <v>0</v>
      </c>
      <c r="F188" s="428">
        <v>0</v>
      </c>
      <c r="G188" s="419">
        <f t="shared" si="32"/>
        <v>0</v>
      </c>
      <c r="H188" s="420">
        <f t="shared" si="31"/>
        <v>0</v>
      </c>
      <c r="I188" s="407"/>
      <c r="J188" s="407"/>
    </row>
    <row r="189" spans="1:10" ht="15.75" customHeight="1" x14ac:dyDescent="0.2">
      <c r="A189" s="791"/>
      <c r="B189" s="424">
        <v>53210020300000</v>
      </c>
      <c r="C189" s="415" t="s">
        <v>186</v>
      </c>
      <c r="D189" s="427">
        <v>0</v>
      </c>
      <c r="E189" s="427">
        <v>0</v>
      </c>
      <c r="F189" s="429">
        <v>0</v>
      </c>
      <c r="G189" s="419">
        <f t="shared" si="32"/>
        <v>0</v>
      </c>
      <c r="H189" s="420">
        <f t="shared" si="31"/>
        <v>0</v>
      </c>
      <c r="I189" s="407"/>
      <c r="J189" s="407"/>
    </row>
    <row r="190" spans="1:10" ht="15.75" customHeight="1" x14ac:dyDescent="0.2">
      <c r="A190" s="791"/>
      <c r="B190" s="414">
        <v>53208990000000</v>
      </c>
      <c r="C190" s="415" t="s">
        <v>187</v>
      </c>
      <c r="D190" s="428">
        <v>0</v>
      </c>
      <c r="E190" s="428">
        <v>0</v>
      </c>
      <c r="F190" s="428">
        <v>0</v>
      </c>
      <c r="G190" s="419">
        <f t="shared" si="32"/>
        <v>0</v>
      </c>
      <c r="H190" s="420">
        <f t="shared" si="31"/>
        <v>0</v>
      </c>
      <c r="I190" s="407"/>
      <c r="J190" s="407"/>
    </row>
    <row r="191" spans="1:10" ht="15.75" customHeight="1" x14ac:dyDescent="0.2">
      <c r="A191" s="791"/>
      <c r="B191" s="414">
        <v>53209990000000</v>
      </c>
      <c r="C191" s="415" t="s">
        <v>185</v>
      </c>
      <c r="D191" s="428">
        <v>0</v>
      </c>
      <c r="E191" s="428">
        <v>0</v>
      </c>
      <c r="F191" s="428">
        <v>0</v>
      </c>
      <c r="G191" s="419">
        <f t="shared" si="32"/>
        <v>0</v>
      </c>
      <c r="H191" s="420">
        <f t="shared" si="31"/>
        <v>0</v>
      </c>
      <c r="I191" s="407"/>
      <c r="J191" s="407"/>
    </row>
    <row r="192" spans="1:10" ht="15.75" customHeight="1" x14ac:dyDescent="0.2">
      <c r="A192" s="791"/>
      <c r="B192" s="414">
        <v>53210020100000</v>
      </c>
      <c r="C192" s="415" t="s">
        <v>64</v>
      </c>
      <c r="D192" s="428">
        <v>0</v>
      </c>
      <c r="E192" s="428">
        <v>0</v>
      </c>
      <c r="F192" s="428">
        <v>0</v>
      </c>
      <c r="G192" s="419">
        <f t="shared" si="32"/>
        <v>0</v>
      </c>
      <c r="H192" s="420">
        <f t="shared" si="31"/>
        <v>0</v>
      </c>
      <c r="I192" s="407"/>
      <c r="J192" s="407"/>
    </row>
    <row r="193" spans="1:10" ht="15.75" customHeight="1" x14ac:dyDescent="0.2">
      <c r="A193" s="791"/>
      <c r="B193" s="408"/>
      <c r="C193" s="409" t="s">
        <v>65</v>
      </c>
      <c r="D193" s="410">
        <f>SUM(D194:D200)</f>
        <v>0</v>
      </c>
      <c r="E193" s="411"/>
      <c r="F193" s="411"/>
      <c r="G193" s="410">
        <f>SUM(G194:G200)</f>
        <v>0</v>
      </c>
      <c r="H193" s="413">
        <f>SUM(H194:H200)</f>
        <v>0</v>
      </c>
      <c r="I193" s="407"/>
      <c r="J193" s="407"/>
    </row>
    <row r="194" spans="1:10" ht="15.75" customHeight="1" x14ac:dyDescent="0.2">
      <c r="A194" s="791"/>
      <c r="B194" s="414">
        <v>53206030000000</v>
      </c>
      <c r="C194" s="415" t="s">
        <v>98</v>
      </c>
      <c r="D194" s="428">
        <v>0</v>
      </c>
      <c r="E194" s="428">
        <v>0</v>
      </c>
      <c r="F194" s="428">
        <v>0</v>
      </c>
      <c r="G194" s="419">
        <f t="shared" si="32"/>
        <v>0</v>
      </c>
      <c r="H194" s="420">
        <f t="shared" si="31"/>
        <v>0</v>
      </c>
      <c r="I194" s="407"/>
      <c r="J194" s="407"/>
    </row>
    <row r="195" spans="1:10" ht="15.75" customHeight="1" x14ac:dyDescent="0.2">
      <c r="A195" s="791"/>
      <c r="B195" s="414">
        <v>53206040000000</v>
      </c>
      <c r="C195" s="415" t="s">
        <v>99</v>
      </c>
      <c r="D195" s="428">
        <v>0</v>
      </c>
      <c r="E195" s="428">
        <v>0</v>
      </c>
      <c r="F195" s="428">
        <v>0</v>
      </c>
      <c r="G195" s="419">
        <f t="shared" si="32"/>
        <v>0</v>
      </c>
      <c r="H195" s="420">
        <f t="shared" si="31"/>
        <v>0</v>
      </c>
      <c r="I195" s="407"/>
      <c r="J195" s="407"/>
    </row>
    <row r="196" spans="1:10" ht="15.75" customHeight="1" x14ac:dyDescent="0.2">
      <c r="A196" s="791"/>
      <c r="B196" s="414">
        <v>53206060000000</v>
      </c>
      <c r="C196" s="415" t="s">
        <v>188</v>
      </c>
      <c r="D196" s="428">
        <v>0</v>
      </c>
      <c r="E196" s="428">
        <v>0</v>
      </c>
      <c r="F196" s="428">
        <v>0</v>
      </c>
      <c r="G196" s="419">
        <f t="shared" si="32"/>
        <v>0</v>
      </c>
      <c r="H196" s="420">
        <f t="shared" si="31"/>
        <v>0</v>
      </c>
      <c r="I196" s="407"/>
      <c r="J196" s="407"/>
    </row>
    <row r="197" spans="1:10" ht="15.75" customHeight="1" x14ac:dyDescent="0.2">
      <c r="A197" s="791"/>
      <c r="B197" s="414">
        <v>53206070000000</v>
      </c>
      <c r="C197" s="415" t="s">
        <v>101</v>
      </c>
      <c r="D197" s="428">
        <v>0</v>
      </c>
      <c r="E197" s="428">
        <v>0</v>
      </c>
      <c r="F197" s="428">
        <v>0</v>
      </c>
      <c r="G197" s="419">
        <f t="shared" si="32"/>
        <v>0</v>
      </c>
      <c r="H197" s="420">
        <f t="shared" si="31"/>
        <v>0</v>
      </c>
      <c r="I197" s="407"/>
      <c r="J197" s="407"/>
    </row>
    <row r="198" spans="1:10" ht="15.75" customHeight="1" x14ac:dyDescent="0.2">
      <c r="A198" s="791"/>
      <c r="B198" s="414">
        <v>53206990000000</v>
      </c>
      <c r="C198" s="415" t="s">
        <v>189</v>
      </c>
      <c r="D198" s="428">
        <v>0</v>
      </c>
      <c r="E198" s="428">
        <v>0</v>
      </c>
      <c r="F198" s="428">
        <v>0</v>
      </c>
      <c r="G198" s="419">
        <f t="shared" si="32"/>
        <v>0</v>
      </c>
      <c r="H198" s="420">
        <f t="shared" si="31"/>
        <v>0</v>
      </c>
      <c r="I198" s="407"/>
      <c r="J198" s="407"/>
    </row>
    <row r="199" spans="1:10" ht="15.75" customHeight="1" x14ac:dyDescent="0.2">
      <c r="A199" s="791"/>
      <c r="B199" s="414">
        <v>53208030000000</v>
      </c>
      <c r="C199" s="415" t="s">
        <v>103</v>
      </c>
      <c r="D199" s="428">
        <v>0</v>
      </c>
      <c r="E199" s="428">
        <v>0</v>
      </c>
      <c r="F199" s="428">
        <v>0</v>
      </c>
      <c r="G199" s="419">
        <f t="shared" si="32"/>
        <v>0</v>
      </c>
      <c r="H199" s="420">
        <f t="shared" si="31"/>
        <v>0</v>
      </c>
      <c r="I199" s="407"/>
      <c r="J199" s="407"/>
    </row>
    <row r="200" spans="1:10" ht="15.75" customHeight="1" x14ac:dyDescent="0.2">
      <c r="A200" s="791"/>
      <c r="B200" s="414">
        <v>53206990000000</v>
      </c>
      <c r="C200" s="415" t="s">
        <v>211</v>
      </c>
      <c r="D200" s="428">
        <v>0</v>
      </c>
      <c r="E200" s="428">
        <v>0</v>
      </c>
      <c r="F200" s="428">
        <v>0</v>
      </c>
      <c r="G200" s="419">
        <f t="shared" si="32"/>
        <v>0</v>
      </c>
      <c r="H200" s="420">
        <f t="shared" si="31"/>
        <v>0</v>
      </c>
      <c r="I200" s="407"/>
      <c r="J200" s="407"/>
    </row>
    <row r="201" spans="1:10" ht="15.75" customHeight="1" x14ac:dyDescent="0.2">
      <c r="A201" s="791"/>
      <c r="B201" s="408"/>
      <c r="C201" s="409" t="s">
        <v>66</v>
      </c>
      <c r="D201" s="410">
        <f>SUM(D202:D202)</f>
        <v>0</v>
      </c>
      <c r="E201" s="411"/>
      <c r="F201" s="411"/>
      <c r="G201" s="410">
        <f>SUM(G202:G202)</f>
        <v>0</v>
      </c>
      <c r="H201" s="413">
        <f>SUM(H202:H202)</f>
        <v>0</v>
      </c>
      <c r="I201" s="407"/>
      <c r="J201" s="407"/>
    </row>
    <row r="202" spans="1:10" ht="15.75" customHeight="1" x14ac:dyDescent="0.2">
      <c r="A202" s="791"/>
      <c r="B202" s="435"/>
      <c r="C202" s="436" t="s">
        <v>212</v>
      </c>
      <c r="D202" s="421">
        <v>0</v>
      </c>
      <c r="E202" s="421">
        <v>0</v>
      </c>
      <c r="F202" s="423">
        <v>0</v>
      </c>
      <c r="G202" s="419">
        <f t="shared" si="32"/>
        <v>0</v>
      </c>
      <c r="H202" s="437">
        <f t="shared" si="31"/>
        <v>0</v>
      </c>
      <c r="I202" s="438" t="s">
        <v>213</v>
      </c>
      <c r="J202" s="505">
        <f>+H200+H199+H198+H197+H196+H195+H194+H192+H191+H190+H189+H188+H187+H186+H185+H183+H180+H179+H178+H177+H176+H174+H172+H171+H165+H164+H163+H161+H160+H159+H158+H157+H156+H155+H154+H153+H152+H151</f>
        <v>0</v>
      </c>
    </row>
    <row r="203" spans="1:10" ht="15.75" customHeight="1" thickBot="1" x14ac:dyDescent="0.25">
      <c r="A203" s="792"/>
      <c r="B203" s="439"/>
      <c r="C203" s="440" t="s">
        <v>104</v>
      </c>
      <c r="D203" s="441">
        <f>SUM(D140,D167)</f>
        <v>0</v>
      </c>
      <c r="E203" s="442"/>
      <c r="F203" s="442"/>
      <c r="G203" s="441">
        <f>SUM(G140,G167)</f>
        <v>0</v>
      </c>
      <c r="H203" s="443">
        <f>SUM(H140,H167)</f>
        <v>0</v>
      </c>
      <c r="I203" s="444" t="s">
        <v>214</v>
      </c>
      <c r="J203" s="506">
        <f>+H203-J202</f>
        <v>0</v>
      </c>
    </row>
    <row r="204" spans="1:10" x14ac:dyDescent="0.2">
      <c r="B204" s="289"/>
      <c r="C204" s="290" t="s">
        <v>104</v>
      </c>
      <c r="D204" s="291">
        <f>SUM(D203+D75)</f>
        <v>56491625.619999997</v>
      </c>
      <c r="E204" s="291">
        <f>SUM(E203+E75)</f>
        <v>0</v>
      </c>
      <c r="F204" s="291">
        <f>SUM(F203+F75)</f>
        <v>0</v>
      </c>
      <c r="G204" s="291">
        <f>SUM(G203+G75)</f>
        <v>33575698</v>
      </c>
      <c r="H204" s="291">
        <f>SUM(H203+H75+H139)</f>
        <v>121656479.58000001</v>
      </c>
    </row>
    <row r="206" spans="1:10" x14ac:dyDescent="0.2">
      <c r="I206" s="299" t="s">
        <v>215</v>
      </c>
      <c r="J206" s="300">
        <f>SUM(J202+J74+J138)</f>
        <v>14998888</v>
      </c>
    </row>
    <row r="207" spans="1:10" x14ac:dyDescent="0.2">
      <c r="I207" s="301" t="s">
        <v>216</v>
      </c>
      <c r="J207" s="302">
        <f>SUM(J203+J75+J139)</f>
        <v>106657591.58</v>
      </c>
    </row>
  </sheetData>
  <sheetProtection algorithmName="SHA-512" hashValue="5NqM5/97u7LH++l52Dk2CA7C3pT5CzKwSXqOPimkda9uu6YEsVB8VGG8y0EodXwLJfmtQts58i/HK8EKgQqlUg==" saltValue="+0KqmrwvTeAzsntNG/xCdg==" spinCount="100000" sheet="1" objects="1" scenarios="1"/>
  <mergeCells count="15">
    <mergeCell ref="L10:L11"/>
    <mergeCell ref="M10:M11"/>
    <mergeCell ref="N10:N11"/>
    <mergeCell ref="O10:O11"/>
    <mergeCell ref="D4:E4"/>
    <mergeCell ref="E10:G10"/>
    <mergeCell ref="D10:D11"/>
    <mergeCell ref="H10:H11"/>
    <mergeCell ref="A8:C8"/>
    <mergeCell ref="A10:A11"/>
    <mergeCell ref="C10:C11"/>
    <mergeCell ref="B10:B11"/>
    <mergeCell ref="A140:A203"/>
    <mergeCell ref="A76:A139"/>
    <mergeCell ref="A12:A75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D.B.S.A.ORDINARIO&amp;R02-BS/0307/02pag &amp;P de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101"/>
  <sheetViews>
    <sheetView showGridLines="0" topLeftCell="I10" zoomScale="80" zoomScaleNormal="80" workbookViewId="0">
      <selection activeCell="T12" sqref="T12"/>
    </sheetView>
  </sheetViews>
  <sheetFormatPr baseColWidth="10" defaultColWidth="11.42578125" defaultRowHeight="12.75" x14ac:dyDescent="0.2"/>
  <cols>
    <col min="1" max="1" width="11.5703125" style="20" customWidth="1"/>
    <col min="2" max="2" width="28" style="20" customWidth="1"/>
    <col min="3" max="3" width="28.7109375" style="20" customWidth="1"/>
    <col min="4" max="4" width="24.140625" style="20" customWidth="1"/>
    <col min="5" max="5" width="25.140625" style="20" customWidth="1"/>
    <col min="6" max="6" width="22.140625" style="20" customWidth="1"/>
    <col min="7" max="7" width="14.85546875" style="20" customWidth="1"/>
    <col min="8" max="8" width="15" style="20" customWidth="1"/>
    <col min="9" max="9" width="15.140625" style="20" customWidth="1"/>
    <col min="10" max="10" width="17.42578125" style="20" customWidth="1"/>
    <col min="11" max="11" width="19.140625" style="20" customWidth="1"/>
    <col min="12" max="12" width="4.85546875" style="20" customWidth="1"/>
    <col min="13" max="13" width="19.140625" style="20" customWidth="1"/>
    <col min="14" max="14" width="16.140625" style="20" customWidth="1"/>
    <col min="15" max="15" width="17.140625" style="20" customWidth="1"/>
    <col min="16" max="16" width="14.85546875" style="20" customWidth="1"/>
    <col min="17" max="17" width="17.7109375" style="20" customWidth="1"/>
    <col min="18" max="18" width="17.140625" style="20" customWidth="1"/>
    <col min="19" max="19" width="17.42578125" style="20" customWidth="1"/>
    <col min="20" max="20" width="5" style="20" customWidth="1"/>
    <col min="21" max="21" width="19.85546875" style="20" bestFit="1" customWidth="1"/>
    <col min="22" max="22" width="52.140625" style="20" bestFit="1" customWidth="1"/>
    <col min="23" max="23" width="18.28515625" style="20" customWidth="1"/>
    <col min="24" max="24" width="5.7109375" style="20" customWidth="1"/>
    <col min="25" max="25" width="11.42578125" style="20" customWidth="1"/>
    <col min="26" max="31" width="14.28515625" style="20" customWidth="1"/>
    <col min="32" max="32" width="11.28515625" style="20" customWidth="1"/>
    <col min="33" max="38" width="14.28515625" style="20" customWidth="1"/>
    <col min="39" max="39" width="11.42578125" style="20"/>
    <col min="40" max="45" width="14.28515625" style="20" customWidth="1"/>
    <col min="46" max="16384" width="11.42578125" style="20"/>
  </cols>
  <sheetData>
    <row r="1" spans="1:242" s="4" customFormat="1" x14ac:dyDescent="0.2">
      <c r="E1" s="26" t="s">
        <v>200</v>
      </c>
      <c r="F1" s="26"/>
      <c r="G1" s="26"/>
      <c r="H1" s="26"/>
      <c r="I1" s="26"/>
      <c r="IG1" s="2"/>
      <c r="IH1" s="2"/>
    </row>
    <row r="2" spans="1:242" s="4" customFormat="1" x14ac:dyDescent="0.2">
      <c r="E2" s="26" t="s">
        <v>192</v>
      </c>
      <c r="F2" s="26"/>
      <c r="G2" s="26"/>
      <c r="H2" s="26"/>
      <c r="I2" s="26"/>
      <c r="IG2" s="2"/>
      <c r="IH2" s="2"/>
    </row>
    <row r="3" spans="1:242" s="4" customFormat="1" x14ac:dyDescent="0.2">
      <c r="B3" s="16"/>
      <c r="HX3" s="2"/>
      <c r="HY3" s="2"/>
      <c r="HZ3" s="2"/>
      <c r="IA3" s="2"/>
      <c r="IB3" s="2"/>
      <c r="IC3" s="2"/>
    </row>
    <row r="4" spans="1:242" s="4" customFormat="1" ht="18.75" customHeight="1" x14ac:dyDescent="0.2">
      <c r="B4" s="16"/>
      <c r="D4" s="58" t="s">
        <v>0</v>
      </c>
      <c r="E4" s="114" t="str">
        <f>+'B) Reajuste Tarifas y Ocupación'!F5</f>
        <v>(DEPTO./DELEG.)</v>
      </c>
      <c r="F4" s="35"/>
      <c r="G4" s="36"/>
      <c r="H4" s="36"/>
      <c r="I4" s="36"/>
      <c r="J4" s="36"/>
      <c r="O4" s="1"/>
      <c r="HX4" s="2"/>
      <c r="HY4" s="2"/>
      <c r="HZ4" s="2"/>
      <c r="IA4" s="2"/>
      <c r="IB4" s="2"/>
      <c r="IC4" s="2"/>
    </row>
    <row r="5" spans="1:242" s="4" customFormat="1" x14ac:dyDescent="0.2">
      <c r="B5" s="16"/>
      <c r="D5" s="6"/>
      <c r="E5" s="26"/>
      <c r="F5" s="26"/>
      <c r="G5" s="26"/>
      <c r="H5" s="26"/>
      <c r="I5" s="26"/>
      <c r="J5" s="26"/>
      <c r="O5" s="1"/>
      <c r="HX5" s="2"/>
      <c r="HY5" s="2"/>
      <c r="HZ5" s="2"/>
      <c r="IA5" s="2"/>
      <c r="IB5" s="2"/>
      <c r="IC5" s="2"/>
    </row>
    <row r="6" spans="1:242" s="4" customFormat="1" ht="13.5" thickBot="1" x14ac:dyDescent="0.25">
      <c r="B6" s="16"/>
      <c r="D6" s="6"/>
      <c r="E6" s="26"/>
      <c r="F6" s="26"/>
      <c r="G6" s="26"/>
      <c r="H6" s="26"/>
      <c r="I6" s="26"/>
      <c r="J6" s="26"/>
      <c r="O6" s="1"/>
      <c r="HX6" s="2"/>
      <c r="HY6" s="2"/>
      <c r="HZ6" s="2"/>
      <c r="IA6" s="2"/>
      <c r="IB6" s="2"/>
      <c r="IC6" s="2"/>
    </row>
    <row r="7" spans="1:242" x14ac:dyDescent="0.2">
      <c r="B7" s="18"/>
      <c r="C7" s="18"/>
      <c r="D7" s="18"/>
      <c r="E7" s="18"/>
      <c r="F7" s="18"/>
      <c r="G7" s="18"/>
      <c r="H7" s="18"/>
      <c r="I7" s="18"/>
      <c r="J7" s="21"/>
      <c r="K7" s="21"/>
      <c r="L7" s="21"/>
      <c r="M7" s="21"/>
      <c r="N7" s="21"/>
      <c r="O7" s="21"/>
      <c r="P7" s="21"/>
      <c r="Q7" s="21"/>
      <c r="R7" s="21"/>
      <c r="Y7" s="137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9"/>
    </row>
    <row r="8" spans="1:242" x14ac:dyDescent="0.2">
      <c r="B8" s="18"/>
      <c r="C8" s="18"/>
      <c r="D8" s="18"/>
      <c r="E8" s="18"/>
      <c r="F8" s="18"/>
      <c r="G8" s="18"/>
      <c r="H8" s="18"/>
      <c r="I8" s="18"/>
      <c r="J8" s="21"/>
      <c r="K8" s="21"/>
      <c r="L8" s="21"/>
      <c r="M8" s="21"/>
      <c r="N8" s="21"/>
      <c r="O8" s="21"/>
      <c r="P8" s="21"/>
      <c r="Q8" s="21"/>
      <c r="R8" s="21"/>
      <c r="Y8" s="140"/>
      <c r="AT8" s="141"/>
    </row>
    <row r="9" spans="1:242" ht="15.75" customHeight="1" x14ac:dyDescent="0.2">
      <c r="A9" s="848" t="s">
        <v>149</v>
      </c>
      <c r="B9" s="848"/>
      <c r="C9" s="848"/>
      <c r="D9" s="848"/>
      <c r="E9" s="848"/>
      <c r="F9" s="848"/>
      <c r="G9" s="848"/>
      <c r="H9" s="848"/>
      <c r="I9" s="60"/>
      <c r="J9" s="60"/>
      <c r="K9" s="60"/>
      <c r="L9" s="60"/>
      <c r="M9" s="813" t="s">
        <v>150</v>
      </c>
      <c r="N9" s="813"/>
      <c r="O9" s="813"/>
      <c r="P9" s="813"/>
      <c r="Q9" s="813"/>
      <c r="R9" s="813"/>
      <c r="S9" s="813"/>
      <c r="U9" s="813" t="s">
        <v>151</v>
      </c>
      <c r="V9" s="813"/>
      <c r="W9" s="813"/>
      <c r="X9" s="91"/>
      <c r="Y9" s="142"/>
      <c r="Z9" s="813" t="s">
        <v>206</v>
      </c>
      <c r="AA9" s="813"/>
      <c r="AB9" s="813"/>
      <c r="AC9" s="813"/>
      <c r="AD9" s="813"/>
      <c r="AE9" s="813"/>
      <c r="AF9" s="91"/>
      <c r="AG9" s="813" t="s">
        <v>153</v>
      </c>
      <c r="AH9" s="813"/>
      <c r="AI9" s="813"/>
      <c r="AJ9" s="813"/>
      <c r="AK9" s="813"/>
      <c r="AL9" s="813"/>
      <c r="AN9" s="813" t="s">
        <v>154</v>
      </c>
      <c r="AO9" s="813"/>
      <c r="AP9" s="813"/>
      <c r="AQ9" s="813"/>
      <c r="AR9" s="813"/>
      <c r="AS9" s="813"/>
      <c r="AT9" s="141"/>
    </row>
    <row r="10" spans="1:242" ht="13.5" customHeight="1" x14ac:dyDescent="0.2">
      <c r="B10" s="16"/>
      <c r="C10" s="6"/>
      <c r="D10" s="6"/>
      <c r="E10" s="26"/>
      <c r="F10" s="26"/>
      <c r="G10" s="26"/>
      <c r="H10" s="26"/>
      <c r="I10" s="26"/>
      <c r="J10" s="26"/>
      <c r="M10" s="813"/>
      <c r="N10" s="813"/>
      <c r="O10" s="813"/>
      <c r="P10" s="813"/>
      <c r="Q10" s="813"/>
      <c r="R10" s="813"/>
      <c r="S10" s="813"/>
      <c r="U10" s="813"/>
      <c r="V10" s="813"/>
      <c r="W10" s="813"/>
      <c r="Y10" s="140"/>
      <c r="Z10" s="813"/>
      <c r="AA10" s="813"/>
      <c r="AB10" s="813"/>
      <c r="AC10" s="813"/>
      <c r="AD10" s="813"/>
      <c r="AE10" s="813"/>
      <c r="AG10" s="813"/>
      <c r="AH10" s="813"/>
      <c r="AI10" s="813"/>
      <c r="AJ10" s="813"/>
      <c r="AK10" s="813"/>
      <c r="AL10" s="813"/>
      <c r="AN10" s="813"/>
      <c r="AO10" s="813"/>
      <c r="AP10" s="813"/>
      <c r="AQ10" s="813"/>
      <c r="AR10" s="813"/>
      <c r="AS10" s="813"/>
      <c r="AT10" s="141"/>
    </row>
    <row r="11" spans="1:242" x14ac:dyDescent="0.2">
      <c r="J11" s="39" t="s">
        <v>4</v>
      </c>
      <c r="K11" s="38">
        <v>4.4999999999999998E-2</v>
      </c>
      <c r="Y11" s="140"/>
      <c r="AT11" s="141"/>
    </row>
    <row r="12" spans="1:242" ht="12.75" customHeight="1" thickBot="1" x14ac:dyDescent="0.25">
      <c r="M12" s="869"/>
      <c r="N12" s="869"/>
      <c r="O12" s="869"/>
      <c r="P12" s="869"/>
      <c r="Q12" s="869"/>
      <c r="R12" s="869"/>
      <c r="Y12" s="140"/>
      <c r="AT12" s="141"/>
    </row>
    <row r="13" spans="1:242" ht="21.75" customHeight="1" x14ac:dyDescent="0.2">
      <c r="A13" s="858" t="s">
        <v>116</v>
      </c>
      <c r="B13" s="859"/>
      <c r="C13" s="862" t="s">
        <v>73</v>
      </c>
      <c r="D13" s="862" t="s">
        <v>74</v>
      </c>
      <c r="E13" s="864" t="s">
        <v>3</v>
      </c>
      <c r="F13" s="864" t="s">
        <v>81</v>
      </c>
      <c r="G13" s="866" t="s">
        <v>259</v>
      </c>
      <c r="H13" s="867"/>
      <c r="I13" s="867"/>
      <c r="J13" s="868"/>
      <c r="K13" s="853" t="s">
        <v>261</v>
      </c>
      <c r="L13" s="21"/>
      <c r="M13" s="827" t="s">
        <v>69</v>
      </c>
      <c r="N13" s="855"/>
      <c r="O13" s="815" t="s">
        <v>70</v>
      </c>
      <c r="P13" s="816"/>
      <c r="Q13" s="856" t="s">
        <v>71</v>
      </c>
      <c r="R13" s="857"/>
      <c r="S13" s="811" t="s">
        <v>140</v>
      </c>
      <c r="U13" s="849" t="s">
        <v>75</v>
      </c>
      <c r="V13" s="851" t="s">
        <v>76</v>
      </c>
      <c r="W13" s="814" t="s">
        <v>262</v>
      </c>
      <c r="Y13" s="140"/>
      <c r="Z13" s="821" t="s">
        <v>69</v>
      </c>
      <c r="AA13" s="822"/>
      <c r="AB13" s="823" t="s">
        <v>70</v>
      </c>
      <c r="AC13" s="824"/>
      <c r="AD13" s="825" t="s">
        <v>71</v>
      </c>
      <c r="AE13" s="826"/>
      <c r="AG13" s="827" t="s">
        <v>69</v>
      </c>
      <c r="AH13" s="828"/>
      <c r="AI13" s="815" t="s">
        <v>70</v>
      </c>
      <c r="AJ13" s="816"/>
      <c r="AK13" s="817" t="s">
        <v>71</v>
      </c>
      <c r="AL13" s="818"/>
      <c r="AN13" s="827" t="s">
        <v>69</v>
      </c>
      <c r="AO13" s="828"/>
      <c r="AP13" s="815" t="s">
        <v>70</v>
      </c>
      <c r="AQ13" s="816"/>
      <c r="AR13" s="817" t="s">
        <v>71</v>
      </c>
      <c r="AS13" s="818"/>
      <c r="AT13" s="141"/>
    </row>
    <row r="14" spans="1:242" ht="39" thickBot="1" x14ac:dyDescent="0.25">
      <c r="A14" s="860"/>
      <c r="B14" s="861"/>
      <c r="C14" s="863"/>
      <c r="D14" s="863"/>
      <c r="E14" s="865"/>
      <c r="F14" s="865"/>
      <c r="G14" s="445" t="s">
        <v>217</v>
      </c>
      <c r="H14" s="446" t="s">
        <v>114</v>
      </c>
      <c r="I14" s="445" t="s">
        <v>115</v>
      </c>
      <c r="J14" s="474" t="s">
        <v>260</v>
      </c>
      <c r="K14" s="854"/>
      <c r="L14" s="21"/>
      <c r="M14" s="121" t="s">
        <v>36</v>
      </c>
      <c r="N14" s="123" t="s">
        <v>37</v>
      </c>
      <c r="O14" s="131" t="s">
        <v>36</v>
      </c>
      <c r="P14" s="132" t="s">
        <v>37</v>
      </c>
      <c r="Q14" s="124" t="s">
        <v>36</v>
      </c>
      <c r="R14" s="585" t="s">
        <v>37</v>
      </c>
      <c r="S14" s="812"/>
      <c r="U14" s="850"/>
      <c r="V14" s="852"/>
      <c r="W14" s="814"/>
      <c r="Y14" s="140"/>
      <c r="Z14" s="121" t="s">
        <v>36</v>
      </c>
      <c r="AA14" s="123" t="s">
        <v>37</v>
      </c>
      <c r="AB14" s="131" t="s">
        <v>36</v>
      </c>
      <c r="AC14" s="132" t="s">
        <v>37</v>
      </c>
      <c r="AD14" s="124" t="s">
        <v>36</v>
      </c>
      <c r="AE14" s="122" t="s">
        <v>37</v>
      </c>
      <c r="AG14" s="143" t="s">
        <v>36</v>
      </c>
      <c r="AH14" s="144" t="s">
        <v>37</v>
      </c>
      <c r="AI14" s="145" t="s">
        <v>36</v>
      </c>
      <c r="AJ14" s="146" t="s">
        <v>37</v>
      </c>
      <c r="AK14" s="147" t="s">
        <v>36</v>
      </c>
      <c r="AL14" s="148" t="s">
        <v>37</v>
      </c>
      <c r="AN14" s="819" t="s">
        <v>141</v>
      </c>
      <c r="AO14" s="820"/>
      <c r="AP14" s="806" t="s">
        <v>141</v>
      </c>
      <c r="AQ14" s="807"/>
      <c r="AR14" s="808" t="s">
        <v>142</v>
      </c>
      <c r="AS14" s="809"/>
      <c r="AT14" s="141"/>
    </row>
    <row r="15" spans="1:242" ht="12.75" customHeight="1" thickBot="1" x14ac:dyDescent="0.25">
      <c r="A15" s="835" t="s">
        <v>136</v>
      </c>
      <c r="B15" s="838" t="s">
        <v>92</v>
      </c>
      <c r="C15" s="649" t="s">
        <v>293</v>
      </c>
      <c r="D15" s="325" t="s">
        <v>294</v>
      </c>
      <c r="E15" s="447" t="s">
        <v>295</v>
      </c>
      <c r="F15" s="448" t="s">
        <v>117</v>
      </c>
      <c r="G15" s="326">
        <f>2730392*12</f>
        <v>32764704</v>
      </c>
      <c r="H15" s="326">
        <f>(54601+104200)</f>
        <v>158801</v>
      </c>
      <c r="I15" s="326">
        <f>88166*2</f>
        <v>176332</v>
      </c>
      <c r="J15" s="449">
        <f>SUM(G15:I15)</f>
        <v>33099837</v>
      </c>
      <c r="K15" s="450">
        <f t="shared" ref="K15:K69" si="0">+J15*(1+$K$11)</f>
        <v>34589329.664999999</v>
      </c>
      <c r="L15" s="21"/>
      <c r="M15" s="104">
        <v>0.6</v>
      </c>
      <c r="N15" s="117">
        <f t="shared" ref="N15:N61" si="1">+$K15*M15</f>
        <v>20753597.798999999</v>
      </c>
      <c r="O15" s="104">
        <v>0.3</v>
      </c>
      <c r="P15" s="128">
        <f t="shared" ref="P15:P61" si="2">+$K15*O15</f>
        <v>10376798.899499999</v>
      </c>
      <c r="Q15" s="125">
        <v>0.1</v>
      </c>
      <c r="R15" s="586">
        <f t="shared" ref="R15:R61" si="3">+$K15*Q15</f>
        <v>3458932.9665000001</v>
      </c>
      <c r="S15" s="631">
        <f>+M15+O15+Q15</f>
        <v>0.99999999999999989</v>
      </c>
      <c r="U15" s="95"/>
      <c r="V15" s="92" t="s">
        <v>11</v>
      </c>
      <c r="W15" s="98">
        <f>SUM(W16,W20)</f>
        <v>1500000</v>
      </c>
      <c r="Y15" s="140"/>
      <c r="Z15" s="133">
        <f t="shared" ref="Z15:AE15" si="4">+M62</f>
        <v>0.50908454105098067</v>
      </c>
      <c r="AA15" s="135">
        <f t="shared" si="4"/>
        <v>32284855.118999999</v>
      </c>
      <c r="AB15" s="133">
        <f t="shared" si="4"/>
        <v>0.34545772947450964</v>
      </c>
      <c r="AC15" s="136">
        <f t="shared" si="4"/>
        <v>21908056.219499998</v>
      </c>
      <c r="AD15" s="134">
        <f t="shared" si="4"/>
        <v>0.14545772947450966</v>
      </c>
      <c r="AE15" s="136">
        <f t="shared" si="4"/>
        <v>9224561.6264999993</v>
      </c>
      <c r="AG15" s="155">
        <f>+Z15</f>
        <v>0.50908454105098067</v>
      </c>
      <c r="AH15" s="149">
        <f>+AG15*W80</f>
        <v>1578162.07725804</v>
      </c>
      <c r="AI15" s="156">
        <f>+AB15</f>
        <v>0.34545772947450964</v>
      </c>
      <c r="AJ15" s="149">
        <f>+AI15*W80</f>
        <v>1070918.9613709799</v>
      </c>
      <c r="AK15" s="157">
        <f>+AD15</f>
        <v>0.14545772947450966</v>
      </c>
      <c r="AL15" s="150">
        <f>+AK15*W80</f>
        <v>450918.96137097996</v>
      </c>
      <c r="AN15" s="804">
        <f>+AH15+AA15</f>
        <v>33863017.196258038</v>
      </c>
      <c r="AO15" s="805"/>
      <c r="AP15" s="804">
        <f>+AJ15+AC15+K70</f>
        <v>22978975.180870976</v>
      </c>
      <c r="AQ15" s="805"/>
      <c r="AR15" s="804">
        <f>+AL15+AE15</f>
        <v>9675480.5878709797</v>
      </c>
      <c r="AS15" s="810"/>
      <c r="AT15" s="141"/>
    </row>
    <row r="16" spans="1:242" x14ac:dyDescent="0.2">
      <c r="A16" s="836"/>
      <c r="B16" s="839"/>
      <c r="C16" s="451"/>
      <c r="D16" s="323"/>
      <c r="E16" s="452"/>
      <c r="F16" s="453" t="s">
        <v>117</v>
      </c>
      <c r="G16" s="320"/>
      <c r="H16" s="657"/>
      <c r="I16" s="657"/>
      <c r="J16" s="455">
        <f t="shared" ref="J16:J69" si="5">SUM(G16:I16)</f>
        <v>0</v>
      </c>
      <c r="K16" s="456">
        <f t="shared" si="0"/>
        <v>0</v>
      </c>
      <c r="L16" s="21"/>
      <c r="M16" s="115">
        <v>0</v>
      </c>
      <c r="N16" s="118">
        <v>0</v>
      </c>
      <c r="O16" s="115">
        <v>0</v>
      </c>
      <c r="P16" s="116">
        <v>0</v>
      </c>
      <c r="Q16" s="126">
        <v>0</v>
      </c>
      <c r="R16" s="587">
        <f t="shared" si="3"/>
        <v>0</v>
      </c>
      <c r="S16" s="632">
        <f t="shared" ref="S16:S61" si="6">+M16+O16+Q16</f>
        <v>0</v>
      </c>
      <c r="U16" s="96"/>
      <c r="V16" s="93" t="s">
        <v>12</v>
      </c>
      <c r="W16" s="99">
        <f>SUM(W17:W19)</f>
        <v>0</v>
      </c>
      <c r="Y16" s="140"/>
      <c r="AT16" s="141"/>
    </row>
    <row r="17" spans="1:46" ht="12.75" customHeight="1" x14ac:dyDescent="0.2">
      <c r="A17" s="836"/>
      <c r="B17" s="839"/>
      <c r="C17" s="451" t="s">
        <v>296</v>
      </c>
      <c r="D17" s="323" t="s">
        <v>297</v>
      </c>
      <c r="E17" s="452" t="s">
        <v>298</v>
      </c>
      <c r="F17" s="453" t="s">
        <v>117</v>
      </c>
      <c r="G17" s="320">
        <f>1228671*12</f>
        <v>14744052</v>
      </c>
      <c r="H17" s="657">
        <f>(109202+104200)</f>
        <v>213402</v>
      </c>
      <c r="I17" s="657">
        <f>88166*2</f>
        <v>176332</v>
      </c>
      <c r="J17" s="455">
        <f t="shared" si="5"/>
        <v>15133786</v>
      </c>
      <c r="K17" s="456">
        <f t="shared" si="0"/>
        <v>15814806.369999999</v>
      </c>
      <c r="L17" s="21"/>
      <c r="M17" s="115">
        <v>0.4</v>
      </c>
      <c r="N17" s="118">
        <f t="shared" si="1"/>
        <v>6325922.5480000004</v>
      </c>
      <c r="O17" s="115">
        <v>0.4</v>
      </c>
      <c r="P17" s="116">
        <f t="shared" si="2"/>
        <v>6325922.5480000004</v>
      </c>
      <c r="Q17" s="126">
        <v>0.2</v>
      </c>
      <c r="R17" s="587">
        <f t="shared" si="3"/>
        <v>3162961.2740000002</v>
      </c>
      <c r="S17" s="632">
        <f t="shared" si="6"/>
        <v>1</v>
      </c>
      <c r="U17" s="97">
        <v>53103050000000</v>
      </c>
      <c r="V17" s="94" t="s">
        <v>13</v>
      </c>
      <c r="W17" s="100">
        <v>0</v>
      </c>
      <c r="Y17" s="140"/>
      <c r="AT17" s="141"/>
    </row>
    <row r="18" spans="1:46" ht="13.5" customHeight="1" thickBot="1" x14ac:dyDescent="0.25">
      <c r="A18" s="836"/>
      <c r="B18" s="839"/>
      <c r="C18" s="451"/>
      <c r="D18" s="323"/>
      <c r="E18" s="452"/>
      <c r="F18" s="453" t="s">
        <v>117</v>
      </c>
      <c r="G18" s="320">
        <v>0</v>
      </c>
      <c r="H18" s="320">
        <v>0</v>
      </c>
      <c r="I18" s="454">
        <v>0</v>
      </c>
      <c r="J18" s="455">
        <f t="shared" si="5"/>
        <v>0</v>
      </c>
      <c r="K18" s="456">
        <f t="shared" si="0"/>
        <v>0</v>
      </c>
      <c r="L18" s="21"/>
      <c r="M18" s="115">
        <v>0</v>
      </c>
      <c r="N18" s="118">
        <f t="shared" si="1"/>
        <v>0</v>
      </c>
      <c r="O18" s="115">
        <v>0</v>
      </c>
      <c r="P18" s="116">
        <f t="shared" si="2"/>
        <v>0</v>
      </c>
      <c r="Q18" s="126">
        <v>0</v>
      </c>
      <c r="R18" s="587">
        <f t="shared" si="3"/>
        <v>0</v>
      </c>
      <c r="S18" s="632">
        <f t="shared" si="6"/>
        <v>0</v>
      </c>
      <c r="U18" s="97">
        <v>53103060000000</v>
      </c>
      <c r="V18" s="94" t="s">
        <v>14</v>
      </c>
      <c r="W18" s="100">
        <v>0</v>
      </c>
      <c r="Y18" s="151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3"/>
    </row>
    <row r="19" spans="1:46" x14ac:dyDescent="0.2">
      <c r="A19" s="836"/>
      <c r="B19" s="839"/>
      <c r="C19" s="451"/>
      <c r="D19" s="323"/>
      <c r="E19" s="452"/>
      <c r="F19" s="453" t="s">
        <v>117</v>
      </c>
      <c r="G19" s="320">
        <v>0</v>
      </c>
      <c r="H19" s="320">
        <v>0</v>
      </c>
      <c r="I19" s="454">
        <v>0</v>
      </c>
      <c r="J19" s="455">
        <f t="shared" si="5"/>
        <v>0</v>
      </c>
      <c r="K19" s="456">
        <f t="shared" si="0"/>
        <v>0</v>
      </c>
      <c r="L19" s="21"/>
      <c r="M19" s="115">
        <v>0</v>
      </c>
      <c r="N19" s="118">
        <f t="shared" si="1"/>
        <v>0</v>
      </c>
      <c r="O19" s="115">
        <v>0</v>
      </c>
      <c r="P19" s="116">
        <f t="shared" si="2"/>
        <v>0</v>
      </c>
      <c r="Q19" s="126">
        <v>0</v>
      </c>
      <c r="R19" s="587">
        <f t="shared" si="3"/>
        <v>0</v>
      </c>
      <c r="S19" s="632">
        <f t="shared" si="6"/>
        <v>0</v>
      </c>
      <c r="U19" s="97">
        <v>53103080010000</v>
      </c>
      <c r="V19" s="94" t="s">
        <v>15</v>
      </c>
      <c r="W19" s="100">
        <v>0</v>
      </c>
    </row>
    <row r="20" spans="1:46" x14ac:dyDescent="0.2">
      <c r="A20" s="836"/>
      <c r="B20" s="839"/>
      <c r="C20" s="451"/>
      <c r="D20" s="323"/>
      <c r="E20" s="452"/>
      <c r="F20" s="453" t="s">
        <v>117</v>
      </c>
      <c r="G20" s="320">
        <v>0</v>
      </c>
      <c r="H20" s="320">
        <v>0</v>
      </c>
      <c r="I20" s="454">
        <v>0</v>
      </c>
      <c r="J20" s="455">
        <f t="shared" si="5"/>
        <v>0</v>
      </c>
      <c r="K20" s="456">
        <f t="shared" si="0"/>
        <v>0</v>
      </c>
      <c r="L20" s="21"/>
      <c r="M20" s="115">
        <v>0</v>
      </c>
      <c r="N20" s="118">
        <f t="shared" si="1"/>
        <v>0</v>
      </c>
      <c r="O20" s="115">
        <v>0</v>
      </c>
      <c r="P20" s="116">
        <f t="shared" si="2"/>
        <v>0</v>
      </c>
      <c r="Q20" s="126">
        <v>0</v>
      </c>
      <c r="R20" s="587">
        <f t="shared" si="3"/>
        <v>0</v>
      </c>
      <c r="S20" s="632">
        <f t="shared" si="6"/>
        <v>0</v>
      </c>
      <c r="U20" s="96"/>
      <c r="V20" s="93" t="s">
        <v>16</v>
      </c>
      <c r="W20" s="154">
        <f>SUM(W21:W39)</f>
        <v>1500000</v>
      </c>
    </row>
    <row r="21" spans="1:46" x14ac:dyDescent="0.2">
      <c r="A21" s="836"/>
      <c r="B21" s="839"/>
      <c r="C21" s="451"/>
      <c r="D21" s="323"/>
      <c r="E21" s="452"/>
      <c r="F21" s="453" t="s">
        <v>117</v>
      </c>
      <c r="G21" s="320">
        <v>0</v>
      </c>
      <c r="H21" s="320">
        <v>0</v>
      </c>
      <c r="I21" s="454">
        <v>0</v>
      </c>
      <c r="J21" s="455">
        <f t="shared" si="5"/>
        <v>0</v>
      </c>
      <c r="K21" s="456">
        <f t="shared" si="0"/>
        <v>0</v>
      </c>
      <c r="L21" s="21"/>
      <c r="M21" s="115">
        <v>0</v>
      </c>
      <c r="N21" s="118">
        <f t="shared" si="1"/>
        <v>0</v>
      </c>
      <c r="O21" s="115">
        <v>0</v>
      </c>
      <c r="P21" s="116">
        <f t="shared" si="2"/>
        <v>0</v>
      </c>
      <c r="Q21" s="126">
        <v>0</v>
      </c>
      <c r="R21" s="587">
        <f t="shared" si="3"/>
        <v>0</v>
      </c>
      <c r="S21" s="632">
        <f t="shared" si="6"/>
        <v>0</v>
      </c>
      <c r="U21" s="97">
        <v>53201010100000</v>
      </c>
      <c r="V21" s="94" t="s">
        <v>17</v>
      </c>
      <c r="W21" s="100">
        <v>500000</v>
      </c>
    </row>
    <row r="22" spans="1:46" x14ac:dyDescent="0.2">
      <c r="A22" s="836"/>
      <c r="B22" s="839"/>
      <c r="C22" s="451"/>
      <c r="D22" s="323"/>
      <c r="E22" s="452"/>
      <c r="F22" s="453" t="s">
        <v>117</v>
      </c>
      <c r="G22" s="320">
        <v>0</v>
      </c>
      <c r="H22" s="320">
        <v>0</v>
      </c>
      <c r="I22" s="454">
        <v>0</v>
      </c>
      <c r="J22" s="455">
        <f t="shared" si="5"/>
        <v>0</v>
      </c>
      <c r="K22" s="456">
        <f t="shared" si="0"/>
        <v>0</v>
      </c>
      <c r="L22" s="21"/>
      <c r="M22" s="115">
        <v>0</v>
      </c>
      <c r="N22" s="118">
        <f t="shared" si="1"/>
        <v>0</v>
      </c>
      <c r="O22" s="115">
        <v>0</v>
      </c>
      <c r="P22" s="116">
        <f t="shared" si="2"/>
        <v>0</v>
      </c>
      <c r="Q22" s="126">
        <v>0</v>
      </c>
      <c r="R22" s="587">
        <f t="shared" si="3"/>
        <v>0</v>
      </c>
      <c r="S22" s="632">
        <f t="shared" si="6"/>
        <v>0</v>
      </c>
      <c r="U22" s="97">
        <v>53202010100000</v>
      </c>
      <c r="V22" s="94" t="s">
        <v>18</v>
      </c>
      <c r="W22" s="100">
        <v>0</v>
      </c>
    </row>
    <row r="23" spans="1:46" x14ac:dyDescent="0.2">
      <c r="A23" s="836"/>
      <c r="B23" s="839"/>
      <c r="C23" s="451"/>
      <c r="D23" s="323"/>
      <c r="E23" s="452"/>
      <c r="F23" s="453" t="s">
        <v>117</v>
      </c>
      <c r="G23" s="320">
        <v>0</v>
      </c>
      <c r="H23" s="320">
        <v>0</v>
      </c>
      <c r="I23" s="454">
        <v>0</v>
      </c>
      <c r="J23" s="455">
        <f t="shared" si="5"/>
        <v>0</v>
      </c>
      <c r="K23" s="456">
        <f t="shared" si="0"/>
        <v>0</v>
      </c>
      <c r="L23" s="21"/>
      <c r="M23" s="115">
        <v>0</v>
      </c>
      <c r="N23" s="118">
        <f t="shared" si="1"/>
        <v>0</v>
      </c>
      <c r="O23" s="115">
        <v>0</v>
      </c>
      <c r="P23" s="116">
        <f t="shared" si="2"/>
        <v>0</v>
      </c>
      <c r="Q23" s="126">
        <v>0</v>
      </c>
      <c r="R23" s="587">
        <f t="shared" si="3"/>
        <v>0</v>
      </c>
      <c r="S23" s="632">
        <f t="shared" si="6"/>
        <v>0</v>
      </c>
      <c r="U23" s="97">
        <v>53203010100000</v>
      </c>
      <c r="V23" s="94" t="s">
        <v>19</v>
      </c>
      <c r="W23" s="100">
        <v>0</v>
      </c>
    </row>
    <row r="24" spans="1:46" ht="13.5" thickBot="1" x14ac:dyDescent="0.25">
      <c r="A24" s="836"/>
      <c r="B24" s="840"/>
      <c r="C24" s="457"/>
      <c r="D24" s="321"/>
      <c r="E24" s="458"/>
      <c r="F24" s="459" t="s">
        <v>117</v>
      </c>
      <c r="G24" s="322">
        <v>0</v>
      </c>
      <c r="H24" s="322">
        <v>0</v>
      </c>
      <c r="I24" s="460">
        <v>0</v>
      </c>
      <c r="J24" s="461">
        <f t="shared" si="5"/>
        <v>0</v>
      </c>
      <c r="K24" s="462">
        <f t="shared" si="0"/>
        <v>0</v>
      </c>
      <c r="L24" s="21"/>
      <c r="M24" s="120">
        <v>0</v>
      </c>
      <c r="N24" s="119">
        <f t="shared" si="1"/>
        <v>0</v>
      </c>
      <c r="O24" s="120">
        <v>0</v>
      </c>
      <c r="P24" s="129">
        <f t="shared" si="2"/>
        <v>0</v>
      </c>
      <c r="Q24" s="127">
        <v>0</v>
      </c>
      <c r="R24" s="119">
        <f t="shared" si="3"/>
        <v>0</v>
      </c>
      <c r="S24" s="633">
        <f t="shared" si="6"/>
        <v>0</v>
      </c>
      <c r="U24" s="97">
        <v>53203030000000</v>
      </c>
      <c r="V24" s="94" t="s">
        <v>20</v>
      </c>
      <c r="W24" s="100">
        <v>0</v>
      </c>
    </row>
    <row r="25" spans="1:46" ht="12.75" customHeight="1" x14ac:dyDescent="0.2">
      <c r="A25" s="836"/>
      <c r="B25" s="841" t="s">
        <v>91</v>
      </c>
      <c r="C25" s="89"/>
      <c r="D25" s="68"/>
      <c r="E25" s="69"/>
      <c r="F25" s="70" t="s">
        <v>117</v>
      </c>
      <c r="G25" s="62">
        <v>0</v>
      </c>
      <c r="H25" s="62">
        <v>0</v>
      </c>
      <c r="I25" s="79">
        <v>0</v>
      </c>
      <c r="J25" s="82">
        <f t="shared" si="5"/>
        <v>0</v>
      </c>
      <c r="K25" s="77">
        <f t="shared" si="0"/>
        <v>0</v>
      </c>
      <c r="L25" s="21"/>
      <c r="M25" s="104">
        <v>0</v>
      </c>
      <c r="N25" s="117">
        <f t="shared" si="1"/>
        <v>0</v>
      </c>
      <c r="O25" s="104">
        <v>0</v>
      </c>
      <c r="P25" s="128">
        <f t="shared" si="2"/>
        <v>0</v>
      </c>
      <c r="Q25" s="125">
        <v>0</v>
      </c>
      <c r="R25" s="586">
        <f t="shared" si="3"/>
        <v>0</v>
      </c>
      <c r="S25" s="631">
        <f t="shared" si="6"/>
        <v>0</v>
      </c>
      <c r="U25" s="97">
        <v>53204030000000</v>
      </c>
      <c r="V25" s="94" t="s">
        <v>21</v>
      </c>
      <c r="W25" s="100">
        <v>0</v>
      </c>
    </row>
    <row r="26" spans="1:46" ht="12.75" customHeight="1" x14ac:dyDescent="0.2">
      <c r="A26" s="836"/>
      <c r="B26" s="842"/>
      <c r="C26" s="43"/>
      <c r="D26" s="73"/>
      <c r="E26" s="74"/>
      <c r="F26" s="75" t="s">
        <v>117</v>
      </c>
      <c r="G26" s="63">
        <v>0</v>
      </c>
      <c r="H26" s="63">
        <v>0</v>
      </c>
      <c r="I26" s="80">
        <v>0</v>
      </c>
      <c r="J26" s="83">
        <f t="shared" si="5"/>
        <v>0</v>
      </c>
      <c r="K26" s="78">
        <f t="shared" si="0"/>
        <v>0</v>
      </c>
      <c r="L26" s="21"/>
      <c r="M26" s="115">
        <v>0</v>
      </c>
      <c r="N26" s="118">
        <f t="shared" si="1"/>
        <v>0</v>
      </c>
      <c r="O26" s="115">
        <v>0</v>
      </c>
      <c r="P26" s="116">
        <f t="shared" si="2"/>
        <v>0</v>
      </c>
      <c r="Q26" s="126">
        <v>0</v>
      </c>
      <c r="R26" s="587">
        <f t="shared" si="3"/>
        <v>0</v>
      </c>
      <c r="S26" s="632">
        <f t="shared" si="6"/>
        <v>0</v>
      </c>
      <c r="U26" s="97">
        <v>53204100100001</v>
      </c>
      <c r="V26" s="94" t="s">
        <v>22</v>
      </c>
      <c r="W26" s="100">
        <v>0</v>
      </c>
    </row>
    <row r="27" spans="1:46" ht="12.75" customHeight="1" x14ac:dyDescent="0.2">
      <c r="A27" s="836"/>
      <c r="B27" s="842"/>
      <c r="C27" s="43"/>
      <c r="D27" s="73"/>
      <c r="E27" s="74"/>
      <c r="F27" s="75" t="s">
        <v>117</v>
      </c>
      <c r="G27" s="63">
        <v>0</v>
      </c>
      <c r="H27" s="63">
        <v>0</v>
      </c>
      <c r="I27" s="80">
        <v>0</v>
      </c>
      <c r="J27" s="83">
        <f t="shared" si="5"/>
        <v>0</v>
      </c>
      <c r="K27" s="78">
        <f t="shared" si="0"/>
        <v>0</v>
      </c>
      <c r="L27" s="21"/>
      <c r="M27" s="115">
        <v>0</v>
      </c>
      <c r="N27" s="118">
        <f t="shared" si="1"/>
        <v>0</v>
      </c>
      <c r="O27" s="115">
        <v>0</v>
      </c>
      <c r="P27" s="116">
        <f t="shared" si="2"/>
        <v>0</v>
      </c>
      <c r="Q27" s="126">
        <v>0</v>
      </c>
      <c r="R27" s="587">
        <f t="shared" si="3"/>
        <v>0</v>
      </c>
      <c r="S27" s="632">
        <f t="shared" si="6"/>
        <v>0</v>
      </c>
      <c r="U27" s="97">
        <v>53204130100000</v>
      </c>
      <c r="V27" s="94" t="s">
        <v>23</v>
      </c>
      <c r="W27" s="100">
        <v>0</v>
      </c>
    </row>
    <row r="28" spans="1:46" ht="12.75" customHeight="1" x14ac:dyDescent="0.2">
      <c r="A28" s="836"/>
      <c r="B28" s="842"/>
      <c r="C28" s="43"/>
      <c r="D28" s="73"/>
      <c r="E28" s="74"/>
      <c r="F28" s="75" t="s">
        <v>117</v>
      </c>
      <c r="G28" s="63">
        <v>0</v>
      </c>
      <c r="H28" s="63">
        <v>0</v>
      </c>
      <c r="I28" s="80">
        <v>0</v>
      </c>
      <c r="J28" s="83">
        <f t="shared" si="5"/>
        <v>0</v>
      </c>
      <c r="K28" s="78">
        <f t="shared" si="0"/>
        <v>0</v>
      </c>
      <c r="L28" s="21"/>
      <c r="M28" s="115">
        <v>0</v>
      </c>
      <c r="N28" s="118">
        <f t="shared" si="1"/>
        <v>0</v>
      </c>
      <c r="O28" s="115">
        <v>0</v>
      </c>
      <c r="P28" s="116">
        <f t="shared" si="2"/>
        <v>0</v>
      </c>
      <c r="Q28" s="126">
        <v>0</v>
      </c>
      <c r="R28" s="587">
        <f t="shared" si="3"/>
        <v>0</v>
      </c>
      <c r="S28" s="632">
        <f t="shared" si="6"/>
        <v>0</v>
      </c>
      <c r="U28" s="97">
        <v>53205010100000</v>
      </c>
      <c r="V28" s="94" t="s">
        <v>24</v>
      </c>
      <c r="W28" s="100">
        <v>1000000</v>
      </c>
    </row>
    <row r="29" spans="1:46" ht="12.75" customHeight="1" x14ac:dyDescent="0.2">
      <c r="A29" s="836"/>
      <c r="B29" s="842"/>
      <c r="C29" s="43"/>
      <c r="D29" s="73"/>
      <c r="E29" s="74"/>
      <c r="F29" s="75" t="s">
        <v>117</v>
      </c>
      <c r="G29" s="63">
        <v>0</v>
      </c>
      <c r="H29" s="63">
        <v>0</v>
      </c>
      <c r="I29" s="80">
        <v>0</v>
      </c>
      <c r="J29" s="83">
        <f t="shared" si="5"/>
        <v>0</v>
      </c>
      <c r="K29" s="78">
        <f t="shared" si="0"/>
        <v>0</v>
      </c>
      <c r="L29" s="21"/>
      <c r="M29" s="115">
        <v>0</v>
      </c>
      <c r="N29" s="118">
        <f t="shared" si="1"/>
        <v>0</v>
      </c>
      <c r="O29" s="115">
        <v>0</v>
      </c>
      <c r="P29" s="116">
        <f t="shared" si="2"/>
        <v>0</v>
      </c>
      <c r="Q29" s="126">
        <v>0</v>
      </c>
      <c r="R29" s="587">
        <f t="shared" si="3"/>
        <v>0</v>
      </c>
      <c r="S29" s="632">
        <f t="shared" si="6"/>
        <v>0</v>
      </c>
      <c r="U29" s="97">
        <v>53205020100000</v>
      </c>
      <c r="V29" s="94" t="s">
        <v>25</v>
      </c>
      <c r="W29" s="100">
        <v>0</v>
      </c>
    </row>
    <row r="30" spans="1:46" ht="12.75" customHeight="1" x14ac:dyDescent="0.2">
      <c r="A30" s="836"/>
      <c r="B30" s="842"/>
      <c r="C30" s="43"/>
      <c r="D30" s="73"/>
      <c r="E30" s="74"/>
      <c r="F30" s="75" t="s">
        <v>117</v>
      </c>
      <c r="G30" s="63">
        <v>0</v>
      </c>
      <c r="H30" s="63">
        <v>0</v>
      </c>
      <c r="I30" s="80">
        <v>0</v>
      </c>
      <c r="J30" s="83">
        <f t="shared" si="5"/>
        <v>0</v>
      </c>
      <c r="K30" s="78">
        <f t="shared" si="0"/>
        <v>0</v>
      </c>
      <c r="L30" s="21"/>
      <c r="M30" s="115">
        <v>0</v>
      </c>
      <c r="N30" s="118">
        <f t="shared" si="1"/>
        <v>0</v>
      </c>
      <c r="O30" s="115">
        <v>0</v>
      </c>
      <c r="P30" s="116">
        <f t="shared" si="2"/>
        <v>0</v>
      </c>
      <c r="Q30" s="126">
        <v>0</v>
      </c>
      <c r="R30" s="587">
        <f t="shared" si="3"/>
        <v>0</v>
      </c>
      <c r="S30" s="632">
        <f t="shared" si="6"/>
        <v>0</v>
      </c>
      <c r="U30" s="97">
        <v>53205030100000</v>
      </c>
      <c r="V30" s="94" t="s">
        <v>26</v>
      </c>
      <c r="W30" s="100">
        <v>0</v>
      </c>
    </row>
    <row r="31" spans="1:46" ht="12.75" customHeight="1" x14ac:dyDescent="0.2">
      <c r="A31" s="836"/>
      <c r="B31" s="842"/>
      <c r="C31" s="43"/>
      <c r="D31" s="73"/>
      <c r="E31" s="74"/>
      <c r="F31" s="75" t="s">
        <v>117</v>
      </c>
      <c r="G31" s="63">
        <v>0</v>
      </c>
      <c r="H31" s="63">
        <v>0</v>
      </c>
      <c r="I31" s="80">
        <v>0</v>
      </c>
      <c r="J31" s="83">
        <f t="shared" si="5"/>
        <v>0</v>
      </c>
      <c r="K31" s="78">
        <f t="shared" si="0"/>
        <v>0</v>
      </c>
      <c r="L31" s="21"/>
      <c r="M31" s="115">
        <v>0</v>
      </c>
      <c r="N31" s="118">
        <f t="shared" si="1"/>
        <v>0</v>
      </c>
      <c r="O31" s="115">
        <v>0</v>
      </c>
      <c r="P31" s="116">
        <f t="shared" si="2"/>
        <v>0</v>
      </c>
      <c r="Q31" s="126">
        <v>0</v>
      </c>
      <c r="R31" s="587">
        <f t="shared" si="3"/>
        <v>0</v>
      </c>
      <c r="S31" s="632">
        <f t="shared" si="6"/>
        <v>0</v>
      </c>
      <c r="U31" s="97">
        <v>53205050100000</v>
      </c>
      <c r="V31" s="94" t="s">
        <v>27</v>
      </c>
      <c r="W31" s="100">
        <v>0</v>
      </c>
    </row>
    <row r="32" spans="1:46" ht="12.75" customHeight="1" x14ac:dyDescent="0.2">
      <c r="A32" s="836"/>
      <c r="B32" s="842"/>
      <c r="C32" s="43"/>
      <c r="D32" s="73"/>
      <c r="E32" s="74"/>
      <c r="F32" s="75" t="s">
        <v>117</v>
      </c>
      <c r="G32" s="63">
        <v>0</v>
      </c>
      <c r="H32" s="63">
        <v>0</v>
      </c>
      <c r="I32" s="80">
        <v>0</v>
      </c>
      <c r="J32" s="83">
        <f t="shared" si="5"/>
        <v>0</v>
      </c>
      <c r="K32" s="78">
        <f t="shared" si="0"/>
        <v>0</v>
      </c>
      <c r="L32" s="21"/>
      <c r="M32" s="115">
        <v>0</v>
      </c>
      <c r="N32" s="118">
        <f t="shared" si="1"/>
        <v>0</v>
      </c>
      <c r="O32" s="115">
        <v>0</v>
      </c>
      <c r="P32" s="116">
        <f t="shared" si="2"/>
        <v>0</v>
      </c>
      <c r="Q32" s="126">
        <v>0</v>
      </c>
      <c r="R32" s="587">
        <f t="shared" si="3"/>
        <v>0</v>
      </c>
      <c r="S32" s="632">
        <f t="shared" si="6"/>
        <v>0</v>
      </c>
      <c r="U32" s="97">
        <v>53205060100000</v>
      </c>
      <c r="V32" s="94" t="s">
        <v>28</v>
      </c>
      <c r="W32" s="100">
        <v>0</v>
      </c>
    </row>
    <row r="33" spans="1:23" ht="12.75" customHeight="1" x14ac:dyDescent="0.2">
      <c r="A33" s="836"/>
      <c r="B33" s="842"/>
      <c r="C33" s="43"/>
      <c r="D33" s="73"/>
      <c r="E33" s="74"/>
      <c r="F33" s="75" t="s">
        <v>117</v>
      </c>
      <c r="G33" s="63">
        <v>0</v>
      </c>
      <c r="H33" s="63">
        <v>0</v>
      </c>
      <c r="I33" s="80">
        <v>0</v>
      </c>
      <c r="J33" s="83">
        <f t="shared" si="5"/>
        <v>0</v>
      </c>
      <c r="K33" s="78">
        <f t="shared" si="0"/>
        <v>0</v>
      </c>
      <c r="L33" s="21"/>
      <c r="M33" s="115">
        <v>0</v>
      </c>
      <c r="N33" s="118">
        <f t="shared" si="1"/>
        <v>0</v>
      </c>
      <c r="O33" s="115">
        <v>0</v>
      </c>
      <c r="P33" s="116">
        <f t="shared" si="2"/>
        <v>0</v>
      </c>
      <c r="Q33" s="126">
        <v>0</v>
      </c>
      <c r="R33" s="587">
        <f t="shared" si="3"/>
        <v>0</v>
      </c>
      <c r="S33" s="632">
        <f t="shared" si="6"/>
        <v>0</v>
      </c>
      <c r="U33" s="97">
        <v>53205070100000</v>
      </c>
      <c r="V33" s="94" t="s">
        <v>29</v>
      </c>
      <c r="W33" s="100">
        <v>0</v>
      </c>
    </row>
    <row r="34" spans="1:23" ht="12.75" customHeight="1" thickBot="1" x14ac:dyDescent="0.25">
      <c r="A34" s="836"/>
      <c r="B34" s="843"/>
      <c r="C34" s="90"/>
      <c r="D34" s="64"/>
      <c r="E34" s="65"/>
      <c r="F34" s="66" t="s">
        <v>117</v>
      </c>
      <c r="G34" s="67">
        <v>0</v>
      </c>
      <c r="H34" s="67">
        <v>0</v>
      </c>
      <c r="I34" s="81">
        <v>0</v>
      </c>
      <c r="J34" s="84">
        <f t="shared" si="5"/>
        <v>0</v>
      </c>
      <c r="K34" s="76">
        <f t="shared" si="0"/>
        <v>0</v>
      </c>
      <c r="L34" s="21"/>
      <c r="M34" s="120">
        <v>0</v>
      </c>
      <c r="N34" s="119">
        <f t="shared" si="1"/>
        <v>0</v>
      </c>
      <c r="O34" s="120">
        <v>0</v>
      </c>
      <c r="P34" s="129">
        <f t="shared" si="2"/>
        <v>0</v>
      </c>
      <c r="Q34" s="127">
        <v>0</v>
      </c>
      <c r="R34" s="119">
        <f t="shared" si="3"/>
        <v>0</v>
      </c>
      <c r="S34" s="633">
        <f t="shared" si="6"/>
        <v>0</v>
      </c>
      <c r="U34" s="97">
        <v>53208010100000</v>
      </c>
      <c r="V34" s="94" t="s">
        <v>30</v>
      </c>
      <c r="W34" s="100">
        <v>0</v>
      </c>
    </row>
    <row r="35" spans="1:23" ht="12.75" customHeight="1" x14ac:dyDescent="0.2">
      <c r="A35" s="836"/>
      <c r="B35" s="841" t="s">
        <v>90</v>
      </c>
      <c r="C35" s="89"/>
      <c r="D35" s="68"/>
      <c r="E35" s="69"/>
      <c r="F35" s="70" t="s">
        <v>117</v>
      </c>
      <c r="G35" s="62">
        <v>0</v>
      </c>
      <c r="H35" s="62">
        <v>0</v>
      </c>
      <c r="I35" s="79">
        <v>0</v>
      </c>
      <c r="J35" s="82">
        <f t="shared" si="5"/>
        <v>0</v>
      </c>
      <c r="K35" s="77">
        <f t="shared" si="0"/>
        <v>0</v>
      </c>
      <c r="L35" s="21"/>
      <c r="M35" s="104">
        <v>0</v>
      </c>
      <c r="N35" s="117">
        <f t="shared" si="1"/>
        <v>0</v>
      </c>
      <c r="O35" s="104">
        <v>0</v>
      </c>
      <c r="P35" s="128">
        <f t="shared" si="2"/>
        <v>0</v>
      </c>
      <c r="Q35" s="125">
        <v>0</v>
      </c>
      <c r="R35" s="586">
        <f t="shared" si="3"/>
        <v>0</v>
      </c>
      <c r="S35" s="631">
        <f t="shared" si="6"/>
        <v>0</v>
      </c>
      <c r="U35" s="97">
        <v>53208070100001</v>
      </c>
      <c r="V35" s="94" t="s">
        <v>31</v>
      </c>
      <c r="W35" s="100">
        <v>0</v>
      </c>
    </row>
    <row r="36" spans="1:23" ht="12.75" customHeight="1" x14ac:dyDescent="0.2">
      <c r="A36" s="836"/>
      <c r="B36" s="842"/>
      <c r="C36" s="43"/>
      <c r="D36" s="73"/>
      <c r="E36" s="74"/>
      <c r="F36" s="75" t="s">
        <v>117</v>
      </c>
      <c r="G36" s="63">
        <v>0</v>
      </c>
      <c r="H36" s="63">
        <v>0</v>
      </c>
      <c r="I36" s="80">
        <v>0</v>
      </c>
      <c r="J36" s="83">
        <f t="shared" si="5"/>
        <v>0</v>
      </c>
      <c r="K36" s="78">
        <f t="shared" si="0"/>
        <v>0</v>
      </c>
      <c r="L36" s="21"/>
      <c r="M36" s="115">
        <v>0</v>
      </c>
      <c r="N36" s="118">
        <f t="shared" si="1"/>
        <v>0</v>
      </c>
      <c r="O36" s="115">
        <v>0</v>
      </c>
      <c r="P36" s="116">
        <f t="shared" si="2"/>
        <v>0</v>
      </c>
      <c r="Q36" s="126">
        <v>0</v>
      </c>
      <c r="R36" s="587">
        <f t="shared" si="3"/>
        <v>0</v>
      </c>
      <c r="S36" s="632">
        <f t="shared" si="6"/>
        <v>0</v>
      </c>
      <c r="U36" s="97">
        <v>53208100100001</v>
      </c>
      <c r="V36" s="94" t="s">
        <v>129</v>
      </c>
      <c r="W36" s="100">
        <v>0</v>
      </c>
    </row>
    <row r="37" spans="1:23" ht="12.75" customHeight="1" x14ac:dyDescent="0.2">
      <c r="A37" s="836"/>
      <c r="B37" s="842"/>
      <c r="C37" s="43"/>
      <c r="D37" s="73"/>
      <c r="E37" s="74"/>
      <c r="F37" s="75" t="s">
        <v>117</v>
      </c>
      <c r="G37" s="63">
        <v>0</v>
      </c>
      <c r="H37" s="63">
        <v>0</v>
      </c>
      <c r="I37" s="80">
        <v>0</v>
      </c>
      <c r="J37" s="83">
        <f t="shared" si="5"/>
        <v>0</v>
      </c>
      <c r="K37" s="78">
        <f t="shared" si="0"/>
        <v>0</v>
      </c>
      <c r="L37" s="21"/>
      <c r="M37" s="115">
        <v>0</v>
      </c>
      <c r="N37" s="118">
        <f t="shared" si="1"/>
        <v>0</v>
      </c>
      <c r="O37" s="115">
        <v>0</v>
      </c>
      <c r="P37" s="116">
        <f t="shared" si="2"/>
        <v>0</v>
      </c>
      <c r="Q37" s="126">
        <v>0</v>
      </c>
      <c r="R37" s="587">
        <f t="shared" si="3"/>
        <v>0</v>
      </c>
      <c r="S37" s="632">
        <f t="shared" si="6"/>
        <v>0</v>
      </c>
      <c r="U37" s="97">
        <v>53211030000000</v>
      </c>
      <c r="V37" s="94" t="s">
        <v>32</v>
      </c>
      <c r="W37" s="100">
        <v>0</v>
      </c>
    </row>
    <row r="38" spans="1:23" ht="12.75" customHeight="1" x14ac:dyDescent="0.2">
      <c r="A38" s="836"/>
      <c r="B38" s="842"/>
      <c r="C38" s="43"/>
      <c r="D38" s="73"/>
      <c r="E38" s="74"/>
      <c r="F38" s="75" t="s">
        <v>117</v>
      </c>
      <c r="G38" s="63">
        <v>0</v>
      </c>
      <c r="H38" s="63">
        <v>0</v>
      </c>
      <c r="I38" s="80">
        <v>0</v>
      </c>
      <c r="J38" s="83">
        <f t="shared" si="5"/>
        <v>0</v>
      </c>
      <c r="K38" s="78">
        <f t="shared" si="0"/>
        <v>0</v>
      </c>
      <c r="L38" s="21"/>
      <c r="M38" s="115">
        <v>0</v>
      </c>
      <c r="N38" s="118">
        <f t="shared" si="1"/>
        <v>0</v>
      </c>
      <c r="O38" s="115">
        <v>0</v>
      </c>
      <c r="P38" s="116">
        <f t="shared" si="2"/>
        <v>0</v>
      </c>
      <c r="Q38" s="126">
        <v>0</v>
      </c>
      <c r="R38" s="587">
        <f t="shared" si="3"/>
        <v>0</v>
      </c>
      <c r="S38" s="632">
        <f t="shared" si="6"/>
        <v>0</v>
      </c>
      <c r="U38" s="97">
        <v>53212020100000</v>
      </c>
      <c r="V38" s="94" t="s">
        <v>97</v>
      </c>
      <c r="W38" s="100">
        <v>0</v>
      </c>
    </row>
    <row r="39" spans="1:23" ht="12.75" customHeight="1" thickBot="1" x14ac:dyDescent="0.25">
      <c r="A39" s="836"/>
      <c r="B39" s="843"/>
      <c r="C39" s="90"/>
      <c r="D39" s="64"/>
      <c r="E39" s="65"/>
      <c r="F39" s="66" t="s">
        <v>117</v>
      </c>
      <c r="G39" s="67">
        <v>0</v>
      </c>
      <c r="H39" s="67">
        <v>0</v>
      </c>
      <c r="I39" s="81">
        <v>0</v>
      </c>
      <c r="J39" s="84">
        <f t="shared" si="5"/>
        <v>0</v>
      </c>
      <c r="K39" s="76">
        <f t="shared" si="0"/>
        <v>0</v>
      </c>
      <c r="L39" s="21"/>
      <c r="M39" s="120">
        <v>0</v>
      </c>
      <c r="N39" s="119">
        <f t="shared" si="1"/>
        <v>0</v>
      </c>
      <c r="O39" s="120">
        <v>0</v>
      </c>
      <c r="P39" s="129">
        <f t="shared" si="2"/>
        <v>0</v>
      </c>
      <c r="Q39" s="127">
        <v>0</v>
      </c>
      <c r="R39" s="119">
        <f t="shared" si="3"/>
        <v>0</v>
      </c>
      <c r="S39" s="633">
        <f t="shared" si="6"/>
        <v>0</v>
      </c>
      <c r="U39" s="97">
        <v>53214020000000</v>
      </c>
      <c r="V39" s="94" t="s">
        <v>33</v>
      </c>
      <c r="W39" s="100">
        <v>0</v>
      </c>
    </row>
    <row r="40" spans="1:23" ht="12.75" customHeight="1" x14ac:dyDescent="0.2">
      <c r="A40" s="836"/>
      <c r="B40" s="844" t="s">
        <v>118</v>
      </c>
      <c r="C40" s="668" t="s">
        <v>299</v>
      </c>
      <c r="D40" s="669" t="s">
        <v>300</v>
      </c>
      <c r="E40" s="670" t="s">
        <v>301</v>
      </c>
      <c r="F40" s="61" t="s">
        <v>117</v>
      </c>
      <c r="G40" s="62">
        <f>996585*12</f>
        <v>11959020</v>
      </c>
      <c r="H40" s="326">
        <f>(109202+208400)</f>
        <v>317602</v>
      </c>
      <c r="I40" s="326">
        <f>88166*2</f>
        <v>176332</v>
      </c>
      <c r="J40" s="85">
        <f t="shared" ref="J40:J61" si="7">SUM(G40:I40)</f>
        <v>12452954</v>
      </c>
      <c r="K40" s="87">
        <f t="shared" si="0"/>
        <v>13013336.93</v>
      </c>
      <c r="L40" s="21"/>
      <c r="M40" s="104">
        <v>0.4</v>
      </c>
      <c r="N40" s="117">
        <f t="shared" si="1"/>
        <v>5205334.7719999999</v>
      </c>
      <c r="O40" s="104">
        <v>0.4</v>
      </c>
      <c r="P40" s="128">
        <f t="shared" si="2"/>
        <v>5205334.7719999999</v>
      </c>
      <c r="Q40" s="125">
        <v>0.2</v>
      </c>
      <c r="R40" s="586">
        <f t="shared" si="3"/>
        <v>2602667.3859999999</v>
      </c>
      <c r="S40" s="631">
        <f t="shared" si="6"/>
        <v>1</v>
      </c>
      <c r="U40" s="95"/>
      <c r="V40" s="92" t="s">
        <v>34</v>
      </c>
      <c r="W40" s="98">
        <f>SUM(W41,W46,W49,W60,W70,W78)</f>
        <v>1600000</v>
      </c>
    </row>
    <row r="41" spans="1:23" ht="12.75" customHeight="1" x14ac:dyDescent="0.2">
      <c r="A41" s="836"/>
      <c r="B41" s="845"/>
      <c r="C41" s="44"/>
      <c r="D41" s="46"/>
      <c r="E41" s="47"/>
      <c r="F41" s="55" t="s">
        <v>117</v>
      </c>
      <c r="G41" s="63">
        <v>0</v>
      </c>
      <c r="H41" s="63">
        <v>0</v>
      </c>
      <c r="I41" s="80">
        <v>0</v>
      </c>
      <c r="J41" s="86">
        <f t="shared" ref="J41:J48" si="8">SUM(G41:I41)</f>
        <v>0</v>
      </c>
      <c r="K41" s="88">
        <f t="shared" si="0"/>
        <v>0</v>
      </c>
      <c r="L41" s="21"/>
      <c r="M41" s="115">
        <v>0</v>
      </c>
      <c r="N41" s="118">
        <f t="shared" si="1"/>
        <v>0</v>
      </c>
      <c r="O41" s="115">
        <v>0</v>
      </c>
      <c r="P41" s="116">
        <f t="shared" si="2"/>
        <v>0</v>
      </c>
      <c r="Q41" s="126">
        <v>0</v>
      </c>
      <c r="R41" s="587">
        <f t="shared" si="3"/>
        <v>0</v>
      </c>
      <c r="S41" s="632">
        <f t="shared" si="6"/>
        <v>0</v>
      </c>
      <c r="U41" s="96"/>
      <c r="V41" s="93" t="s">
        <v>35</v>
      </c>
      <c r="W41" s="99">
        <f>SUM(W42:W45)</f>
        <v>0</v>
      </c>
    </row>
    <row r="42" spans="1:23" ht="12.75" customHeight="1" x14ac:dyDescent="0.2">
      <c r="A42" s="836"/>
      <c r="B42" s="845"/>
      <c r="C42" s="44"/>
      <c r="D42" s="46"/>
      <c r="E42" s="47"/>
      <c r="F42" s="55" t="s">
        <v>117</v>
      </c>
      <c r="G42" s="63">
        <v>0</v>
      </c>
      <c r="H42" s="63">
        <v>0</v>
      </c>
      <c r="I42" s="80">
        <v>0</v>
      </c>
      <c r="J42" s="86">
        <f t="shared" si="8"/>
        <v>0</v>
      </c>
      <c r="K42" s="88">
        <f t="shared" si="0"/>
        <v>0</v>
      </c>
      <c r="L42" s="21"/>
      <c r="M42" s="115">
        <v>0</v>
      </c>
      <c r="N42" s="118">
        <f t="shared" si="1"/>
        <v>0</v>
      </c>
      <c r="O42" s="115">
        <v>0</v>
      </c>
      <c r="P42" s="116">
        <f t="shared" si="2"/>
        <v>0</v>
      </c>
      <c r="Q42" s="126">
        <v>0</v>
      </c>
      <c r="R42" s="587">
        <f t="shared" si="3"/>
        <v>0</v>
      </c>
      <c r="S42" s="632">
        <f t="shared" si="6"/>
        <v>0</v>
      </c>
      <c r="U42" s="97">
        <v>53202020100000</v>
      </c>
      <c r="V42" s="94" t="s">
        <v>39</v>
      </c>
      <c r="W42" s="100">
        <v>0</v>
      </c>
    </row>
    <row r="43" spans="1:23" ht="12.75" customHeight="1" x14ac:dyDescent="0.2">
      <c r="A43" s="836"/>
      <c r="B43" s="845"/>
      <c r="C43" s="44"/>
      <c r="D43" s="46"/>
      <c r="E43" s="47"/>
      <c r="F43" s="55" t="s">
        <v>117</v>
      </c>
      <c r="G43" s="63">
        <v>0</v>
      </c>
      <c r="H43" s="63">
        <v>0</v>
      </c>
      <c r="I43" s="80">
        <v>0</v>
      </c>
      <c r="J43" s="86">
        <f t="shared" si="8"/>
        <v>0</v>
      </c>
      <c r="K43" s="88">
        <f t="shared" si="0"/>
        <v>0</v>
      </c>
      <c r="L43" s="21"/>
      <c r="M43" s="115">
        <v>0</v>
      </c>
      <c r="N43" s="118">
        <f t="shared" si="1"/>
        <v>0</v>
      </c>
      <c r="O43" s="115">
        <v>0</v>
      </c>
      <c r="P43" s="116">
        <f t="shared" si="2"/>
        <v>0</v>
      </c>
      <c r="Q43" s="126">
        <v>0</v>
      </c>
      <c r="R43" s="587">
        <f t="shared" si="3"/>
        <v>0</v>
      </c>
      <c r="S43" s="632">
        <f t="shared" si="6"/>
        <v>0</v>
      </c>
      <c r="U43" s="97">
        <v>53202030000000</v>
      </c>
      <c r="V43" s="94" t="s">
        <v>40</v>
      </c>
      <c r="W43" s="100">
        <v>0</v>
      </c>
    </row>
    <row r="44" spans="1:23" ht="12.75" customHeight="1" x14ac:dyDescent="0.2">
      <c r="A44" s="836"/>
      <c r="B44" s="845"/>
      <c r="C44" s="44"/>
      <c r="D44" s="46"/>
      <c r="E44" s="47"/>
      <c r="F44" s="55" t="s">
        <v>117</v>
      </c>
      <c r="G44" s="63">
        <v>0</v>
      </c>
      <c r="H44" s="63">
        <v>0</v>
      </c>
      <c r="I44" s="80">
        <v>0</v>
      </c>
      <c r="J44" s="86">
        <f t="shared" si="8"/>
        <v>0</v>
      </c>
      <c r="K44" s="88">
        <f t="shared" si="0"/>
        <v>0</v>
      </c>
      <c r="L44" s="21"/>
      <c r="M44" s="115">
        <v>0</v>
      </c>
      <c r="N44" s="118">
        <f t="shared" si="1"/>
        <v>0</v>
      </c>
      <c r="O44" s="115">
        <v>0</v>
      </c>
      <c r="P44" s="116">
        <f t="shared" si="2"/>
        <v>0</v>
      </c>
      <c r="Q44" s="126">
        <v>0</v>
      </c>
      <c r="R44" s="587">
        <f t="shared" si="3"/>
        <v>0</v>
      </c>
      <c r="S44" s="632">
        <f t="shared" si="6"/>
        <v>0</v>
      </c>
      <c r="U44" s="97">
        <v>53211020000000</v>
      </c>
      <c r="V44" s="94" t="s">
        <v>41</v>
      </c>
      <c r="W44" s="100">
        <v>0</v>
      </c>
    </row>
    <row r="45" spans="1:23" ht="12.75" customHeight="1" x14ac:dyDescent="0.2">
      <c r="A45" s="836"/>
      <c r="B45" s="845"/>
      <c r="C45" s="44"/>
      <c r="D45" s="46"/>
      <c r="E45" s="47"/>
      <c r="F45" s="55" t="s">
        <v>117</v>
      </c>
      <c r="G45" s="63">
        <v>0</v>
      </c>
      <c r="H45" s="63">
        <v>0</v>
      </c>
      <c r="I45" s="80">
        <v>0</v>
      </c>
      <c r="J45" s="86">
        <f t="shared" si="8"/>
        <v>0</v>
      </c>
      <c r="K45" s="88">
        <f t="shared" si="0"/>
        <v>0</v>
      </c>
      <c r="L45" s="21"/>
      <c r="M45" s="115">
        <v>0</v>
      </c>
      <c r="N45" s="118">
        <f t="shared" si="1"/>
        <v>0</v>
      </c>
      <c r="O45" s="115">
        <v>0</v>
      </c>
      <c r="P45" s="116">
        <f t="shared" si="2"/>
        <v>0</v>
      </c>
      <c r="Q45" s="126">
        <v>0</v>
      </c>
      <c r="R45" s="587">
        <f t="shared" si="3"/>
        <v>0</v>
      </c>
      <c r="S45" s="632">
        <f t="shared" si="6"/>
        <v>0</v>
      </c>
      <c r="U45" s="97">
        <v>53101004030000</v>
      </c>
      <c r="V45" s="94" t="s">
        <v>38</v>
      </c>
      <c r="W45" s="100">
        <v>0</v>
      </c>
    </row>
    <row r="46" spans="1:23" ht="12.75" customHeight="1" x14ac:dyDescent="0.2">
      <c r="A46" s="836"/>
      <c r="B46" s="845"/>
      <c r="C46" s="44"/>
      <c r="D46" s="46"/>
      <c r="E46" s="47"/>
      <c r="F46" s="55" t="s">
        <v>117</v>
      </c>
      <c r="G46" s="63">
        <v>0</v>
      </c>
      <c r="H46" s="63">
        <v>0</v>
      </c>
      <c r="I46" s="80">
        <v>0</v>
      </c>
      <c r="J46" s="86">
        <f t="shared" si="8"/>
        <v>0</v>
      </c>
      <c r="K46" s="88">
        <f t="shared" si="0"/>
        <v>0</v>
      </c>
      <c r="L46" s="21"/>
      <c r="M46" s="115">
        <v>0</v>
      </c>
      <c r="N46" s="118">
        <f t="shared" si="1"/>
        <v>0</v>
      </c>
      <c r="O46" s="115">
        <v>0</v>
      </c>
      <c r="P46" s="116">
        <f t="shared" si="2"/>
        <v>0</v>
      </c>
      <c r="Q46" s="126">
        <v>0</v>
      </c>
      <c r="R46" s="587">
        <f t="shared" si="3"/>
        <v>0</v>
      </c>
      <c r="S46" s="632">
        <f t="shared" si="6"/>
        <v>0</v>
      </c>
      <c r="U46" s="96"/>
      <c r="V46" s="93" t="s">
        <v>42</v>
      </c>
      <c r="W46" s="99">
        <f>SUM(W47:W48)</f>
        <v>0</v>
      </c>
    </row>
    <row r="47" spans="1:23" ht="12.75" customHeight="1" x14ac:dyDescent="0.2">
      <c r="A47" s="836"/>
      <c r="B47" s="845"/>
      <c r="C47" s="44"/>
      <c r="D47" s="46"/>
      <c r="E47" s="47"/>
      <c r="F47" s="55" t="s">
        <v>117</v>
      </c>
      <c r="G47" s="63">
        <v>0</v>
      </c>
      <c r="H47" s="63">
        <v>0</v>
      </c>
      <c r="I47" s="80">
        <v>0</v>
      </c>
      <c r="J47" s="86">
        <f t="shared" si="8"/>
        <v>0</v>
      </c>
      <c r="K47" s="88">
        <f t="shared" si="0"/>
        <v>0</v>
      </c>
      <c r="L47" s="21"/>
      <c r="M47" s="115">
        <v>0</v>
      </c>
      <c r="N47" s="118">
        <f t="shared" si="1"/>
        <v>0</v>
      </c>
      <c r="O47" s="115">
        <v>0</v>
      </c>
      <c r="P47" s="116">
        <f t="shared" si="2"/>
        <v>0</v>
      </c>
      <c r="Q47" s="126">
        <v>0</v>
      </c>
      <c r="R47" s="587">
        <f t="shared" si="3"/>
        <v>0</v>
      </c>
      <c r="S47" s="632">
        <f t="shared" si="6"/>
        <v>0</v>
      </c>
      <c r="U47" s="97">
        <v>53205080000000</v>
      </c>
      <c r="V47" s="94" t="s">
        <v>43</v>
      </c>
      <c r="W47" s="100">
        <v>0</v>
      </c>
    </row>
    <row r="48" spans="1:23" ht="12.75" customHeight="1" x14ac:dyDescent="0.2">
      <c r="A48" s="836"/>
      <c r="B48" s="845"/>
      <c r="C48" s="44"/>
      <c r="D48" s="46"/>
      <c r="E48" s="47"/>
      <c r="F48" s="55" t="s">
        <v>117</v>
      </c>
      <c r="G48" s="63">
        <v>0</v>
      </c>
      <c r="H48" s="63">
        <v>0</v>
      </c>
      <c r="I48" s="80">
        <v>0</v>
      </c>
      <c r="J48" s="86">
        <f t="shared" si="8"/>
        <v>0</v>
      </c>
      <c r="K48" s="88">
        <f t="shared" si="0"/>
        <v>0</v>
      </c>
      <c r="L48" s="21"/>
      <c r="M48" s="115">
        <v>0</v>
      </c>
      <c r="N48" s="118">
        <f t="shared" si="1"/>
        <v>0</v>
      </c>
      <c r="O48" s="115">
        <v>0</v>
      </c>
      <c r="P48" s="116">
        <f t="shared" si="2"/>
        <v>0</v>
      </c>
      <c r="Q48" s="126">
        <v>0</v>
      </c>
      <c r="R48" s="587">
        <f t="shared" si="3"/>
        <v>0</v>
      </c>
      <c r="S48" s="632">
        <f t="shared" si="6"/>
        <v>0</v>
      </c>
      <c r="U48" s="97">
        <v>53205990000000</v>
      </c>
      <c r="V48" s="94" t="s">
        <v>44</v>
      </c>
      <c r="W48" s="100">
        <v>0</v>
      </c>
    </row>
    <row r="49" spans="1:23" ht="12.75" customHeight="1" x14ac:dyDescent="0.2">
      <c r="A49" s="836"/>
      <c r="B49" s="846"/>
      <c r="C49" s="44"/>
      <c r="D49" s="46"/>
      <c r="E49" s="47"/>
      <c r="F49" s="55" t="s">
        <v>117</v>
      </c>
      <c r="G49" s="63">
        <v>0</v>
      </c>
      <c r="H49" s="63">
        <v>0</v>
      </c>
      <c r="I49" s="80">
        <v>0</v>
      </c>
      <c r="J49" s="86">
        <f t="shared" si="7"/>
        <v>0</v>
      </c>
      <c r="K49" s="88">
        <f t="shared" si="0"/>
        <v>0</v>
      </c>
      <c r="L49" s="21"/>
      <c r="M49" s="115">
        <v>0</v>
      </c>
      <c r="N49" s="118">
        <f t="shared" si="1"/>
        <v>0</v>
      </c>
      <c r="O49" s="115">
        <v>0</v>
      </c>
      <c r="P49" s="116">
        <f t="shared" si="2"/>
        <v>0</v>
      </c>
      <c r="Q49" s="126">
        <v>0</v>
      </c>
      <c r="R49" s="587">
        <f t="shared" si="3"/>
        <v>0</v>
      </c>
      <c r="S49" s="632">
        <f t="shared" si="6"/>
        <v>0</v>
      </c>
      <c r="U49" s="96"/>
      <c r="V49" s="93" t="s">
        <v>45</v>
      </c>
      <c r="W49" s="99">
        <f>SUM(W50:W59)</f>
        <v>1600000</v>
      </c>
    </row>
    <row r="50" spans="1:23" ht="12.75" customHeight="1" x14ac:dyDescent="0.2">
      <c r="A50" s="836"/>
      <c r="B50" s="845"/>
      <c r="C50" s="44"/>
      <c r="D50" s="46"/>
      <c r="E50" s="47"/>
      <c r="F50" s="55" t="s">
        <v>117</v>
      </c>
      <c r="G50" s="63">
        <v>0</v>
      </c>
      <c r="H50" s="63">
        <v>0</v>
      </c>
      <c r="I50" s="80">
        <v>0</v>
      </c>
      <c r="J50" s="86">
        <f t="shared" ref="J50:J53" si="9">SUM(G50:I50)</f>
        <v>0</v>
      </c>
      <c r="K50" s="88">
        <f t="shared" si="0"/>
        <v>0</v>
      </c>
      <c r="L50" s="21"/>
      <c r="M50" s="115">
        <v>0</v>
      </c>
      <c r="N50" s="118">
        <f t="shared" si="1"/>
        <v>0</v>
      </c>
      <c r="O50" s="115">
        <v>0</v>
      </c>
      <c r="P50" s="116">
        <f t="shared" si="2"/>
        <v>0</v>
      </c>
      <c r="Q50" s="126">
        <v>0</v>
      </c>
      <c r="R50" s="587">
        <f t="shared" si="3"/>
        <v>0</v>
      </c>
      <c r="S50" s="632">
        <f t="shared" si="6"/>
        <v>0</v>
      </c>
      <c r="U50" s="97">
        <v>53203010200000</v>
      </c>
      <c r="V50" s="94" t="s">
        <v>46</v>
      </c>
      <c r="W50" s="100">
        <v>0</v>
      </c>
    </row>
    <row r="51" spans="1:23" ht="12.75" customHeight="1" x14ac:dyDescent="0.2">
      <c r="A51" s="836"/>
      <c r="B51" s="845"/>
      <c r="C51" s="44"/>
      <c r="D51" s="46"/>
      <c r="E51" s="47"/>
      <c r="F51" s="55" t="s">
        <v>117</v>
      </c>
      <c r="G51" s="63">
        <v>0</v>
      </c>
      <c r="H51" s="63">
        <v>0</v>
      </c>
      <c r="I51" s="80">
        <v>0</v>
      </c>
      <c r="J51" s="86">
        <f t="shared" si="9"/>
        <v>0</v>
      </c>
      <c r="K51" s="88">
        <f t="shared" si="0"/>
        <v>0</v>
      </c>
      <c r="L51" s="21"/>
      <c r="M51" s="115">
        <v>0</v>
      </c>
      <c r="N51" s="118">
        <f t="shared" si="1"/>
        <v>0</v>
      </c>
      <c r="O51" s="115">
        <v>0</v>
      </c>
      <c r="P51" s="116">
        <f t="shared" si="2"/>
        <v>0</v>
      </c>
      <c r="Q51" s="126">
        <v>0</v>
      </c>
      <c r="R51" s="587">
        <f t="shared" si="3"/>
        <v>0</v>
      </c>
      <c r="S51" s="632">
        <f t="shared" si="6"/>
        <v>0</v>
      </c>
      <c r="U51" s="97">
        <v>53204010000000</v>
      </c>
      <c r="V51" s="94" t="s">
        <v>47</v>
      </c>
      <c r="W51" s="100">
        <v>800000</v>
      </c>
    </row>
    <row r="52" spans="1:23" ht="12.75" customHeight="1" x14ac:dyDescent="0.2">
      <c r="A52" s="836"/>
      <c r="B52" s="845"/>
      <c r="C52" s="44"/>
      <c r="D52" s="46"/>
      <c r="E52" s="47"/>
      <c r="F52" s="55" t="s">
        <v>117</v>
      </c>
      <c r="G52" s="63">
        <v>0</v>
      </c>
      <c r="H52" s="63">
        <v>0</v>
      </c>
      <c r="I52" s="80">
        <v>0</v>
      </c>
      <c r="J52" s="86">
        <f t="shared" si="9"/>
        <v>0</v>
      </c>
      <c r="K52" s="88">
        <f t="shared" si="0"/>
        <v>0</v>
      </c>
      <c r="L52" s="21"/>
      <c r="M52" s="115">
        <v>0</v>
      </c>
      <c r="N52" s="118">
        <f t="shared" si="1"/>
        <v>0</v>
      </c>
      <c r="O52" s="115">
        <v>0</v>
      </c>
      <c r="P52" s="116">
        <f t="shared" si="2"/>
        <v>0</v>
      </c>
      <c r="Q52" s="126">
        <v>0</v>
      </c>
      <c r="R52" s="587">
        <f t="shared" si="3"/>
        <v>0</v>
      </c>
      <c r="S52" s="632">
        <f t="shared" si="6"/>
        <v>0</v>
      </c>
      <c r="U52" s="97">
        <v>53204040200000</v>
      </c>
      <c r="V52" s="94" t="s">
        <v>48</v>
      </c>
      <c r="W52" s="100">
        <v>0</v>
      </c>
    </row>
    <row r="53" spans="1:23" ht="12.75" customHeight="1" x14ac:dyDescent="0.2">
      <c r="A53" s="836"/>
      <c r="B53" s="845"/>
      <c r="C53" s="44"/>
      <c r="D53" s="46"/>
      <c r="E53" s="47"/>
      <c r="F53" s="55" t="s">
        <v>117</v>
      </c>
      <c r="G53" s="63">
        <v>0</v>
      </c>
      <c r="H53" s="63">
        <v>0</v>
      </c>
      <c r="I53" s="80">
        <v>0</v>
      </c>
      <c r="J53" s="86">
        <f t="shared" si="9"/>
        <v>0</v>
      </c>
      <c r="K53" s="88">
        <f t="shared" si="0"/>
        <v>0</v>
      </c>
      <c r="L53" s="21"/>
      <c r="M53" s="115">
        <v>0</v>
      </c>
      <c r="N53" s="118">
        <f t="shared" si="1"/>
        <v>0</v>
      </c>
      <c r="O53" s="115">
        <v>0</v>
      </c>
      <c r="P53" s="116">
        <f t="shared" si="2"/>
        <v>0</v>
      </c>
      <c r="Q53" s="126">
        <v>0</v>
      </c>
      <c r="R53" s="587">
        <f t="shared" si="3"/>
        <v>0</v>
      </c>
      <c r="S53" s="632">
        <f t="shared" si="6"/>
        <v>0</v>
      </c>
      <c r="U53" s="97">
        <v>53204060000000</v>
      </c>
      <c r="V53" s="94" t="s">
        <v>49</v>
      </c>
      <c r="W53" s="100">
        <v>0</v>
      </c>
    </row>
    <row r="54" spans="1:23" ht="12.75" customHeight="1" x14ac:dyDescent="0.2">
      <c r="A54" s="836"/>
      <c r="B54" s="846"/>
      <c r="C54" s="44"/>
      <c r="D54" s="46"/>
      <c r="E54" s="47"/>
      <c r="F54" s="55" t="s">
        <v>117</v>
      </c>
      <c r="G54" s="63">
        <v>0</v>
      </c>
      <c r="H54" s="63">
        <v>0</v>
      </c>
      <c r="I54" s="80">
        <v>0</v>
      </c>
      <c r="J54" s="86">
        <f t="shared" si="7"/>
        <v>0</v>
      </c>
      <c r="K54" s="88">
        <f t="shared" si="0"/>
        <v>0</v>
      </c>
      <c r="L54" s="21"/>
      <c r="M54" s="115">
        <v>0</v>
      </c>
      <c r="N54" s="118">
        <f t="shared" si="1"/>
        <v>0</v>
      </c>
      <c r="O54" s="115">
        <v>0</v>
      </c>
      <c r="P54" s="116">
        <f t="shared" si="2"/>
        <v>0</v>
      </c>
      <c r="Q54" s="126">
        <v>0</v>
      </c>
      <c r="R54" s="587">
        <f t="shared" si="3"/>
        <v>0</v>
      </c>
      <c r="S54" s="632">
        <f t="shared" si="6"/>
        <v>0</v>
      </c>
      <c r="U54" s="97">
        <v>53204070000000</v>
      </c>
      <c r="V54" s="94" t="s">
        <v>50</v>
      </c>
      <c r="W54" s="100">
        <v>800000</v>
      </c>
    </row>
    <row r="55" spans="1:23" ht="12.75" customHeight="1" x14ac:dyDescent="0.2">
      <c r="A55" s="836"/>
      <c r="B55" s="846"/>
      <c r="C55" s="44"/>
      <c r="D55" s="46"/>
      <c r="E55" s="47"/>
      <c r="F55" s="55" t="s">
        <v>117</v>
      </c>
      <c r="G55" s="63">
        <v>0</v>
      </c>
      <c r="H55" s="63">
        <v>0</v>
      </c>
      <c r="I55" s="80">
        <v>0</v>
      </c>
      <c r="J55" s="86">
        <f t="shared" si="7"/>
        <v>0</v>
      </c>
      <c r="K55" s="88">
        <f t="shared" si="0"/>
        <v>0</v>
      </c>
      <c r="L55" s="21"/>
      <c r="M55" s="115">
        <v>0</v>
      </c>
      <c r="N55" s="118">
        <f t="shared" si="1"/>
        <v>0</v>
      </c>
      <c r="O55" s="115">
        <v>0</v>
      </c>
      <c r="P55" s="116">
        <f t="shared" si="2"/>
        <v>0</v>
      </c>
      <c r="Q55" s="126">
        <v>0</v>
      </c>
      <c r="R55" s="587">
        <f t="shared" si="3"/>
        <v>0</v>
      </c>
      <c r="S55" s="632">
        <f t="shared" si="6"/>
        <v>0</v>
      </c>
      <c r="U55" s="97">
        <v>53204080000000</v>
      </c>
      <c r="V55" s="94" t="s">
        <v>51</v>
      </c>
      <c r="W55" s="100">
        <v>0</v>
      </c>
    </row>
    <row r="56" spans="1:23" ht="12.75" customHeight="1" x14ac:dyDescent="0.2">
      <c r="A56" s="836"/>
      <c r="B56" s="846"/>
      <c r="C56" s="44"/>
      <c r="D56" s="46"/>
      <c r="E56" s="47"/>
      <c r="F56" s="55" t="s">
        <v>117</v>
      </c>
      <c r="G56" s="63">
        <v>0</v>
      </c>
      <c r="H56" s="63">
        <v>0</v>
      </c>
      <c r="I56" s="80">
        <v>0</v>
      </c>
      <c r="J56" s="86">
        <f t="shared" si="7"/>
        <v>0</v>
      </c>
      <c r="K56" s="88">
        <f t="shared" si="0"/>
        <v>0</v>
      </c>
      <c r="L56" s="21"/>
      <c r="M56" s="115">
        <v>0</v>
      </c>
      <c r="N56" s="118">
        <f t="shared" si="1"/>
        <v>0</v>
      </c>
      <c r="O56" s="115">
        <v>0</v>
      </c>
      <c r="P56" s="116">
        <f t="shared" si="2"/>
        <v>0</v>
      </c>
      <c r="Q56" s="126">
        <v>0</v>
      </c>
      <c r="R56" s="587">
        <f t="shared" si="3"/>
        <v>0</v>
      </c>
      <c r="S56" s="632">
        <f t="shared" si="6"/>
        <v>0</v>
      </c>
      <c r="U56" s="97">
        <v>53214010000000</v>
      </c>
      <c r="V56" s="94" t="s">
        <v>52</v>
      </c>
      <c r="W56" s="100">
        <v>0</v>
      </c>
    </row>
    <row r="57" spans="1:23" ht="12.75" customHeight="1" x14ac:dyDescent="0.2">
      <c r="A57" s="836"/>
      <c r="B57" s="846"/>
      <c r="C57" s="44"/>
      <c r="D57" s="46"/>
      <c r="E57" s="47"/>
      <c r="F57" s="55" t="s">
        <v>117</v>
      </c>
      <c r="G57" s="63">
        <v>0</v>
      </c>
      <c r="H57" s="63">
        <v>0</v>
      </c>
      <c r="I57" s="80">
        <v>0</v>
      </c>
      <c r="J57" s="86">
        <f t="shared" si="7"/>
        <v>0</v>
      </c>
      <c r="K57" s="88">
        <f t="shared" si="0"/>
        <v>0</v>
      </c>
      <c r="L57" s="21"/>
      <c r="M57" s="115">
        <v>0</v>
      </c>
      <c r="N57" s="118">
        <f t="shared" si="1"/>
        <v>0</v>
      </c>
      <c r="O57" s="115">
        <v>0</v>
      </c>
      <c r="P57" s="116">
        <f t="shared" si="2"/>
        <v>0</v>
      </c>
      <c r="Q57" s="126">
        <v>0</v>
      </c>
      <c r="R57" s="587">
        <f t="shared" si="3"/>
        <v>0</v>
      </c>
      <c r="S57" s="632">
        <f t="shared" si="6"/>
        <v>0</v>
      </c>
      <c r="U57" s="97">
        <v>53214040000000</v>
      </c>
      <c r="V57" s="94" t="s">
        <v>130</v>
      </c>
      <c r="W57" s="100">
        <v>0</v>
      </c>
    </row>
    <row r="58" spans="1:23" ht="12.75" customHeight="1" x14ac:dyDescent="0.2">
      <c r="A58" s="836"/>
      <c r="B58" s="846"/>
      <c r="C58" s="44"/>
      <c r="D58" s="46"/>
      <c r="E58" s="47"/>
      <c r="F58" s="55" t="s">
        <v>117</v>
      </c>
      <c r="G58" s="63">
        <v>0</v>
      </c>
      <c r="H58" s="63">
        <v>0</v>
      </c>
      <c r="I58" s="80">
        <v>0</v>
      </c>
      <c r="J58" s="86">
        <f t="shared" si="7"/>
        <v>0</v>
      </c>
      <c r="K58" s="88">
        <f t="shared" si="0"/>
        <v>0</v>
      </c>
      <c r="L58" s="21"/>
      <c r="M58" s="115">
        <v>0</v>
      </c>
      <c r="N58" s="118">
        <f t="shared" si="1"/>
        <v>0</v>
      </c>
      <c r="O58" s="115">
        <v>0</v>
      </c>
      <c r="P58" s="116">
        <f t="shared" si="2"/>
        <v>0</v>
      </c>
      <c r="Q58" s="126">
        <v>0</v>
      </c>
      <c r="R58" s="587">
        <f t="shared" si="3"/>
        <v>0</v>
      </c>
      <c r="S58" s="632">
        <f t="shared" si="6"/>
        <v>0</v>
      </c>
      <c r="U58" s="97">
        <v>55201010100004</v>
      </c>
      <c r="V58" s="94" t="s">
        <v>53</v>
      </c>
      <c r="W58" s="100">
        <v>0</v>
      </c>
    </row>
    <row r="59" spans="1:23" ht="12.75" customHeight="1" x14ac:dyDescent="0.2">
      <c r="A59" s="836"/>
      <c r="B59" s="846"/>
      <c r="C59" s="44"/>
      <c r="D59" s="46"/>
      <c r="E59" s="47"/>
      <c r="F59" s="55" t="s">
        <v>117</v>
      </c>
      <c r="G59" s="63">
        <v>0</v>
      </c>
      <c r="H59" s="63">
        <v>0</v>
      </c>
      <c r="I59" s="80">
        <v>0</v>
      </c>
      <c r="J59" s="86">
        <f t="shared" si="7"/>
        <v>0</v>
      </c>
      <c r="K59" s="88">
        <f t="shared" si="0"/>
        <v>0</v>
      </c>
      <c r="L59" s="21"/>
      <c r="M59" s="115">
        <v>0</v>
      </c>
      <c r="N59" s="118">
        <f t="shared" si="1"/>
        <v>0</v>
      </c>
      <c r="O59" s="115">
        <v>0</v>
      </c>
      <c r="P59" s="116">
        <f t="shared" si="2"/>
        <v>0</v>
      </c>
      <c r="Q59" s="126">
        <v>0</v>
      </c>
      <c r="R59" s="587">
        <f t="shared" si="3"/>
        <v>0</v>
      </c>
      <c r="S59" s="632">
        <f t="shared" si="6"/>
        <v>0</v>
      </c>
      <c r="U59" s="97">
        <v>55201010100005</v>
      </c>
      <c r="V59" s="94" t="s">
        <v>54</v>
      </c>
      <c r="W59" s="100">
        <v>0</v>
      </c>
    </row>
    <row r="60" spans="1:23" ht="12.75" customHeight="1" x14ac:dyDescent="0.2">
      <c r="A60" s="836"/>
      <c r="B60" s="846"/>
      <c r="C60" s="44"/>
      <c r="D60" s="46"/>
      <c r="E60" s="47"/>
      <c r="F60" s="55" t="s">
        <v>117</v>
      </c>
      <c r="G60" s="63">
        <v>0</v>
      </c>
      <c r="H60" s="63">
        <v>0</v>
      </c>
      <c r="I60" s="80">
        <v>0</v>
      </c>
      <c r="J60" s="86">
        <f t="shared" si="7"/>
        <v>0</v>
      </c>
      <c r="K60" s="88">
        <f t="shared" si="0"/>
        <v>0</v>
      </c>
      <c r="L60" s="21"/>
      <c r="M60" s="115">
        <v>0</v>
      </c>
      <c r="N60" s="118">
        <f t="shared" si="1"/>
        <v>0</v>
      </c>
      <c r="O60" s="115">
        <v>0</v>
      </c>
      <c r="P60" s="116">
        <f t="shared" si="2"/>
        <v>0</v>
      </c>
      <c r="Q60" s="126">
        <v>0</v>
      </c>
      <c r="R60" s="587">
        <f t="shared" si="3"/>
        <v>0</v>
      </c>
      <c r="S60" s="632">
        <f t="shared" si="6"/>
        <v>0</v>
      </c>
      <c r="U60" s="96"/>
      <c r="V60" s="93" t="s">
        <v>55</v>
      </c>
      <c r="W60" s="99">
        <f>SUM(W61:W69)</f>
        <v>0</v>
      </c>
    </row>
    <row r="61" spans="1:23" ht="12.75" customHeight="1" thickBot="1" x14ac:dyDescent="0.25">
      <c r="A61" s="837"/>
      <c r="B61" s="847"/>
      <c r="C61" s="90"/>
      <c r="D61" s="64"/>
      <c r="E61" s="65"/>
      <c r="F61" s="66" t="s">
        <v>117</v>
      </c>
      <c r="G61" s="67">
        <v>0</v>
      </c>
      <c r="H61" s="67">
        <v>0</v>
      </c>
      <c r="I61" s="81">
        <v>0</v>
      </c>
      <c r="J61" s="84">
        <f t="shared" si="7"/>
        <v>0</v>
      </c>
      <c r="K61" s="76">
        <f t="shared" si="0"/>
        <v>0</v>
      </c>
      <c r="L61" s="21"/>
      <c r="M61" s="283">
        <v>0</v>
      </c>
      <c r="N61" s="284">
        <f t="shared" si="1"/>
        <v>0</v>
      </c>
      <c r="O61" s="283">
        <v>0</v>
      </c>
      <c r="P61" s="285">
        <f t="shared" si="2"/>
        <v>0</v>
      </c>
      <c r="Q61" s="286">
        <v>0</v>
      </c>
      <c r="R61" s="588">
        <f t="shared" si="3"/>
        <v>0</v>
      </c>
      <c r="S61" s="633">
        <f t="shared" si="6"/>
        <v>0</v>
      </c>
      <c r="U61" s="97">
        <v>53207010000000</v>
      </c>
      <c r="V61" s="94" t="s">
        <v>56</v>
      </c>
      <c r="W61" s="100">
        <v>0</v>
      </c>
    </row>
    <row r="62" spans="1:23" ht="12.75" customHeight="1" thickBot="1" x14ac:dyDescent="0.25">
      <c r="K62" s="282">
        <f>SUM(K15:K61)</f>
        <v>63417472.964999996</v>
      </c>
      <c r="M62" s="287">
        <f>+N62/$K$62</f>
        <v>0.50908454105098067</v>
      </c>
      <c r="N62" s="288">
        <f>SUM(N15:N61)</f>
        <v>32284855.118999999</v>
      </c>
      <c r="O62" s="287">
        <f>+P62/$K$62</f>
        <v>0.34545772947450964</v>
      </c>
      <c r="P62" s="288">
        <f>SUM(P15:P61)</f>
        <v>21908056.219499998</v>
      </c>
      <c r="Q62" s="287">
        <f>+R62/$K$62</f>
        <v>0.14545772947450966</v>
      </c>
      <c r="R62" s="288">
        <f>SUM(R15:R61)</f>
        <v>9224561.6264999993</v>
      </c>
      <c r="U62" s="97">
        <v>53207020000000</v>
      </c>
      <c r="V62" s="94" t="s">
        <v>57</v>
      </c>
      <c r="W62" s="100">
        <v>0</v>
      </c>
    </row>
    <row r="63" spans="1:23" ht="12.75" customHeight="1" x14ac:dyDescent="0.2">
      <c r="K63" s="41">
        <v>1</v>
      </c>
      <c r="U63" s="97">
        <v>53208020000000</v>
      </c>
      <c r="V63" s="94" t="s">
        <v>58</v>
      </c>
      <c r="W63" s="100">
        <v>0</v>
      </c>
    </row>
    <row r="64" spans="1:23" ht="12.75" customHeight="1" thickBot="1" x14ac:dyDescent="0.25">
      <c r="U64" s="97">
        <v>53208990000000</v>
      </c>
      <c r="V64" s="94" t="s">
        <v>59</v>
      </c>
      <c r="W64" s="100">
        <v>0</v>
      </c>
    </row>
    <row r="65" spans="1:23" ht="12.75" customHeight="1" x14ac:dyDescent="0.2">
      <c r="A65" s="829" t="s">
        <v>135</v>
      </c>
      <c r="B65" s="832" t="s">
        <v>120</v>
      </c>
      <c r="C65" s="89"/>
      <c r="D65" s="68"/>
      <c r="E65" s="69"/>
      <c r="F65" s="70" t="s">
        <v>119</v>
      </c>
      <c r="G65" s="62">
        <v>0</v>
      </c>
      <c r="H65" s="62">
        <v>0</v>
      </c>
      <c r="I65" s="79">
        <v>0</v>
      </c>
      <c r="J65" s="82">
        <f t="shared" si="5"/>
        <v>0</v>
      </c>
      <c r="K65" s="77">
        <f t="shared" si="0"/>
        <v>0</v>
      </c>
      <c r="L65" s="21"/>
      <c r="U65" s="97">
        <v>53209010000000</v>
      </c>
      <c r="V65" s="94" t="s">
        <v>60</v>
      </c>
      <c r="W65" s="100">
        <v>0</v>
      </c>
    </row>
    <row r="66" spans="1:23" ht="12.75" customHeight="1" x14ac:dyDescent="0.2">
      <c r="A66" s="830"/>
      <c r="B66" s="833"/>
      <c r="C66" s="45"/>
      <c r="D66" s="71"/>
      <c r="E66" s="72"/>
      <c r="F66" s="48" t="s">
        <v>119</v>
      </c>
      <c r="G66" s="63">
        <v>0</v>
      </c>
      <c r="H66" s="63">
        <v>0</v>
      </c>
      <c r="I66" s="80">
        <v>0</v>
      </c>
      <c r="J66" s="83">
        <f t="shared" si="5"/>
        <v>0</v>
      </c>
      <c r="K66" s="78">
        <f t="shared" si="0"/>
        <v>0</v>
      </c>
      <c r="L66" s="21"/>
      <c r="U66" s="97">
        <v>53209040000000</v>
      </c>
      <c r="V66" s="94" t="s">
        <v>61</v>
      </c>
      <c r="W66" s="100">
        <v>0</v>
      </c>
    </row>
    <row r="67" spans="1:23" ht="12.75" customHeight="1" x14ac:dyDescent="0.2">
      <c r="A67" s="830"/>
      <c r="B67" s="833"/>
      <c r="C67" s="45"/>
      <c r="D67" s="71"/>
      <c r="E67" s="72"/>
      <c r="F67" s="48" t="s">
        <v>119</v>
      </c>
      <c r="G67" s="63">
        <v>0</v>
      </c>
      <c r="H67" s="63">
        <v>0</v>
      </c>
      <c r="I67" s="80">
        <v>0</v>
      </c>
      <c r="J67" s="83">
        <f t="shared" si="5"/>
        <v>0</v>
      </c>
      <c r="K67" s="78">
        <f t="shared" si="0"/>
        <v>0</v>
      </c>
      <c r="L67" s="21"/>
      <c r="U67" s="97">
        <v>53209050000000</v>
      </c>
      <c r="V67" s="94" t="s">
        <v>62</v>
      </c>
      <c r="W67" s="100">
        <v>0</v>
      </c>
    </row>
    <row r="68" spans="1:23" ht="12.75" customHeight="1" x14ac:dyDescent="0.2">
      <c r="A68" s="830"/>
      <c r="B68" s="833"/>
      <c r="C68" s="43"/>
      <c r="D68" s="73"/>
      <c r="E68" s="74"/>
      <c r="F68" s="75" t="s">
        <v>119</v>
      </c>
      <c r="G68" s="63">
        <v>0</v>
      </c>
      <c r="H68" s="63">
        <v>0</v>
      </c>
      <c r="I68" s="80">
        <v>0</v>
      </c>
      <c r="J68" s="83">
        <f t="shared" si="5"/>
        <v>0</v>
      </c>
      <c r="K68" s="78">
        <f t="shared" si="0"/>
        <v>0</v>
      </c>
      <c r="L68" s="21"/>
      <c r="U68" s="97">
        <v>53209990000000</v>
      </c>
      <c r="V68" s="94" t="s">
        <v>63</v>
      </c>
      <c r="W68" s="100">
        <v>0</v>
      </c>
    </row>
    <row r="69" spans="1:23" ht="12.75" customHeight="1" thickBot="1" x14ac:dyDescent="0.25">
      <c r="A69" s="831"/>
      <c r="B69" s="834"/>
      <c r="C69" s="90"/>
      <c r="D69" s="64"/>
      <c r="E69" s="65"/>
      <c r="F69" s="66" t="s">
        <v>119</v>
      </c>
      <c r="G69" s="67">
        <v>0</v>
      </c>
      <c r="H69" s="67">
        <v>0</v>
      </c>
      <c r="I69" s="81">
        <v>0</v>
      </c>
      <c r="J69" s="84">
        <f t="shared" si="5"/>
        <v>0</v>
      </c>
      <c r="K69" s="76">
        <f t="shared" si="0"/>
        <v>0</v>
      </c>
      <c r="L69" s="21"/>
      <c r="U69" s="97">
        <v>53210020100000</v>
      </c>
      <c r="V69" s="94" t="s">
        <v>64</v>
      </c>
      <c r="W69" s="100">
        <v>0</v>
      </c>
    </row>
    <row r="70" spans="1:23" ht="15.75" x14ac:dyDescent="0.2">
      <c r="C70" s="18"/>
      <c r="D70" s="18"/>
      <c r="E70" s="24"/>
      <c r="F70" s="24"/>
      <c r="G70" s="24"/>
      <c r="H70" s="24"/>
      <c r="I70" s="24"/>
      <c r="K70" s="40">
        <f>SUM(K65:K69)</f>
        <v>0</v>
      </c>
      <c r="L70" s="21"/>
      <c r="U70" s="96"/>
      <c r="V70" s="93" t="s">
        <v>65</v>
      </c>
      <c r="W70" s="99">
        <f>SUM(W71:W77)</f>
        <v>0</v>
      </c>
    </row>
    <row r="71" spans="1:23" x14ac:dyDescent="0.2">
      <c r="K71" s="41">
        <v>1</v>
      </c>
      <c r="L71" s="21"/>
      <c r="M71" s="25"/>
      <c r="O71" s="25"/>
      <c r="Q71" s="25"/>
      <c r="U71" s="97">
        <v>53206030000000</v>
      </c>
      <c r="V71" s="94" t="s">
        <v>98</v>
      </c>
      <c r="W71" s="100">
        <v>0</v>
      </c>
    </row>
    <row r="72" spans="1:23" x14ac:dyDescent="0.2">
      <c r="L72" s="21"/>
      <c r="U72" s="97">
        <v>53206040000000</v>
      </c>
      <c r="V72" s="94" t="s">
        <v>99</v>
      </c>
      <c r="W72" s="100">
        <v>0</v>
      </c>
    </row>
    <row r="73" spans="1:23" x14ac:dyDescent="0.2">
      <c r="U73" s="97">
        <v>53206060000000</v>
      </c>
      <c r="V73" s="94" t="s">
        <v>100</v>
      </c>
      <c r="W73" s="100">
        <v>0</v>
      </c>
    </row>
    <row r="74" spans="1:23" x14ac:dyDescent="0.2">
      <c r="U74" s="97">
        <v>53206070000000</v>
      </c>
      <c r="V74" s="94" t="s">
        <v>101</v>
      </c>
      <c r="W74" s="100">
        <v>0</v>
      </c>
    </row>
    <row r="75" spans="1:23" ht="15.75" customHeight="1" x14ac:dyDescent="0.2">
      <c r="H75" s="91"/>
      <c r="U75" s="97">
        <v>53206990000000</v>
      </c>
      <c r="V75" s="94" t="s">
        <v>102</v>
      </c>
      <c r="W75" s="100">
        <v>0</v>
      </c>
    </row>
    <row r="76" spans="1:23" x14ac:dyDescent="0.2">
      <c r="U76" s="97">
        <v>53208030000000</v>
      </c>
      <c r="V76" s="94" t="s">
        <v>103</v>
      </c>
      <c r="W76" s="100">
        <v>0</v>
      </c>
    </row>
    <row r="77" spans="1:23" x14ac:dyDescent="0.2">
      <c r="U77" s="97">
        <v>53212060000000</v>
      </c>
      <c r="V77" s="94" t="s">
        <v>96</v>
      </c>
      <c r="W77" s="100">
        <v>0</v>
      </c>
    </row>
    <row r="78" spans="1:23" x14ac:dyDescent="0.2">
      <c r="U78" s="96"/>
      <c r="V78" s="93" t="s">
        <v>66</v>
      </c>
      <c r="W78" s="99">
        <f>SUM(W79:W79)</f>
        <v>0</v>
      </c>
    </row>
    <row r="79" spans="1:23" x14ac:dyDescent="0.2">
      <c r="U79" s="97">
        <v>53204999000000</v>
      </c>
      <c r="V79" s="94" t="s">
        <v>95</v>
      </c>
      <c r="W79" s="100">
        <v>0</v>
      </c>
    </row>
    <row r="80" spans="1:23" x14ac:dyDescent="0.2">
      <c r="U80" s="101"/>
      <c r="V80" s="102" t="s">
        <v>137</v>
      </c>
      <c r="W80" s="103">
        <f>+W40+W15</f>
        <v>3100000</v>
      </c>
    </row>
    <row r="83" ht="15.75" customHeight="1" x14ac:dyDescent="0.2"/>
    <row r="97" spans="11:12" x14ac:dyDescent="0.2">
      <c r="L97" s="105"/>
    </row>
    <row r="99" spans="11:12" x14ac:dyDescent="0.2">
      <c r="K99" s="113"/>
    </row>
    <row r="101" spans="11:12" x14ac:dyDescent="0.2">
      <c r="K101" s="106"/>
    </row>
  </sheetData>
  <sheetProtection algorithmName="SHA-512" hashValue="GClrQz/uYc9swIp1P+Kg33dX3WCRsLbY+6tcMTxeEB0tH7kqZ3dAEzIaDZUAnpnYkrtHZlmkskVe5fcbAxChRg==" saltValue="1e+b0JIQkHmMwZo44r+xKw==" spinCount="100000" sheet="1" objects="1" scenarios="1"/>
  <mergeCells count="43"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  <mergeCell ref="A65:A69"/>
    <mergeCell ref="B65:B69"/>
    <mergeCell ref="A15:A61"/>
    <mergeCell ref="B15:B24"/>
    <mergeCell ref="B25:B34"/>
    <mergeCell ref="B35:B39"/>
    <mergeCell ref="B40:B61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N15:AO15"/>
    <mergeCell ref="AP14:AQ14"/>
    <mergeCell ref="AP15:AQ15"/>
    <mergeCell ref="AR14:AS14"/>
    <mergeCell ref="AR15:AS15"/>
  </mergeCells>
  <conditionalFormatting sqref="S15:S61">
    <cfRule type="cellIs" dxfId="2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15"/>
  <sheetViews>
    <sheetView showGridLines="0" zoomScale="70" zoomScaleNormal="70" workbookViewId="0">
      <selection activeCell="A8" sqref="A8:V15"/>
    </sheetView>
  </sheetViews>
  <sheetFormatPr baseColWidth="10" defaultColWidth="11.42578125" defaultRowHeight="12.75" x14ac:dyDescent="0.2"/>
  <cols>
    <col min="1" max="1" width="42.140625" style="2" bestFit="1" customWidth="1"/>
    <col min="2" max="2" width="33" style="2" bestFit="1" customWidth="1"/>
    <col min="3" max="3" width="14.140625" style="2" customWidth="1"/>
    <col min="4" max="4" width="14.140625" style="2" bestFit="1" customWidth="1"/>
    <col min="5" max="17" width="14.140625" style="2" customWidth="1"/>
    <col min="18" max="18" width="13.28515625" style="2" customWidth="1"/>
    <col min="19" max="19" width="14.140625" style="2" bestFit="1" customWidth="1"/>
    <col min="20" max="20" width="14.140625" style="2" customWidth="1"/>
    <col min="21" max="21" width="12.28515625" style="2" customWidth="1"/>
    <col min="22" max="16384" width="11.42578125" style="2"/>
  </cols>
  <sheetData>
    <row r="1" spans="1:245" s="4" customFormat="1" x14ac:dyDescent="0.2">
      <c r="B1" s="3"/>
      <c r="G1" s="26" t="s">
        <v>201</v>
      </c>
      <c r="IJ1" s="2"/>
      <c r="IK1" s="2"/>
    </row>
    <row r="2" spans="1:245" s="4" customFormat="1" x14ac:dyDescent="0.2">
      <c r="B2" s="5"/>
      <c r="G2" s="26" t="s">
        <v>193</v>
      </c>
      <c r="IJ2" s="2"/>
      <c r="IK2" s="2"/>
    </row>
    <row r="3" spans="1:245" s="4" customFormat="1" x14ac:dyDescent="0.2">
      <c r="B3" s="2"/>
      <c r="IJ3" s="2"/>
      <c r="IK3" s="2"/>
    </row>
    <row r="4" spans="1:245" s="4" customFormat="1" ht="17.25" customHeight="1" x14ac:dyDescent="0.2">
      <c r="B4" s="2"/>
      <c r="C4" s="6"/>
      <c r="F4" s="6" t="s">
        <v>0</v>
      </c>
      <c r="G4" s="877" t="str">
        <f>+'B) Reajuste Tarifas y Ocupación'!F5</f>
        <v>(DEPTO./DELEG.)</v>
      </c>
      <c r="H4" s="878"/>
      <c r="I4" s="6"/>
      <c r="J4" s="6"/>
      <c r="K4" s="6"/>
      <c r="L4" s="6"/>
      <c r="M4" s="6"/>
      <c r="N4" s="6"/>
      <c r="O4" s="6"/>
      <c r="P4" s="6"/>
      <c r="Q4" s="6"/>
      <c r="IA4" s="2"/>
      <c r="IB4" s="2"/>
      <c r="IC4" s="2"/>
      <c r="ID4" s="2"/>
      <c r="IE4" s="2"/>
      <c r="IF4" s="2"/>
    </row>
    <row r="5" spans="1:245" s="4" customFormat="1" x14ac:dyDescent="0.2">
      <c r="B5" s="2"/>
      <c r="C5" s="6"/>
      <c r="F5" s="6"/>
      <c r="G5" s="26"/>
      <c r="H5" s="26"/>
      <c r="I5" s="6"/>
      <c r="J5" s="6"/>
      <c r="K5" s="6"/>
      <c r="L5" s="6"/>
      <c r="M5" s="6"/>
      <c r="N5" s="6"/>
      <c r="O5" s="6"/>
      <c r="P5" s="6"/>
      <c r="Q5" s="6"/>
      <c r="IA5" s="2"/>
      <c r="IB5" s="2"/>
      <c r="IC5" s="2"/>
      <c r="ID5" s="2"/>
      <c r="IE5" s="2"/>
      <c r="IF5" s="2"/>
    </row>
    <row r="6" spans="1:245" s="4" customFormat="1" ht="15.75" x14ac:dyDescent="0.2">
      <c r="A6" s="743" t="s">
        <v>155</v>
      </c>
      <c r="B6" s="743"/>
      <c r="C6" s="743"/>
      <c r="D6" s="743"/>
      <c r="E6" s="60"/>
      <c r="F6" s="6"/>
      <c r="G6" s="26"/>
      <c r="H6" s="26"/>
      <c r="I6" s="6"/>
      <c r="J6" s="6"/>
      <c r="K6" s="6"/>
      <c r="L6" s="6"/>
      <c r="M6" s="6"/>
      <c r="N6" s="6"/>
      <c r="O6" s="6"/>
      <c r="P6" s="6"/>
      <c r="Q6" s="6"/>
      <c r="IA6" s="2"/>
      <c r="IB6" s="2"/>
      <c r="IC6" s="2"/>
      <c r="ID6" s="2"/>
      <c r="IE6" s="2"/>
      <c r="IF6" s="2"/>
    </row>
    <row r="7" spans="1:245" s="4" customFormat="1" ht="13.5" thickBot="1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HX7" s="2"/>
      <c r="HY7" s="2"/>
      <c r="HZ7" s="2"/>
      <c r="IA7" s="2"/>
      <c r="IB7" s="2"/>
      <c r="IC7" s="2"/>
      <c r="ID7" s="2"/>
      <c r="IE7" s="2"/>
      <c r="IF7" s="2"/>
    </row>
    <row r="8" spans="1:245" ht="16.5" customHeight="1" thickBot="1" x14ac:dyDescent="0.25">
      <c r="A8" s="886" t="s">
        <v>112</v>
      </c>
      <c r="B8" s="888" t="s">
        <v>5</v>
      </c>
      <c r="C8" s="883" t="s">
        <v>256</v>
      </c>
      <c r="D8" s="884"/>
      <c r="E8" s="884"/>
      <c r="F8" s="884"/>
      <c r="G8" s="885"/>
      <c r="H8" s="879" t="s">
        <v>252</v>
      </c>
      <c r="I8" s="880"/>
      <c r="J8" s="880"/>
      <c r="K8" s="880"/>
      <c r="L8" s="881"/>
      <c r="M8" s="882" t="s">
        <v>123</v>
      </c>
      <c r="N8" s="875"/>
      <c r="O8" s="875"/>
      <c r="P8" s="875"/>
      <c r="Q8" s="876"/>
      <c r="R8" s="875" t="s">
        <v>124</v>
      </c>
      <c r="S8" s="875"/>
      <c r="T8" s="875"/>
      <c r="U8" s="875"/>
      <c r="V8" s="876"/>
    </row>
    <row r="9" spans="1:245" ht="64.5" thickBot="1" x14ac:dyDescent="0.25">
      <c r="A9" s="887" t="e">
        <f>NA()</f>
        <v>#N/A</v>
      </c>
      <c r="B9" s="889" t="e">
        <f>NA()</f>
        <v>#N/A</v>
      </c>
      <c r="C9" s="54" t="s">
        <v>85</v>
      </c>
      <c r="D9" s="53" t="s">
        <v>133</v>
      </c>
      <c r="E9" s="53" t="s">
        <v>134</v>
      </c>
      <c r="F9" s="53" t="s">
        <v>86</v>
      </c>
      <c r="G9" s="590" t="s">
        <v>87</v>
      </c>
      <c r="H9" s="594" t="s">
        <v>85</v>
      </c>
      <c r="I9" s="595" t="s">
        <v>133</v>
      </c>
      <c r="J9" s="595" t="s">
        <v>134</v>
      </c>
      <c r="K9" s="595" t="s">
        <v>86</v>
      </c>
      <c r="L9" s="604" t="s">
        <v>87</v>
      </c>
      <c r="M9" s="596" t="s">
        <v>85</v>
      </c>
      <c r="N9" s="597" t="s">
        <v>133</v>
      </c>
      <c r="O9" s="597" t="s">
        <v>134</v>
      </c>
      <c r="P9" s="597" t="s">
        <v>86</v>
      </c>
      <c r="Q9" s="598" t="s">
        <v>87</v>
      </c>
      <c r="R9" s="605" t="s">
        <v>85</v>
      </c>
      <c r="S9" s="597" t="s">
        <v>133</v>
      </c>
      <c r="T9" s="597" t="s">
        <v>134</v>
      </c>
      <c r="U9" s="597" t="s">
        <v>86</v>
      </c>
      <c r="V9" s="598" t="s">
        <v>87</v>
      </c>
    </row>
    <row r="10" spans="1:245" x14ac:dyDescent="0.2">
      <c r="A10" s="872" t="str">
        <f>+'B) Reajuste Tarifas y Ocupación'!A12</f>
        <v>Jardín Infantil Olitas de Mar</v>
      </c>
      <c r="B10" s="237" t="str">
        <f>+'B) Reajuste Tarifas y Ocupación'!B12</f>
        <v>Media jornada</v>
      </c>
      <c r="C10" s="624">
        <f>+'B) Reajuste Tarifas y Ocupación'!M12</f>
        <v>82300</v>
      </c>
      <c r="D10" s="625">
        <f>+'B) Reajuste Tarifas y Ocupación'!N12</f>
        <v>111100</v>
      </c>
      <c r="E10" s="625">
        <f>+'B) Reajuste Tarifas y Ocupación'!O12</f>
        <v>115200</v>
      </c>
      <c r="F10" s="625">
        <f>+'B) Reajuste Tarifas y Ocupación'!P12</f>
        <v>124300</v>
      </c>
      <c r="G10" s="591">
        <f>+'B) Reajuste Tarifas y Ocupación'!Q12</f>
        <v>199300</v>
      </c>
      <c r="H10" s="599">
        <f>+'B) Reajuste Tarifas y Ocupación'!C12</f>
        <v>78700</v>
      </c>
      <c r="I10" s="600">
        <f>+'B) Reajuste Tarifas y Ocupación'!D12</f>
        <v>106200</v>
      </c>
      <c r="J10" s="600">
        <f>+'B) Reajuste Tarifas y Ocupación'!E12</f>
        <v>110100</v>
      </c>
      <c r="K10" s="600">
        <f>+'B) Reajuste Tarifas y Ocupación'!F12</f>
        <v>118900</v>
      </c>
      <c r="L10" s="601">
        <f>+'B) Reajuste Tarifas y Ocupación'!G12</f>
        <v>190700</v>
      </c>
      <c r="M10" s="476">
        <f t="shared" ref="M10:Q11" si="0">C10-H10</f>
        <v>3600</v>
      </c>
      <c r="N10" s="477">
        <f t="shared" si="0"/>
        <v>4900</v>
      </c>
      <c r="O10" s="477">
        <f t="shared" si="0"/>
        <v>5100</v>
      </c>
      <c r="P10" s="477">
        <f t="shared" si="0"/>
        <v>5400</v>
      </c>
      <c r="Q10" s="610">
        <f t="shared" si="0"/>
        <v>8600</v>
      </c>
      <c r="R10" s="606">
        <f>+'B) Reajuste Tarifas y Ocupación'!H12</f>
        <v>4.4999999999999998E-2</v>
      </c>
      <c r="S10" s="478">
        <f>+'B) Reajuste Tarifas y Ocupación'!I12</f>
        <v>4.4999999999999998E-2</v>
      </c>
      <c r="T10" s="478">
        <f>+'B) Reajuste Tarifas y Ocupación'!J12</f>
        <v>4.4999999999999998E-2</v>
      </c>
      <c r="U10" s="478">
        <f>+'B) Reajuste Tarifas y Ocupación'!K12</f>
        <v>4.4999999999999998E-2</v>
      </c>
      <c r="V10" s="479">
        <f>+'B) Reajuste Tarifas y Ocupación'!L12</f>
        <v>4.4999999999999998E-2</v>
      </c>
    </row>
    <row r="11" spans="1:245" x14ac:dyDescent="0.2">
      <c r="A11" s="873"/>
      <c r="B11" s="238" t="str">
        <f>+'B) Reajuste Tarifas y Ocupación'!B13</f>
        <v>Media jornada Extendida</v>
      </c>
      <c r="C11" s="626">
        <f>+'B) Reajuste Tarifas y Ocupación'!M13</f>
        <v>93900</v>
      </c>
      <c r="D11" s="627">
        <f>+'B) Reajuste Tarifas y Ocupación'!N13</f>
        <v>126700</v>
      </c>
      <c r="E11" s="627">
        <f>+'B) Reajuste Tarifas y Ocupación'!O13</f>
        <v>131400</v>
      </c>
      <c r="F11" s="627">
        <f>+'B) Reajuste Tarifas y Ocupación'!P13</f>
        <v>177500</v>
      </c>
      <c r="G11" s="592">
        <f>+'B) Reajuste Tarifas y Ocupación'!Q13</f>
        <v>264500</v>
      </c>
      <c r="H11" s="602">
        <f>+'B) Reajuste Tarifas y Ocupación'!C13</f>
        <v>89800</v>
      </c>
      <c r="I11" s="589">
        <f>+'B) Reajuste Tarifas y Ocupación'!D13</f>
        <v>121200</v>
      </c>
      <c r="J11" s="589">
        <f>+'B) Reajuste Tarifas y Ocupación'!E13</f>
        <v>125600</v>
      </c>
      <c r="K11" s="589">
        <f>+'B) Reajuste Tarifas y Ocupación'!F13</f>
        <v>169800</v>
      </c>
      <c r="L11" s="603">
        <f>+'B) Reajuste Tarifas y Ocupación'!G13</f>
        <v>253100</v>
      </c>
      <c r="M11" s="480">
        <f t="shared" si="0"/>
        <v>4100</v>
      </c>
      <c r="N11" s="481">
        <f t="shared" si="0"/>
        <v>5500</v>
      </c>
      <c r="O11" s="481">
        <f t="shared" si="0"/>
        <v>5800</v>
      </c>
      <c r="P11" s="481">
        <f t="shared" si="0"/>
        <v>7700</v>
      </c>
      <c r="Q11" s="611">
        <f t="shared" si="0"/>
        <v>11400</v>
      </c>
      <c r="R11" s="607">
        <f>+'B) Reajuste Tarifas y Ocupación'!H13</f>
        <v>4.4999999999999998E-2</v>
      </c>
      <c r="S11" s="482">
        <f>+'B) Reajuste Tarifas y Ocupación'!I13</f>
        <v>4.4999999999999998E-2</v>
      </c>
      <c r="T11" s="482">
        <f>+'B) Reajuste Tarifas y Ocupación'!J13</f>
        <v>4.4999999999999998E-2</v>
      </c>
      <c r="U11" s="482">
        <f>+'B) Reajuste Tarifas y Ocupación'!K13</f>
        <v>4.4999999999999998E-2</v>
      </c>
      <c r="V11" s="483">
        <f>+'B) Reajuste Tarifas y Ocupación'!L13</f>
        <v>4.4999999999999998E-2</v>
      </c>
    </row>
    <row r="12" spans="1:245" ht="13.5" thickBot="1" x14ac:dyDescent="0.25">
      <c r="A12" s="874"/>
      <c r="B12" s="239" t="str">
        <f>+'B) Reajuste Tarifas y Ocupación'!B14</f>
        <v>Jornada Completa</v>
      </c>
      <c r="C12" s="246">
        <f>+'B) Reajuste Tarifas y Ocupación'!M14</f>
        <v>147000</v>
      </c>
      <c r="D12" s="247">
        <f>+'B) Reajuste Tarifas y Ocupación'!N14</f>
        <v>198400</v>
      </c>
      <c r="E12" s="247">
        <f>+'B) Reajuste Tarifas y Ocupación'!O14</f>
        <v>205700</v>
      </c>
      <c r="F12" s="247">
        <f>+'B) Reajuste Tarifas y Ocupación'!P14</f>
        <v>227500</v>
      </c>
      <c r="G12" s="324">
        <f>+'B) Reajuste Tarifas y Ocupación'!Q14</f>
        <v>365500</v>
      </c>
      <c r="H12" s="249">
        <f>+'B) Reajuste Tarifas y Ocupación'!C14</f>
        <v>140600</v>
      </c>
      <c r="I12" s="250">
        <f>+'B) Reajuste Tarifas y Ocupación'!D14</f>
        <v>189800</v>
      </c>
      <c r="J12" s="250">
        <f>+'B) Reajuste Tarifas y Ocupación'!E14</f>
        <v>196800</v>
      </c>
      <c r="K12" s="250">
        <f>+'B) Reajuste Tarifas y Ocupación'!F14</f>
        <v>217700</v>
      </c>
      <c r="L12" s="251">
        <f>+'B) Reajuste Tarifas y Ocupación'!G14</f>
        <v>349700</v>
      </c>
      <c r="M12" s="252">
        <f t="shared" ref="M12" si="1">C12-H12</f>
        <v>6400</v>
      </c>
      <c r="N12" s="253">
        <f t="shared" ref="N12" si="2">D12-I12</f>
        <v>8600</v>
      </c>
      <c r="O12" s="253">
        <f t="shared" ref="O12" si="3">E12-J12</f>
        <v>8900</v>
      </c>
      <c r="P12" s="253">
        <f t="shared" ref="P12" si="4">F12-K12</f>
        <v>9800</v>
      </c>
      <c r="Q12" s="612">
        <f t="shared" ref="Q12" si="5">G12-L12</f>
        <v>15800</v>
      </c>
      <c r="R12" s="609">
        <f>+'B) Reajuste Tarifas y Ocupación'!H14</f>
        <v>4.4999999999999998E-2</v>
      </c>
      <c r="S12" s="254">
        <f>+'B) Reajuste Tarifas y Ocupación'!I14</f>
        <v>4.4999999999999998E-2</v>
      </c>
      <c r="T12" s="254">
        <f>+'B) Reajuste Tarifas y Ocupación'!J14</f>
        <v>4.4999999999999998E-2</v>
      </c>
      <c r="U12" s="254">
        <f>+'B) Reajuste Tarifas y Ocupación'!K14</f>
        <v>4.4999999999999998E-2</v>
      </c>
      <c r="V12" s="255">
        <f>+'B) Reajuste Tarifas y Ocupación'!L14</f>
        <v>4.4999999999999998E-2</v>
      </c>
    </row>
    <row r="13" spans="1:245" x14ac:dyDescent="0.2">
      <c r="A13" s="870" t="str">
        <f>+'B) Reajuste Tarifas y Ocupación'!A15</f>
        <v>Sala Cuna Olitas de Mar</v>
      </c>
      <c r="B13" s="613" t="str">
        <f>+'B) Reajuste Tarifas y Ocupación'!B15</f>
        <v>Diurna</v>
      </c>
      <c r="C13" s="614">
        <f>+'B) Reajuste Tarifas y Ocupación'!M15</f>
        <v>437600</v>
      </c>
      <c r="D13" s="615">
        <f>+'B) Reajuste Tarifas y Ocupación'!N15</f>
        <v>590800</v>
      </c>
      <c r="E13" s="615">
        <f>+'B) Reajuste Tarifas y Ocupación'!O15</f>
        <v>612700</v>
      </c>
      <c r="F13" s="615">
        <f>+'B) Reajuste Tarifas y Ocupación'!P15</f>
        <v>547000</v>
      </c>
      <c r="G13" s="616">
        <f>+'B) Reajuste Tarifas y Ocupación'!Q15</f>
        <v>656300</v>
      </c>
      <c r="H13" s="617">
        <f>+'B) Reajuste Tarifas y Ocupación'!C15</f>
        <v>397800</v>
      </c>
      <c r="I13" s="618">
        <f>+'B) Reajuste Tarifas y Ocupación'!D15</f>
        <v>537000</v>
      </c>
      <c r="J13" s="618">
        <f>+'B) Reajuste Tarifas y Ocupación'!E15</f>
        <v>556900</v>
      </c>
      <c r="K13" s="618">
        <f>+'B) Reajuste Tarifas y Ocupación'!F15</f>
        <v>497200</v>
      </c>
      <c r="L13" s="619">
        <f>+'B) Reajuste Tarifas y Ocupación'!G15</f>
        <v>596600</v>
      </c>
      <c r="M13" s="277">
        <f t="shared" ref="M13" si="6">C13-H13</f>
        <v>39800</v>
      </c>
      <c r="N13" s="620">
        <f t="shared" ref="N13" si="7">D13-I13</f>
        <v>53800</v>
      </c>
      <c r="O13" s="620">
        <f t="shared" ref="O13" si="8">E13-J13</f>
        <v>55800</v>
      </c>
      <c r="P13" s="620">
        <f t="shared" ref="P13" si="9">F13-K13</f>
        <v>49800</v>
      </c>
      <c r="Q13" s="279">
        <f t="shared" ref="Q13" si="10">G13-L13</f>
        <v>59700</v>
      </c>
      <c r="R13" s="621">
        <f>+'B) Reajuste Tarifas y Ocupación'!H15</f>
        <v>0.1</v>
      </c>
      <c r="S13" s="622">
        <f>+'B) Reajuste Tarifas y Ocupación'!I15</f>
        <v>0.1</v>
      </c>
      <c r="T13" s="622">
        <f>+'B) Reajuste Tarifas y Ocupación'!J15</f>
        <v>0.1</v>
      </c>
      <c r="U13" s="622">
        <f>+'B) Reajuste Tarifas y Ocupación'!K15</f>
        <v>0.1</v>
      </c>
      <c r="V13" s="623">
        <f>+'B) Reajuste Tarifas y Ocupación'!L15</f>
        <v>0.1</v>
      </c>
    </row>
    <row r="14" spans="1:245" x14ac:dyDescent="0.2">
      <c r="A14" s="870"/>
      <c r="B14" s="238" t="str">
        <f>+'B) Reajuste Tarifas y Ocupación'!B16</f>
        <v>Nocturna</v>
      </c>
      <c r="C14" s="463"/>
      <c r="D14" s="464"/>
      <c r="E14" s="464"/>
      <c r="F14" s="464"/>
      <c r="G14" s="593"/>
      <c r="H14" s="484"/>
      <c r="I14" s="485"/>
      <c r="J14" s="485"/>
      <c r="K14" s="485"/>
      <c r="L14" s="486"/>
      <c r="M14" s="484"/>
      <c r="N14" s="485"/>
      <c r="O14" s="485"/>
      <c r="P14" s="485"/>
      <c r="Q14" s="487"/>
      <c r="R14" s="608"/>
      <c r="S14" s="485"/>
      <c r="T14" s="485"/>
      <c r="U14" s="485"/>
      <c r="V14" s="487"/>
    </row>
    <row r="15" spans="1:245" ht="13.5" thickBot="1" x14ac:dyDescent="0.25">
      <c r="A15" s="871"/>
      <c r="B15" s="239" t="str">
        <f>+'B) Reajuste Tarifas y Ocupación'!B17</f>
        <v>Media Jornada</v>
      </c>
      <c r="C15" s="246">
        <f>+'B) Reajuste Tarifas y Ocupación'!M17</f>
        <v>262800</v>
      </c>
      <c r="D15" s="247">
        <f>+'B) Reajuste Tarifas y Ocupación'!N17</f>
        <v>354800</v>
      </c>
      <c r="E15" s="247">
        <f>+'B) Reajuste Tarifas y Ocupación'!O17</f>
        <v>368000</v>
      </c>
      <c r="F15" s="247">
        <f>+'B) Reajuste Tarifas y Ocupación'!P17</f>
        <v>394000</v>
      </c>
      <c r="G15" s="324">
        <f>+'B) Reajuste Tarifas y Ocupación'!Q17</f>
        <v>525200</v>
      </c>
      <c r="H15" s="249">
        <f>+'B) Reajuste Tarifas y Ocupación'!C17</f>
        <v>238900</v>
      </c>
      <c r="I15" s="250">
        <f>+'B) Reajuste Tarifas y Ocupación'!D17</f>
        <v>322600</v>
      </c>
      <c r="J15" s="250">
        <f>+'B) Reajuste Tarifas y Ocupación'!E17</f>
        <v>334500</v>
      </c>
      <c r="K15" s="250">
        <f>+'B) Reajuste Tarifas y Ocupación'!F17</f>
        <v>358100</v>
      </c>
      <c r="L15" s="251">
        <f>+'B) Reajuste Tarifas y Ocupación'!G17</f>
        <v>477400</v>
      </c>
      <c r="M15" s="252">
        <f t="shared" ref="M15" si="11">C15-H15</f>
        <v>23900</v>
      </c>
      <c r="N15" s="253">
        <f t="shared" ref="N15" si="12">D15-I15</f>
        <v>32200</v>
      </c>
      <c r="O15" s="253">
        <f t="shared" ref="O15" si="13">E15-J15</f>
        <v>33500</v>
      </c>
      <c r="P15" s="253">
        <f t="shared" ref="P15" si="14">F15-K15</f>
        <v>35900</v>
      </c>
      <c r="Q15" s="612">
        <f t="shared" ref="Q15" si="15">G15-L15</f>
        <v>47800</v>
      </c>
      <c r="R15" s="609">
        <f>+'B) Reajuste Tarifas y Ocupación'!H17</f>
        <v>0.1</v>
      </c>
      <c r="S15" s="254">
        <f>+'B) Reajuste Tarifas y Ocupación'!I17</f>
        <v>0.1</v>
      </c>
      <c r="T15" s="254">
        <f>+'B) Reajuste Tarifas y Ocupación'!J17</f>
        <v>0.1</v>
      </c>
      <c r="U15" s="254">
        <f>+'B) Reajuste Tarifas y Ocupación'!K17</f>
        <v>0.1</v>
      </c>
      <c r="V15" s="255">
        <f>+'B) Reajuste Tarifas y Ocupación'!L17</f>
        <v>0.1</v>
      </c>
    </row>
  </sheetData>
  <sheetProtection algorithmName="SHA-512" hashValue="fkBr1s5F75bbVwSdZfWQQvynhV+W/S+ChvxBsuda1eArCLPSDfirHMlV2DaJ5rvMf1iG/j3ENWVBGYvrOn07SQ==" saltValue="7enkp9jD+UeDrF3gztcMxQ==" spinCount="100000" sheet="1" objects="1" scenarios="1"/>
  <mergeCells count="10">
    <mergeCell ref="A13:A15"/>
    <mergeCell ref="A10:A12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H14:V14">
    <cfRule type="cellIs" dxfId="1" priority="1" operator="lessThan">
      <formula>0</formula>
    </cfRule>
  </conditionalFormatting>
  <conditionalFormatting sqref="M10:Q15">
    <cfRule type="cellIs" dxfId="0" priority="3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D.B.S.A.ORDINARIA&amp;R02-BS0307/02Pag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Y44"/>
  <sheetViews>
    <sheetView showGridLines="0" zoomScale="80" zoomScaleNormal="80" workbookViewId="0">
      <selection activeCell="J43" sqref="J43"/>
    </sheetView>
  </sheetViews>
  <sheetFormatPr baseColWidth="10" defaultColWidth="11.42578125" defaultRowHeight="12.75" x14ac:dyDescent="0.2"/>
  <cols>
    <col min="1" max="1" width="7.140625" style="20" customWidth="1"/>
    <col min="2" max="2" width="37.28515625" style="20" customWidth="1"/>
    <col min="3" max="3" width="28" style="20" customWidth="1"/>
    <col min="4" max="4" width="24.140625" style="20" customWidth="1"/>
    <col min="5" max="5" width="25.140625" style="20" customWidth="1"/>
    <col min="6" max="6" width="22.140625" style="20" customWidth="1"/>
    <col min="7" max="8" width="14.85546875" style="20" customWidth="1"/>
    <col min="9" max="9" width="15" style="20" customWidth="1"/>
    <col min="10" max="10" width="15.140625" style="20" customWidth="1"/>
    <col min="11" max="11" width="18.5703125" style="20" customWidth="1"/>
    <col min="12" max="12" width="25" style="20" customWidth="1"/>
    <col min="13" max="13" width="19.140625" style="20" customWidth="1"/>
    <col min="14" max="14" width="16.140625" style="20" customWidth="1"/>
    <col min="15" max="15" width="17.140625" style="20" customWidth="1"/>
    <col min="16" max="16" width="14.85546875" style="20" customWidth="1"/>
    <col min="17" max="17" width="17.7109375" style="20" customWidth="1"/>
    <col min="18" max="18" width="17.140625" style="20" customWidth="1"/>
    <col min="19" max="19" width="18.140625" style="20" customWidth="1"/>
    <col min="20" max="20" width="16.28515625" style="20" customWidth="1"/>
    <col min="21" max="21" width="15.85546875" style="20" customWidth="1"/>
    <col min="22" max="22" width="14.85546875" style="20" customWidth="1"/>
    <col min="23" max="23" width="15.85546875" style="20" customWidth="1"/>
    <col min="24" max="24" width="14.28515625" style="20" customWidth="1"/>
    <col min="25" max="25" width="14.85546875" style="20" customWidth="1"/>
    <col min="26" max="26" width="14.140625" style="20" customWidth="1"/>
    <col min="27" max="27" width="16.85546875" style="20" customWidth="1"/>
    <col min="28" max="28" width="17.5703125" style="20" customWidth="1"/>
    <col min="29" max="29" width="15.28515625" style="20" customWidth="1"/>
    <col min="30" max="30" width="19.7109375" style="20" customWidth="1"/>
    <col min="31" max="31" width="17.42578125" style="20" customWidth="1"/>
    <col min="32" max="32" width="12" style="20" customWidth="1"/>
    <col min="33" max="16384" width="11.42578125" style="20"/>
  </cols>
  <sheetData>
    <row r="1" spans="2:259" s="4" customFormat="1" x14ac:dyDescent="0.2">
      <c r="E1" s="26" t="s">
        <v>202</v>
      </c>
      <c r="F1" s="26"/>
      <c r="G1" s="26"/>
      <c r="H1" s="26"/>
      <c r="I1" s="26"/>
      <c r="J1" s="26"/>
      <c r="IN1" s="2"/>
      <c r="IO1" s="2"/>
    </row>
    <row r="2" spans="2:259" s="4" customFormat="1" x14ac:dyDescent="0.2">
      <c r="E2" s="26" t="s">
        <v>194</v>
      </c>
      <c r="F2" s="26"/>
      <c r="G2" s="26"/>
      <c r="H2" s="26"/>
      <c r="I2" s="26"/>
      <c r="J2" s="26"/>
      <c r="IN2" s="2"/>
      <c r="IO2" s="2"/>
    </row>
    <row r="3" spans="2:259" s="4" customFormat="1" x14ac:dyDescent="0.2">
      <c r="B3" s="16"/>
      <c r="IE3" s="2"/>
      <c r="IF3" s="2"/>
      <c r="IG3" s="2"/>
      <c r="IH3" s="2"/>
      <c r="II3" s="2"/>
      <c r="IJ3" s="2"/>
    </row>
    <row r="4" spans="2:259" s="4" customFormat="1" ht="18.75" customHeight="1" x14ac:dyDescent="0.2">
      <c r="B4" s="16"/>
      <c r="D4" s="58" t="s">
        <v>0</v>
      </c>
      <c r="E4" s="114" t="str">
        <f>+'B) Reajuste Tarifas y Ocupación'!F5</f>
        <v>(DEPTO./DELEG.)</v>
      </c>
      <c r="F4" s="35"/>
      <c r="G4" s="36"/>
      <c r="H4" s="36"/>
      <c r="I4" s="36"/>
      <c r="J4" s="36"/>
      <c r="K4" s="36"/>
      <c r="O4" s="1"/>
      <c r="IE4" s="2"/>
      <c r="IF4" s="2"/>
      <c r="IG4" s="2"/>
      <c r="IH4" s="2"/>
      <c r="II4" s="2"/>
      <c r="IJ4" s="2"/>
    </row>
    <row r="5" spans="2:259" s="4" customFormat="1" x14ac:dyDescent="0.2">
      <c r="B5" s="16"/>
      <c r="D5" s="6"/>
      <c r="E5" s="26"/>
      <c r="F5" s="26"/>
      <c r="G5" s="26"/>
      <c r="H5" s="26"/>
      <c r="I5" s="26"/>
      <c r="J5" s="26"/>
      <c r="K5" s="26"/>
      <c r="O5" s="1"/>
      <c r="IE5" s="2"/>
      <c r="IF5" s="2"/>
      <c r="IG5" s="2"/>
      <c r="IH5" s="2"/>
      <c r="II5" s="2"/>
      <c r="IJ5" s="2"/>
    </row>
    <row r="6" spans="2:259" s="4" customFormat="1" x14ac:dyDescent="0.2">
      <c r="B6" s="16"/>
      <c r="D6" s="6"/>
      <c r="E6" s="26"/>
      <c r="F6" s="26"/>
      <c r="G6" s="26"/>
      <c r="H6" s="26"/>
      <c r="I6" s="26"/>
      <c r="J6" s="26"/>
      <c r="K6" s="26"/>
      <c r="O6" s="1"/>
      <c r="IE6" s="2"/>
      <c r="IF6" s="2"/>
      <c r="IG6" s="2"/>
      <c r="IH6" s="2"/>
      <c r="II6" s="2"/>
      <c r="IJ6" s="2"/>
    </row>
    <row r="7" spans="2:259" s="4" customFormat="1" ht="15.75" x14ac:dyDescent="0.2">
      <c r="B7" s="764" t="s">
        <v>156</v>
      </c>
      <c r="C7" s="764"/>
      <c r="D7" s="764"/>
      <c r="E7" s="764"/>
      <c r="F7" s="59"/>
      <c r="I7" s="59"/>
      <c r="J7" s="37" t="s">
        <v>4</v>
      </c>
      <c r="K7" s="38">
        <v>4.4999999999999998E-2</v>
      </c>
      <c r="O7" s="1"/>
      <c r="IE7" s="2"/>
      <c r="IF7" s="2"/>
      <c r="IG7" s="2"/>
      <c r="IH7" s="2"/>
      <c r="II7" s="2"/>
      <c r="IJ7" s="2"/>
    </row>
    <row r="8" spans="2:259" ht="13.5" thickBot="1" x14ac:dyDescent="0.25"/>
    <row r="9" spans="2:259" ht="15" customHeight="1" x14ac:dyDescent="0.2">
      <c r="B9" s="908" t="s">
        <v>112</v>
      </c>
      <c r="C9" s="910" t="s">
        <v>73</v>
      </c>
      <c r="D9" s="910" t="s">
        <v>74</v>
      </c>
      <c r="E9" s="911" t="s">
        <v>3</v>
      </c>
      <c r="F9" s="906" t="s">
        <v>81</v>
      </c>
      <c r="G9" s="902" t="s">
        <v>259</v>
      </c>
      <c r="H9" s="867"/>
      <c r="I9" s="867"/>
      <c r="J9" s="903"/>
      <c r="K9" s="898" t="s">
        <v>261</v>
      </c>
      <c r="L9" s="900" t="s">
        <v>113</v>
      </c>
      <c r="O9" s="19"/>
      <c r="P9" s="19"/>
      <c r="Q9" s="19"/>
      <c r="R9" s="19"/>
      <c r="S9" s="19"/>
      <c r="T9" s="19"/>
    </row>
    <row r="10" spans="2:259" ht="39" thickBot="1" x14ac:dyDescent="0.25">
      <c r="B10" s="909"/>
      <c r="C10" s="863"/>
      <c r="D10" s="863"/>
      <c r="E10" s="865"/>
      <c r="F10" s="907"/>
      <c r="G10" s="952" t="s">
        <v>217</v>
      </c>
      <c r="H10" s="699" t="s">
        <v>114</v>
      </c>
      <c r="I10" s="953" t="s">
        <v>115</v>
      </c>
      <c r="J10" s="647" t="s">
        <v>260</v>
      </c>
      <c r="K10" s="899"/>
      <c r="L10" s="901"/>
      <c r="M10"/>
      <c r="N10" s="32"/>
      <c r="O10" s="32"/>
      <c r="P10" s="14"/>
      <c r="Q10" s="14"/>
      <c r="R10" s="14"/>
      <c r="S10"/>
      <c r="T10" s="904"/>
      <c r="U10" s="904"/>
      <c r="V10" s="904"/>
      <c r="W10" s="904"/>
      <c r="X10"/>
    </row>
    <row r="11" spans="2:259" customFormat="1" x14ac:dyDescent="0.2">
      <c r="B11" s="949" t="str">
        <f>+'B) Reajuste Tarifas y Ocupación'!A12</f>
        <v>Jardín Infantil Olitas de Mar</v>
      </c>
      <c r="C11" s="662" t="s">
        <v>281</v>
      </c>
      <c r="D11" s="325" t="s">
        <v>282</v>
      </c>
      <c r="E11" s="325" t="s">
        <v>283</v>
      </c>
      <c r="F11" s="957" t="s">
        <v>207</v>
      </c>
      <c r="G11" s="652">
        <f>955896*12</f>
        <v>11470752</v>
      </c>
      <c r="H11" s="326">
        <f>(109202+208400)</f>
        <v>317602</v>
      </c>
      <c r="I11" s="954">
        <f>88166*2</f>
        <v>176332</v>
      </c>
      <c r="J11" s="653">
        <f>SUM(G11:I11)</f>
        <v>11964686</v>
      </c>
      <c r="K11" s="650">
        <f>+J11*(1+$K$7)</f>
        <v>12503096.869999999</v>
      </c>
      <c r="L11" s="905">
        <f>SUM(K11:K22)</f>
        <v>41120035.219999999</v>
      </c>
      <c r="N11" s="319"/>
      <c r="O11" s="319"/>
      <c r="P11" s="33"/>
      <c r="Q11" s="33"/>
      <c r="R11" s="33"/>
      <c r="S11" s="317"/>
      <c r="T11" s="316"/>
      <c r="U11" s="316"/>
      <c r="V11" s="316"/>
      <c r="W11" s="316"/>
      <c r="X11" s="318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</row>
    <row r="12" spans="2:259" customFormat="1" x14ac:dyDescent="0.2">
      <c r="B12" s="950"/>
      <c r="C12" s="664"/>
      <c r="D12" s="323"/>
      <c r="E12" s="323"/>
      <c r="F12" s="958"/>
      <c r="G12" s="960"/>
      <c r="H12" s="320"/>
      <c r="I12" s="955"/>
      <c r="J12" s="655">
        <f t="shared" ref="J12" si="0">SUM(G12:I12)</f>
        <v>0</v>
      </c>
      <c r="K12" s="646">
        <f t="shared" ref="K12:K30" si="1">+J12*(1+$K$7)</f>
        <v>0</v>
      </c>
      <c r="L12" s="896"/>
      <c r="N12" s="319"/>
      <c r="O12" s="319"/>
      <c r="P12" s="14"/>
      <c r="Q12" s="14"/>
      <c r="R12" s="14"/>
      <c r="S12" s="317"/>
      <c r="T12" s="316"/>
      <c r="U12" s="316"/>
      <c r="V12" s="316"/>
      <c r="W12" s="316"/>
      <c r="X12" s="318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</row>
    <row r="13" spans="2:259" customFormat="1" x14ac:dyDescent="0.2">
      <c r="B13" s="950"/>
      <c r="C13" s="664" t="s">
        <v>285</v>
      </c>
      <c r="D13" s="323" t="s">
        <v>286</v>
      </c>
      <c r="E13" s="323" t="s">
        <v>291</v>
      </c>
      <c r="F13" s="958" t="s">
        <v>207</v>
      </c>
      <c r="G13" s="960">
        <f>695947*12</f>
        <v>8351364</v>
      </c>
      <c r="H13" s="320">
        <f t="shared" ref="H13" si="2">(109202+208400)</f>
        <v>317602</v>
      </c>
      <c r="I13" s="955">
        <f>88166*2</f>
        <v>176332</v>
      </c>
      <c r="J13" s="655">
        <f t="shared" ref="J13:J30" si="3">SUM(G13:I13)</f>
        <v>8845298</v>
      </c>
      <c r="K13" s="646">
        <f t="shared" si="1"/>
        <v>9243336.4100000001</v>
      </c>
      <c r="L13" s="896"/>
      <c r="N13" s="319"/>
      <c r="O13" s="319"/>
      <c r="P13" s="14"/>
      <c r="Q13" s="14"/>
      <c r="R13" s="14"/>
      <c r="S13" s="317"/>
      <c r="T13" s="316"/>
      <c r="U13" s="316"/>
      <c r="V13" s="316"/>
      <c r="W13" s="316"/>
      <c r="X13" s="318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</row>
    <row r="14" spans="2:259" customFormat="1" x14ac:dyDescent="0.2">
      <c r="B14" s="950"/>
      <c r="C14" s="664"/>
      <c r="D14" s="323"/>
      <c r="E14" s="323"/>
      <c r="F14" s="958"/>
      <c r="G14" s="960"/>
      <c r="H14" s="320"/>
      <c r="I14" s="955"/>
      <c r="J14" s="655">
        <f t="shared" si="3"/>
        <v>0</v>
      </c>
      <c r="K14" s="646">
        <f t="shared" si="1"/>
        <v>0</v>
      </c>
      <c r="L14" s="896"/>
      <c r="N14" s="319"/>
      <c r="O14" s="319"/>
      <c r="P14" s="14"/>
      <c r="Q14" s="14"/>
      <c r="R14" s="14"/>
      <c r="S14" s="317"/>
      <c r="T14" s="316"/>
      <c r="U14" s="316"/>
      <c r="V14" s="316"/>
      <c r="W14" s="316"/>
      <c r="X14" s="318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</row>
    <row r="15" spans="2:259" customFormat="1" x14ac:dyDescent="0.2">
      <c r="B15" s="950"/>
      <c r="C15" s="664" t="s">
        <v>284</v>
      </c>
      <c r="D15" s="323" t="s">
        <v>284</v>
      </c>
      <c r="E15" s="323" t="s">
        <v>292</v>
      </c>
      <c r="F15" s="958" t="s">
        <v>207</v>
      </c>
      <c r="G15" s="960">
        <f>731311*12</f>
        <v>8775732</v>
      </c>
      <c r="H15" s="320">
        <f t="shared" ref="H15:H16" si="4">(109202+208400)</f>
        <v>317602</v>
      </c>
      <c r="I15" s="955">
        <f>88166*2</f>
        <v>176332</v>
      </c>
      <c r="J15" s="655">
        <f>SUM(G15:I15)</f>
        <v>9269666</v>
      </c>
      <c r="K15" s="646">
        <f>+J15*(1+$K$7)</f>
        <v>9686800.9699999988</v>
      </c>
      <c r="L15" s="896"/>
      <c r="N15" s="319"/>
      <c r="O15" s="319"/>
      <c r="P15" s="14"/>
      <c r="Q15" s="14"/>
      <c r="R15" s="14"/>
      <c r="S15" s="317"/>
      <c r="T15" s="316"/>
      <c r="U15" s="316"/>
      <c r="V15" s="316"/>
      <c r="W15" s="316"/>
      <c r="X15" s="318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</row>
    <row r="16" spans="2:259" customFormat="1" x14ac:dyDescent="0.2">
      <c r="B16" s="950"/>
      <c r="C16" s="664" t="s">
        <v>284</v>
      </c>
      <c r="D16" s="323" t="s">
        <v>284</v>
      </c>
      <c r="E16" s="323" t="s">
        <v>303</v>
      </c>
      <c r="F16" s="958" t="s">
        <v>207</v>
      </c>
      <c r="G16" s="960">
        <f>731311*12</f>
        <v>8775732</v>
      </c>
      <c r="H16" s="320">
        <f t="shared" si="4"/>
        <v>317602</v>
      </c>
      <c r="I16" s="955">
        <f>88166*2</f>
        <v>176332</v>
      </c>
      <c r="J16" s="655">
        <f>SUM(G16:I16)</f>
        <v>9269666</v>
      </c>
      <c r="K16" s="646">
        <f t="shared" si="1"/>
        <v>9686800.9699999988</v>
      </c>
      <c r="L16" s="896"/>
      <c r="N16" s="319"/>
      <c r="O16" s="319"/>
      <c r="P16" s="14"/>
      <c r="Q16" s="14"/>
      <c r="R16" s="14"/>
      <c r="S16" s="317"/>
      <c r="T16" s="316"/>
      <c r="U16" s="316"/>
      <c r="V16" s="316"/>
      <c r="W16" s="316"/>
      <c r="X16" s="318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</row>
    <row r="17" spans="2:259" customFormat="1" x14ac:dyDescent="0.2">
      <c r="B17" s="950"/>
      <c r="C17" s="664"/>
      <c r="D17" s="323"/>
      <c r="E17" s="323"/>
      <c r="F17" s="958"/>
      <c r="G17" s="960"/>
      <c r="H17" s="320"/>
      <c r="I17" s="955"/>
      <c r="J17" s="655">
        <f t="shared" si="3"/>
        <v>0</v>
      </c>
      <c r="K17" s="646">
        <f t="shared" si="1"/>
        <v>0</v>
      </c>
      <c r="L17" s="896"/>
      <c r="N17" s="319"/>
      <c r="O17" s="319"/>
      <c r="P17" s="14"/>
      <c r="Q17" s="14"/>
      <c r="R17" s="14"/>
      <c r="S17" s="317"/>
      <c r="T17" s="316"/>
      <c r="U17" s="316"/>
      <c r="V17" s="316"/>
      <c r="W17" s="316"/>
      <c r="X17" s="318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</row>
    <row r="18" spans="2:259" customFormat="1" x14ac:dyDescent="0.2">
      <c r="B18" s="950"/>
      <c r="C18" s="664"/>
      <c r="D18" s="323"/>
      <c r="E18" s="323"/>
      <c r="F18" s="958"/>
      <c r="G18" s="960"/>
      <c r="H18" s="320"/>
      <c r="I18" s="955"/>
      <c r="J18" s="655">
        <f t="shared" si="3"/>
        <v>0</v>
      </c>
      <c r="K18" s="646">
        <f t="shared" si="1"/>
        <v>0</v>
      </c>
      <c r="L18" s="896"/>
      <c r="N18" s="319"/>
      <c r="O18" s="319"/>
      <c r="P18" s="14"/>
      <c r="Q18" s="14"/>
      <c r="R18" s="14"/>
      <c r="S18" s="317"/>
      <c r="T18" s="316"/>
      <c r="U18" s="316"/>
      <c r="V18" s="316"/>
      <c r="W18" s="316"/>
      <c r="X18" s="318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</row>
    <row r="19" spans="2:259" customFormat="1" x14ac:dyDescent="0.2">
      <c r="B19" s="950"/>
      <c r="C19" s="664"/>
      <c r="D19" s="323"/>
      <c r="E19" s="323"/>
      <c r="F19" s="958"/>
      <c r="G19" s="960"/>
      <c r="H19" s="320"/>
      <c r="I19" s="955"/>
      <c r="J19" s="655">
        <f t="shared" si="3"/>
        <v>0</v>
      </c>
      <c r="K19" s="646">
        <f t="shared" si="1"/>
        <v>0</v>
      </c>
      <c r="L19" s="896"/>
      <c r="N19" s="319"/>
      <c r="O19" s="319"/>
      <c r="P19" s="14"/>
      <c r="Q19" s="14"/>
      <c r="R19" s="14"/>
      <c r="S19" s="317"/>
      <c r="T19" s="316"/>
      <c r="U19" s="316"/>
      <c r="V19" s="316"/>
      <c r="W19" s="316"/>
      <c r="X19" s="318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</row>
    <row r="20" spans="2:259" customFormat="1" x14ac:dyDescent="0.2">
      <c r="B20" s="950"/>
      <c r="C20" s="664"/>
      <c r="D20" s="323"/>
      <c r="E20" s="323"/>
      <c r="F20" s="958"/>
      <c r="G20" s="960"/>
      <c r="H20" s="320"/>
      <c r="I20" s="955"/>
      <c r="J20" s="655">
        <f t="shared" si="3"/>
        <v>0</v>
      </c>
      <c r="K20" s="646">
        <f t="shared" si="1"/>
        <v>0</v>
      </c>
      <c r="L20" s="896"/>
      <c r="N20" s="319"/>
      <c r="O20" s="319"/>
      <c r="P20" s="14"/>
      <c r="Q20" s="14"/>
      <c r="R20" s="14"/>
      <c r="S20" s="317"/>
      <c r="T20" s="316"/>
      <c r="U20" s="316"/>
      <c r="V20" s="316"/>
      <c r="W20" s="316"/>
      <c r="X20" s="318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</row>
    <row r="21" spans="2:259" customFormat="1" x14ac:dyDescent="0.2">
      <c r="B21" s="950"/>
      <c r="C21" s="664"/>
      <c r="D21" s="323"/>
      <c r="E21" s="323"/>
      <c r="F21" s="958"/>
      <c r="G21" s="960"/>
      <c r="H21" s="320"/>
      <c r="I21" s="955"/>
      <c r="J21" s="655">
        <f t="shared" si="3"/>
        <v>0</v>
      </c>
      <c r="K21" s="646">
        <f t="shared" si="1"/>
        <v>0</v>
      </c>
      <c r="L21" s="896"/>
      <c r="N21" s="319"/>
      <c r="O21" s="319"/>
      <c r="P21" s="14"/>
      <c r="Q21" s="14"/>
      <c r="R21" s="14"/>
      <c r="S21" s="317"/>
      <c r="T21" s="316"/>
      <c r="U21" s="316"/>
      <c r="V21" s="316"/>
      <c r="W21" s="316"/>
      <c r="X21" s="318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</row>
    <row r="22" spans="2:259" customFormat="1" ht="13.5" thickBot="1" x14ac:dyDescent="0.25">
      <c r="B22" s="951"/>
      <c r="C22" s="164"/>
      <c r="D22" s="321"/>
      <c r="E22" s="321"/>
      <c r="F22" s="959"/>
      <c r="G22" s="961"/>
      <c r="H22" s="322"/>
      <c r="I22" s="956"/>
      <c r="J22" s="656">
        <f t="shared" si="3"/>
        <v>0</v>
      </c>
      <c r="K22" s="651">
        <f t="shared" si="1"/>
        <v>0</v>
      </c>
      <c r="L22" s="897"/>
      <c r="N22" s="319"/>
      <c r="O22" s="319"/>
      <c r="P22" s="14"/>
      <c r="Q22" s="14"/>
      <c r="R22" s="14"/>
      <c r="S22" s="317"/>
      <c r="T22" s="316"/>
      <c r="U22" s="316"/>
      <c r="V22" s="316"/>
      <c r="W22" s="316"/>
      <c r="X22" s="318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</row>
    <row r="23" spans="2:259" customFormat="1" ht="12.75" customHeight="1" x14ac:dyDescent="0.2">
      <c r="B23" s="721" t="s">
        <v>223</v>
      </c>
      <c r="C23" s="666" t="s">
        <v>287</v>
      </c>
      <c r="D23" s="303" t="s">
        <v>288</v>
      </c>
      <c r="E23" s="303" t="s">
        <v>283</v>
      </c>
      <c r="F23" s="667" t="s">
        <v>218</v>
      </c>
      <c r="G23" s="654">
        <f>977584*12</f>
        <v>11731008</v>
      </c>
      <c r="H23" s="657">
        <f t="shared" ref="H23:H24" si="5">(109202+208400)</f>
        <v>317602</v>
      </c>
      <c r="I23" s="657">
        <f>88166*2</f>
        <v>176332</v>
      </c>
      <c r="J23" s="659">
        <f t="shared" si="3"/>
        <v>12224942</v>
      </c>
      <c r="K23" s="646">
        <f t="shared" si="1"/>
        <v>12775064.389999999</v>
      </c>
      <c r="L23" s="896">
        <f>SUM(K23:K30)</f>
        <v>22461865.359999999</v>
      </c>
      <c r="N23" s="319"/>
      <c r="O23" s="319"/>
      <c r="P23" s="14"/>
      <c r="Q23" s="14"/>
      <c r="R23" s="14"/>
      <c r="S23" s="317"/>
      <c r="T23" s="316"/>
      <c r="U23" s="316"/>
      <c r="V23" s="316"/>
      <c r="W23" s="316"/>
      <c r="X23" s="318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</row>
    <row r="24" spans="2:259" customFormat="1" ht="12.75" customHeight="1" x14ac:dyDescent="0.2">
      <c r="B24" s="721"/>
      <c r="C24" s="451" t="s">
        <v>289</v>
      </c>
      <c r="D24" s="323" t="s">
        <v>290</v>
      </c>
      <c r="E24" s="323" t="s">
        <v>302</v>
      </c>
      <c r="F24" s="304" t="s">
        <v>218</v>
      </c>
      <c r="G24" s="654">
        <f>731311*12</f>
        <v>8775732</v>
      </c>
      <c r="H24" s="657">
        <f t="shared" si="5"/>
        <v>317602</v>
      </c>
      <c r="I24" s="658">
        <f>88166*2</f>
        <v>176332</v>
      </c>
      <c r="J24" s="660">
        <f t="shared" si="3"/>
        <v>9269666</v>
      </c>
      <c r="K24" s="646">
        <f t="shared" si="1"/>
        <v>9686800.9699999988</v>
      </c>
      <c r="L24" s="896"/>
      <c r="N24" s="319"/>
      <c r="O24" s="319"/>
      <c r="P24" s="14"/>
      <c r="Q24" s="14"/>
      <c r="R24" s="14"/>
      <c r="S24" s="317"/>
      <c r="T24" s="316"/>
      <c r="U24" s="316"/>
      <c r="V24" s="316"/>
      <c r="W24" s="316"/>
      <c r="X24" s="318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</row>
    <row r="25" spans="2:259" customFormat="1" ht="12.75" customHeight="1" x14ac:dyDescent="0.2">
      <c r="B25" s="721"/>
      <c r="C25" s="451"/>
      <c r="D25" s="323"/>
      <c r="E25" s="323"/>
      <c r="F25" s="304"/>
      <c r="G25" s="654"/>
      <c r="H25" s="657"/>
      <c r="I25" s="658"/>
      <c r="J25" s="660">
        <f t="shared" si="3"/>
        <v>0</v>
      </c>
      <c r="K25" s="646">
        <f t="shared" si="1"/>
        <v>0</v>
      </c>
      <c r="L25" s="896"/>
      <c r="N25" s="319"/>
      <c r="O25" s="319"/>
      <c r="P25" s="14"/>
      <c r="Q25" s="14"/>
      <c r="R25" s="14"/>
      <c r="S25" s="317"/>
      <c r="T25" s="316"/>
      <c r="U25" s="316"/>
      <c r="V25" s="316"/>
      <c r="W25" s="316"/>
      <c r="X25" s="318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</row>
    <row r="26" spans="2:259" customFormat="1" ht="12.75" customHeight="1" x14ac:dyDescent="0.2">
      <c r="B26" s="721"/>
      <c r="C26" s="451"/>
      <c r="D26" s="323"/>
      <c r="E26" s="323"/>
      <c r="F26" s="304"/>
      <c r="G26" s="654"/>
      <c r="H26" s="648"/>
      <c r="I26" s="658"/>
      <c r="J26" s="660">
        <f>SUM(G26:I26)</f>
        <v>0</v>
      </c>
      <c r="K26" s="646">
        <f>+J26*(1+$K$7)</f>
        <v>0</v>
      </c>
      <c r="L26" s="896"/>
      <c r="N26" s="319"/>
      <c r="O26" s="319"/>
      <c r="P26" s="14"/>
      <c r="Q26" s="14"/>
      <c r="R26" s="14"/>
      <c r="S26" s="317"/>
      <c r="T26" s="316"/>
      <c r="U26" s="316"/>
      <c r="V26" s="316"/>
      <c r="W26" s="316"/>
      <c r="X26" s="318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</row>
    <row r="27" spans="2:259" customFormat="1" ht="12.75" customHeight="1" x14ac:dyDescent="0.2">
      <c r="B27" s="721"/>
      <c r="C27" s="451"/>
      <c r="D27" s="323"/>
      <c r="E27" s="323"/>
      <c r="F27" s="304"/>
      <c r="G27" s="654"/>
      <c r="H27" s="648"/>
      <c r="I27" s="658"/>
      <c r="J27" s="660">
        <f t="shared" si="3"/>
        <v>0</v>
      </c>
      <c r="K27" s="646">
        <f t="shared" si="1"/>
        <v>0</v>
      </c>
      <c r="L27" s="896"/>
      <c r="N27" s="319"/>
      <c r="O27" s="319"/>
      <c r="P27" s="14"/>
      <c r="Q27" s="14"/>
      <c r="R27" s="14"/>
      <c r="S27" s="317"/>
      <c r="T27" s="316"/>
      <c r="U27" s="316"/>
      <c r="V27" s="316"/>
      <c r="W27" s="316"/>
      <c r="X27" s="318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</row>
    <row r="28" spans="2:259" customFormat="1" ht="12.75" customHeight="1" x14ac:dyDescent="0.2">
      <c r="B28" s="721"/>
      <c r="C28" s="451"/>
      <c r="D28" s="323"/>
      <c r="E28" s="323"/>
      <c r="F28" s="304"/>
      <c r="G28" s="654"/>
      <c r="H28" s="648"/>
      <c r="I28" s="658"/>
      <c r="J28" s="660">
        <f t="shared" si="3"/>
        <v>0</v>
      </c>
      <c r="K28" s="646">
        <f t="shared" si="1"/>
        <v>0</v>
      </c>
      <c r="L28" s="896"/>
      <c r="N28" s="319"/>
      <c r="O28" s="319"/>
      <c r="P28" s="14"/>
      <c r="Q28" s="14"/>
      <c r="R28" s="14"/>
      <c r="S28" s="317"/>
      <c r="T28" s="316"/>
      <c r="U28" s="316"/>
      <c r="V28" s="316"/>
      <c r="W28" s="316"/>
      <c r="X28" s="318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</row>
    <row r="29" spans="2:259" customFormat="1" ht="12.75" customHeight="1" x14ac:dyDescent="0.2">
      <c r="B29" s="721"/>
      <c r="C29" s="451"/>
      <c r="D29" s="323"/>
      <c r="E29" s="323"/>
      <c r="F29" s="304"/>
      <c r="G29" s="654"/>
      <c r="H29" s="648"/>
      <c r="I29" s="658"/>
      <c r="J29" s="660">
        <f t="shared" si="3"/>
        <v>0</v>
      </c>
      <c r="K29" s="646">
        <f t="shared" si="1"/>
        <v>0</v>
      </c>
      <c r="L29" s="896"/>
      <c r="N29" s="319"/>
      <c r="O29" s="319"/>
      <c r="P29" s="14"/>
      <c r="Q29" s="14"/>
      <c r="R29" s="14"/>
      <c r="S29" s="317"/>
      <c r="T29" s="316"/>
      <c r="U29" s="316"/>
      <c r="V29" s="316"/>
      <c r="W29" s="316"/>
      <c r="X29" s="318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</row>
    <row r="30" spans="2:259" customFormat="1" ht="13.5" customHeight="1" thickBot="1" x14ac:dyDescent="0.25">
      <c r="B30" s="722"/>
      <c r="C30" s="457"/>
      <c r="D30" s="321"/>
      <c r="E30" s="321"/>
      <c r="F30" s="305"/>
      <c r="G30" s="654"/>
      <c r="H30" s="648"/>
      <c r="I30" s="658"/>
      <c r="J30" s="661">
        <f t="shared" si="3"/>
        <v>0</v>
      </c>
      <c r="K30" s="646">
        <f t="shared" si="1"/>
        <v>0</v>
      </c>
      <c r="L30" s="897"/>
      <c r="N30" s="319"/>
      <c r="O30" s="319"/>
      <c r="P30" s="14"/>
      <c r="Q30" s="14"/>
      <c r="R30" s="14"/>
      <c r="S30" s="317"/>
      <c r="T30" s="316"/>
      <c r="U30" s="316"/>
      <c r="V30" s="316"/>
      <c r="W30" s="316"/>
      <c r="X30" s="318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</row>
    <row r="31" spans="2:259" customFormat="1" ht="12.75" customHeight="1" x14ac:dyDescent="0.2">
      <c r="B31" s="890" t="s">
        <v>224</v>
      </c>
      <c r="C31" s="523"/>
      <c r="D31" s="524"/>
      <c r="E31" s="524"/>
      <c r="F31" s="525"/>
      <c r="G31" s="520"/>
      <c r="H31" s="520"/>
      <c r="I31" s="526"/>
      <c r="J31" s="526"/>
      <c r="K31" s="520"/>
      <c r="L31" s="893"/>
      <c r="N31" s="319"/>
      <c r="O31" s="319"/>
      <c r="P31" s="14"/>
      <c r="Q31" s="14"/>
      <c r="R31" s="14"/>
      <c r="S31" s="317"/>
      <c r="T31" s="316"/>
      <c r="U31" s="316"/>
      <c r="V31" s="316"/>
      <c r="W31" s="316"/>
      <c r="X31" s="318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</row>
    <row r="32" spans="2:259" customFormat="1" ht="12.75" customHeight="1" x14ac:dyDescent="0.2">
      <c r="B32" s="891"/>
      <c r="C32" s="527"/>
      <c r="D32" s="528"/>
      <c r="E32" s="528"/>
      <c r="F32" s="529"/>
      <c r="G32" s="521"/>
      <c r="H32" s="521"/>
      <c r="I32" s="530"/>
      <c r="J32" s="530"/>
      <c r="K32" s="521"/>
      <c r="L32" s="894"/>
      <c r="N32" s="319"/>
      <c r="O32" s="319"/>
      <c r="P32" s="14"/>
      <c r="Q32" s="14"/>
      <c r="R32" s="14"/>
      <c r="S32" s="317"/>
      <c r="T32" s="316"/>
      <c r="U32" s="316"/>
      <c r="V32" s="316"/>
      <c r="W32" s="316"/>
      <c r="X32" s="318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</row>
    <row r="33" spans="2:259" customFormat="1" ht="12.75" customHeight="1" x14ac:dyDescent="0.2">
      <c r="B33" s="891"/>
      <c r="C33" s="527"/>
      <c r="D33" s="528"/>
      <c r="E33" s="528"/>
      <c r="F33" s="529"/>
      <c r="G33" s="521"/>
      <c r="H33" s="521"/>
      <c r="I33" s="530"/>
      <c r="J33" s="530"/>
      <c r="K33" s="521"/>
      <c r="L33" s="894"/>
      <c r="N33" s="319"/>
      <c r="O33" s="319"/>
      <c r="P33" s="14"/>
      <c r="Q33" s="14"/>
      <c r="R33" s="14"/>
      <c r="S33" s="317"/>
      <c r="T33" s="316"/>
      <c r="U33" s="316"/>
      <c r="V33" s="316"/>
      <c r="W33" s="316"/>
      <c r="X33" s="318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</row>
    <row r="34" spans="2:259" customFormat="1" ht="12.75" customHeight="1" x14ac:dyDescent="0.2">
      <c r="B34" s="891"/>
      <c r="C34" s="527"/>
      <c r="D34" s="528"/>
      <c r="E34" s="528"/>
      <c r="F34" s="529"/>
      <c r="G34" s="521"/>
      <c r="H34" s="521"/>
      <c r="I34" s="530"/>
      <c r="J34" s="530"/>
      <c r="K34" s="521"/>
      <c r="L34" s="894"/>
      <c r="N34" s="319"/>
      <c r="O34" s="319"/>
      <c r="P34" s="14"/>
      <c r="Q34" s="14"/>
      <c r="R34" s="14"/>
      <c r="S34" s="317"/>
      <c r="T34" s="316"/>
      <c r="U34" s="316"/>
      <c r="V34" s="316"/>
      <c r="W34" s="316"/>
      <c r="X34" s="318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</row>
    <row r="35" spans="2:259" customFormat="1" ht="12.75" customHeight="1" x14ac:dyDescent="0.2">
      <c r="B35" s="891"/>
      <c r="C35" s="527"/>
      <c r="D35" s="528"/>
      <c r="E35" s="528"/>
      <c r="F35" s="529"/>
      <c r="G35" s="521"/>
      <c r="H35" s="521"/>
      <c r="I35" s="530"/>
      <c r="J35" s="530"/>
      <c r="K35" s="521"/>
      <c r="L35" s="894"/>
      <c r="N35" s="319"/>
      <c r="O35" s="319"/>
      <c r="P35" s="14"/>
      <c r="Q35" s="14"/>
      <c r="R35" s="14"/>
      <c r="S35" s="317"/>
      <c r="T35" s="316"/>
      <c r="U35" s="316"/>
      <c r="V35" s="316"/>
      <c r="W35" s="316"/>
      <c r="X35" s="318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</row>
    <row r="36" spans="2:259" customFormat="1" ht="12.75" customHeight="1" thickBot="1" x14ac:dyDescent="0.25">
      <c r="B36" s="892"/>
      <c r="C36" s="531"/>
      <c r="D36" s="532"/>
      <c r="E36" s="532"/>
      <c r="F36" s="533"/>
      <c r="G36" s="522"/>
      <c r="H36" s="522"/>
      <c r="I36" s="534"/>
      <c r="J36" s="534"/>
      <c r="K36" s="522"/>
      <c r="L36" s="895"/>
      <c r="N36" s="319"/>
      <c r="O36" s="319"/>
      <c r="P36" s="14"/>
      <c r="Q36" s="14"/>
      <c r="R36" s="14"/>
      <c r="S36" s="317"/>
      <c r="T36" s="316"/>
      <c r="U36" s="316"/>
      <c r="V36" s="316"/>
      <c r="W36" s="316"/>
      <c r="X36" s="318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</row>
    <row r="37" spans="2:259" ht="12.75" customHeight="1" thickBot="1" x14ac:dyDescent="0.25">
      <c r="B37" s="18"/>
      <c r="C37"/>
      <c r="D37"/>
      <c r="E37" s="27"/>
      <c r="F37" s="27"/>
      <c r="G37" s="27"/>
      <c r="H37" s="27"/>
      <c r="I37" s="27"/>
      <c r="J37" s="27"/>
      <c r="K37" s="159" t="s">
        <v>93</v>
      </c>
      <c r="L37" s="160">
        <f>SUM(L11:L36)</f>
        <v>63581900.579999998</v>
      </c>
      <c r="N37" s="19"/>
      <c r="O37" s="19"/>
      <c r="P37" s="19"/>
      <c r="Q37" s="319"/>
      <c r="R37" s="319"/>
      <c r="S37" s="319"/>
      <c r="T37" s="21"/>
      <c r="U37" s="21"/>
      <c r="V37" s="22"/>
      <c r="W37" s="22"/>
    </row>
    <row r="38" spans="2:259" ht="12.75" customHeight="1" x14ac:dyDescent="0.2">
      <c r="B38" s="18"/>
      <c r="C38"/>
      <c r="D38"/>
      <c r="E38" s="27"/>
      <c r="F38" s="27"/>
      <c r="G38" s="27"/>
      <c r="H38" s="27"/>
      <c r="I38" s="27"/>
      <c r="J38" s="27"/>
      <c r="K38" s="23"/>
      <c r="L38" s="23"/>
      <c r="M38" s="23"/>
      <c r="N38" s="19"/>
      <c r="O38" s="19"/>
      <c r="P38" s="19"/>
      <c r="Q38" s="319"/>
      <c r="R38" s="319"/>
      <c r="S38" s="319"/>
      <c r="T38" s="21"/>
      <c r="U38" s="21"/>
      <c r="V38" s="22"/>
      <c r="W38" s="22"/>
    </row>
    <row r="39" spans="2:259" ht="12.75" customHeight="1" x14ac:dyDescent="0.2">
      <c r="B39" s="18"/>
      <c r="C39" s="18"/>
      <c r="D39" s="18"/>
      <c r="E39" s="18"/>
      <c r="F39" s="18"/>
      <c r="G39" s="18"/>
      <c r="H39" s="18"/>
      <c r="I39" s="18"/>
      <c r="J39" s="18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2"/>
      <c r="W39" s="22"/>
    </row>
    <row r="40" spans="2:259" ht="12.75" customHeight="1" x14ac:dyDescent="0.2">
      <c r="B40" s="18"/>
      <c r="C40" s="18"/>
      <c r="D40" s="18"/>
      <c r="E40" s="18"/>
      <c r="F40" s="18"/>
      <c r="G40" s="18"/>
      <c r="H40" s="18"/>
      <c r="I40" s="18"/>
      <c r="J40" s="18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2"/>
      <c r="W40" s="22"/>
    </row>
    <row r="41" spans="2:259" x14ac:dyDescent="0.2">
      <c r="B41" s="18"/>
      <c r="C41" s="18"/>
      <c r="D41" s="18"/>
      <c r="E41" s="18"/>
      <c r="F41" s="18"/>
      <c r="G41" s="18"/>
      <c r="H41" s="18"/>
      <c r="I41" s="18"/>
      <c r="J41" s="18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2"/>
      <c r="W41" s="22"/>
    </row>
    <row r="42" spans="2:259" x14ac:dyDescent="0.2">
      <c r="B42" s="18"/>
      <c r="C42" s="18"/>
      <c r="D42" s="18"/>
      <c r="E42" s="18"/>
      <c r="F42" s="18"/>
      <c r="G42" s="18"/>
      <c r="H42" s="18"/>
      <c r="I42" s="18"/>
      <c r="J42" s="18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2"/>
      <c r="W42" s="22"/>
    </row>
    <row r="43" spans="2:259" x14ac:dyDescent="0.2">
      <c r="B43" s="18"/>
      <c r="C43" s="18"/>
      <c r="D43" s="18"/>
      <c r="E43" s="18"/>
      <c r="F43" s="18"/>
      <c r="G43" s="18"/>
      <c r="H43" s="18"/>
      <c r="I43" s="18"/>
      <c r="J43" s="18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2"/>
      <c r="W43" s="22"/>
    </row>
    <row r="44" spans="2:259" x14ac:dyDescent="0.2">
      <c r="B44" s="18"/>
      <c r="C44" s="18"/>
      <c r="D44" s="18"/>
      <c r="E44" s="18"/>
      <c r="F44" s="18"/>
      <c r="G44" s="18"/>
      <c r="H44" s="18"/>
      <c r="I44" s="18"/>
      <c r="J44" s="18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2"/>
      <c r="W44" s="22"/>
    </row>
  </sheetData>
  <sheetProtection algorithmName="SHA-512" hashValue="dJF0iThwwu+P6/LmCzNOGfwuYPp8VomFGPQkAiLRnp3Nyg4wDD9X8bnHkF/LXeIbzoxfJJdyBoMy620kwKTTJA==" saltValue="5KYsYRW6zEM25pYsr7V9KQ==" spinCount="100000" sheet="1" objects="1" scenarios="1"/>
  <mergeCells count="16">
    <mergeCell ref="T10:W10"/>
    <mergeCell ref="B11:B22"/>
    <mergeCell ref="L11:L22"/>
    <mergeCell ref="F9:F10"/>
    <mergeCell ref="B7:E7"/>
    <mergeCell ref="B9:B10"/>
    <mergeCell ref="C9:C10"/>
    <mergeCell ref="D9:D10"/>
    <mergeCell ref="E9:E10"/>
    <mergeCell ref="B31:B36"/>
    <mergeCell ref="L31:L36"/>
    <mergeCell ref="B23:B30"/>
    <mergeCell ref="L23:L30"/>
    <mergeCell ref="K9:K10"/>
    <mergeCell ref="L9:L10"/>
    <mergeCell ref="G9:J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21"/>
  <sheetViews>
    <sheetView showGridLines="0" topLeftCell="C4" zoomScale="80" zoomScaleNormal="80" workbookViewId="0">
      <selection activeCell="O24" sqref="O24"/>
    </sheetView>
  </sheetViews>
  <sheetFormatPr baseColWidth="10" defaultColWidth="10.7109375" defaultRowHeight="12.75" x14ac:dyDescent="0.2"/>
  <cols>
    <col min="1" max="1" width="33" style="2" customWidth="1"/>
    <col min="2" max="2" width="33" style="2" bestFit="1" customWidth="1"/>
    <col min="3" max="12" width="14.7109375" style="2" customWidth="1"/>
    <col min="13" max="13" width="33.5703125" style="2" bestFit="1" customWidth="1"/>
    <col min="14" max="14" width="14.7109375" style="2" customWidth="1"/>
    <col min="15" max="15" width="33.5703125" style="2" bestFit="1" customWidth="1"/>
    <col min="16" max="16" width="14.7109375" style="2" customWidth="1"/>
    <col min="17" max="17" width="14.28515625" style="2" customWidth="1"/>
    <col min="18" max="16384" width="10.7109375" style="2"/>
  </cols>
  <sheetData>
    <row r="1" spans="1:19" x14ac:dyDescent="0.2">
      <c r="B1" s="26"/>
      <c r="C1" s="26"/>
      <c r="D1" s="26" t="s">
        <v>203</v>
      </c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</row>
    <row r="2" spans="1:19" x14ac:dyDescent="0.2">
      <c r="B2" s="26"/>
      <c r="C2" s="26"/>
      <c r="D2" s="26" t="s">
        <v>195</v>
      </c>
      <c r="E2" s="26"/>
      <c r="F2" s="26"/>
      <c r="G2" s="26"/>
      <c r="H2" s="26"/>
      <c r="I2" s="26"/>
      <c r="J2" s="26"/>
      <c r="K2" s="26"/>
      <c r="L2" s="26"/>
      <c r="M2" s="26"/>
      <c r="N2" s="26"/>
      <c r="P2" s="26"/>
    </row>
    <row r="3" spans="1:19" x14ac:dyDescent="0.2">
      <c r="C3" s="4"/>
      <c r="D3" s="4"/>
      <c r="E3" s="4"/>
      <c r="F3" s="4"/>
      <c r="G3" s="4"/>
      <c r="H3" s="4"/>
      <c r="I3" s="4"/>
      <c r="J3" s="4"/>
      <c r="K3" s="4"/>
      <c r="L3" s="4"/>
      <c r="N3" s="4"/>
      <c r="P3" s="4"/>
    </row>
    <row r="4" spans="1:19" ht="18.75" customHeight="1" x14ac:dyDescent="0.2">
      <c r="C4" s="13" t="s">
        <v>0</v>
      </c>
      <c r="D4" s="917" t="str">
        <f>+'B) Reajuste Tarifas y Ocupación'!F5</f>
        <v>(DEPTO./DELEG.)</v>
      </c>
      <c r="E4" s="725"/>
      <c r="F4" s="918"/>
      <c r="G4" s="26"/>
      <c r="H4" s="26"/>
      <c r="I4" s="26"/>
      <c r="J4" s="26"/>
      <c r="K4" s="26"/>
      <c r="L4" s="26"/>
      <c r="N4" s="26"/>
      <c r="P4" s="26"/>
    </row>
    <row r="5" spans="1:19" x14ac:dyDescent="0.2">
      <c r="A5" s="6"/>
      <c r="B5" s="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P5" s="26"/>
    </row>
    <row r="6" spans="1:19" x14ac:dyDescent="0.2">
      <c r="A6" s="6"/>
      <c r="B6" s="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P6" s="26"/>
    </row>
    <row r="7" spans="1:19" ht="12.75" customHeight="1" x14ac:dyDescent="0.2">
      <c r="A7" s="930" t="s">
        <v>127</v>
      </c>
      <c r="B7" s="931"/>
      <c r="C7" s="931"/>
      <c r="D7" s="931"/>
      <c r="E7" s="931"/>
      <c r="F7" s="931"/>
      <c r="G7" s="931"/>
      <c r="H7" s="931"/>
      <c r="I7" s="931"/>
      <c r="J7" s="931"/>
      <c r="K7" s="931"/>
      <c r="L7" s="931"/>
      <c r="M7" s="931"/>
      <c r="N7" s="931"/>
      <c r="O7" s="932"/>
      <c r="P7" s="30"/>
    </row>
    <row r="8" spans="1:19" x14ac:dyDescent="0.2">
      <c r="A8" s="933"/>
      <c r="B8" s="934"/>
      <c r="C8" s="934"/>
      <c r="D8" s="934"/>
      <c r="E8" s="934"/>
      <c r="F8" s="934"/>
      <c r="G8" s="934"/>
      <c r="H8" s="934"/>
      <c r="I8" s="934"/>
      <c r="J8" s="934"/>
      <c r="K8" s="934"/>
      <c r="L8" s="934"/>
      <c r="M8" s="934"/>
      <c r="N8" s="934"/>
      <c r="O8" s="935"/>
      <c r="P8" s="30"/>
    </row>
    <row r="9" spans="1:19" x14ac:dyDescent="0.2">
      <c r="A9" s="936"/>
      <c r="B9" s="937"/>
      <c r="C9" s="937"/>
      <c r="D9" s="937"/>
      <c r="E9" s="937"/>
      <c r="F9" s="937"/>
      <c r="G9" s="937"/>
      <c r="H9" s="937"/>
      <c r="I9" s="937"/>
      <c r="J9" s="937"/>
      <c r="K9" s="937"/>
      <c r="L9" s="937"/>
      <c r="M9" s="937"/>
      <c r="N9" s="937"/>
      <c r="O9" s="938"/>
      <c r="P9" s="30"/>
    </row>
    <row r="10" spans="1:19" x14ac:dyDescent="0.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9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9" ht="15.75" x14ac:dyDescent="0.2">
      <c r="A12" s="743" t="s">
        <v>157</v>
      </c>
      <c r="B12" s="743"/>
      <c r="C12" s="743"/>
      <c r="D12" s="743"/>
      <c r="E12" s="60"/>
      <c r="F12" s="30"/>
      <c r="G12" s="30"/>
      <c r="H12" s="30"/>
      <c r="I12" s="29"/>
      <c r="J12" s="29"/>
      <c r="K12" s="30"/>
      <c r="L12" s="30"/>
      <c r="M12" s="30"/>
      <c r="N12" s="30"/>
      <c r="O12" s="30"/>
      <c r="P12" s="30"/>
    </row>
    <row r="13" spans="1:19" ht="13.5" thickBot="1" x14ac:dyDescent="0.25">
      <c r="A13" s="6"/>
      <c r="B13" s="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P13" s="26"/>
    </row>
    <row r="14" spans="1:19" ht="20.25" customHeight="1" x14ac:dyDescent="0.2">
      <c r="A14" s="921" t="s">
        <v>132</v>
      </c>
      <c r="B14" s="923" t="s">
        <v>5</v>
      </c>
      <c r="C14" s="732" t="s">
        <v>256</v>
      </c>
      <c r="D14" s="733"/>
      <c r="E14" s="733"/>
      <c r="F14" s="733"/>
      <c r="G14" s="734"/>
      <c r="H14" s="927" t="s">
        <v>138</v>
      </c>
      <c r="I14" s="928"/>
      <c r="J14" s="928"/>
      <c r="K14" s="928"/>
      <c r="L14" s="929"/>
      <c r="M14" s="925" t="s">
        <v>108</v>
      </c>
      <c r="N14" s="926"/>
      <c r="O14" s="919" t="s">
        <v>109</v>
      </c>
      <c r="P14" s="920"/>
      <c r="Q14" s="915" t="s">
        <v>128</v>
      </c>
    </row>
    <row r="15" spans="1:19" ht="70.5" customHeight="1" thickBot="1" x14ac:dyDescent="0.25">
      <c r="A15" s="922"/>
      <c r="B15" s="924"/>
      <c r="C15" s="256" t="s">
        <v>85</v>
      </c>
      <c r="D15" s="257" t="s">
        <v>133</v>
      </c>
      <c r="E15" s="257" t="s">
        <v>134</v>
      </c>
      <c r="F15" s="257" t="s">
        <v>86</v>
      </c>
      <c r="G15" s="258" t="s">
        <v>87</v>
      </c>
      <c r="H15" s="259" t="s">
        <v>85</v>
      </c>
      <c r="I15" s="260" t="s">
        <v>133</v>
      </c>
      <c r="J15" s="260" t="s">
        <v>134</v>
      </c>
      <c r="K15" s="260" t="s">
        <v>86</v>
      </c>
      <c r="L15" s="261" t="s">
        <v>87</v>
      </c>
      <c r="M15" s="262" t="s">
        <v>72</v>
      </c>
      <c r="N15" s="158" t="s">
        <v>84</v>
      </c>
      <c r="O15" s="263" t="s">
        <v>72</v>
      </c>
      <c r="P15" s="158" t="s">
        <v>84</v>
      </c>
      <c r="Q15" s="916"/>
    </row>
    <row r="16" spans="1:19" ht="12.75" customHeight="1" x14ac:dyDescent="0.2">
      <c r="A16" s="912" t="str">
        <f>'B) Reajuste Tarifas y Ocupación'!A12</f>
        <v>Jardín Infantil Olitas de Mar</v>
      </c>
      <c r="B16" s="264" t="str">
        <f>+'B) Reajuste Tarifas y Ocupación'!B12</f>
        <v>Media jornada</v>
      </c>
      <c r="C16" s="241">
        <f>+'B) Reajuste Tarifas y Ocupación'!M12</f>
        <v>82300</v>
      </c>
      <c r="D16" s="242">
        <f>+'B) Reajuste Tarifas y Ocupación'!N12</f>
        <v>111100</v>
      </c>
      <c r="E16" s="242">
        <f>+'B) Reajuste Tarifas y Ocupación'!O12</f>
        <v>115200</v>
      </c>
      <c r="F16" s="242">
        <f>+'B) Reajuste Tarifas y Ocupación'!P12</f>
        <v>124300</v>
      </c>
      <c r="G16" s="243">
        <f>+'B) Reajuste Tarifas y Ocupación'!Q12</f>
        <v>199300</v>
      </c>
      <c r="H16" s="267">
        <f t="shared" ref="H16:K17" si="0">IFERROR(C16/$Q16,0)</f>
        <v>0.30201834862385318</v>
      </c>
      <c r="I16" s="107">
        <f t="shared" si="0"/>
        <v>0.40770642201834861</v>
      </c>
      <c r="J16" s="107">
        <f t="shared" si="0"/>
        <v>0.42275229357798166</v>
      </c>
      <c r="K16" s="107">
        <f t="shared" si="0"/>
        <v>0.45614678899082567</v>
      </c>
      <c r="L16" s="108">
        <f t="shared" ref="L16" si="1">IFERROR(G16/$Q16,0)</f>
        <v>0.73137614678899088</v>
      </c>
      <c r="M16" s="662" t="s">
        <v>269</v>
      </c>
      <c r="N16" s="663">
        <v>245000</v>
      </c>
      <c r="O16" s="662" t="s">
        <v>271</v>
      </c>
      <c r="P16" s="161">
        <v>300000</v>
      </c>
      <c r="Q16" s="269">
        <f>AVERAGE(N16,P16)</f>
        <v>272500</v>
      </c>
      <c r="R16" s="14"/>
      <c r="S16" s="15"/>
    </row>
    <row r="17" spans="1:19" ht="12.75" customHeight="1" thickBot="1" x14ac:dyDescent="0.25">
      <c r="A17" s="913"/>
      <c r="B17" s="265" t="str">
        <f>+'B) Reajuste Tarifas y Ocupación'!B13</f>
        <v>Media jornada Extendida</v>
      </c>
      <c r="C17" s="244">
        <f>+'B) Reajuste Tarifas y Ocupación'!M13</f>
        <v>93900</v>
      </c>
      <c r="D17" s="240">
        <f>+'B) Reajuste Tarifas y Ocupación'!N13</f>
        <v>126700</v>
      </c>
      <c r="E17" s="240">
        <f>+'B) Reajuste Tarifas y Ocupación'!O13</f>
        <v>131400</v>
      </c>
      <c r="F17" s="240">
        <f>+'B) Reajuste Tarifas y Ocupación'!P13</f>
        <v>177500</v>
      </c>
      <c r="G17" s="245">
        <f>+'B) Reajuste Tarifas y Ocupación'!Q13</f>
        <v>264500</v>
      </c>
      <c r="H17" s="110">
        <f t="shared" si="0"/>
        <v>0</v>
      </c>
      <c r="I17" s="109">
        <f t="shared" si="0"/>
        <v>0</v>
      </c>
      <c r="J17" s="109">
        <f t="shared" si="0"/>
        <v>0</v>
      </c>
      <c r="K17" s="109">
        <f t="shared" si="0"/>
        <v>0</v>
      </c>
      <c r="L17" s="268">
        <f t="shared" ref="L17" si="2">IFERROR(G17/$Q17,0)</f>
        <v>0</v>
      </c>
      <c r="M17" s="664" t="s">
        <v>269</v>
      </c>
      <c r="N17" s="665">
        <v>0</v>
      </c>
      <c r="O17" s="162"/>
      <c r="P17" s="163">
        <v>0</v>
      </c>
      <c r="Q17" s="270">
        <f>AVERAGE(N17,P17)</f>
        <v>0</v>
      </c>
      <c r="R17" s="14"/>
      <c r="S17" s="15"/>
    </row>
    <row r="18" spans="1:19" ht="13.5" thickBot="1" x14ac:dyDescent="0.25">
      <c r="A18" s="914"/>
      <c r="B18" s="266" t="str">
        <f>+'B) Reajuste Tarifas y Ocupación'!B14</f>
        <v>Jornada Completa</v>
      </c>
      <c r="C18" s="246">
        <f>+'B) Reajuste Tarifas y Ocupación'!M14</f>
        <v>147000</v>
      </c>
      <c r="D18" s="247">
        <f>+'B) Reajuste Tarifas y Ocupación'!N14</f>
        <v>198400</v>
      </c>
      <c r="E18" s="247">
        <f>+'B) Reajuste Tarifas y Ocupación'!O14</f>
        <v>205700</v>
      </c>
      <c r="F18" s="247">
        <f>+'B) Reajuste Tarifas y Ocupación'!P14</f>
        <v>227500</v>
      </c>
      <c r="G18" s="248">
        <f>+'B) Reajuste Tarifas y Ocupación'!Q14</f>
        <v>365500</v>
      </c>
      <c r="H18" s="166">
        <f t="shared" ref="H18:H19" si="3">IFERROR(C18/$Q18,0)</f>
        <v>0.45581395348837211</v>
      </c>
      <c r="I18" s="167">
        <f t="shared" ref="I18:I19" si="4">IFERROR(D18/$Q18,0)</f>
        <v>0.61519379844961242</v>
      </c>
      <c r="J18" s="167">
        <f t="shared" ref="J18:J19" si="5">IFERROR(E18/$Q18,0)</f>
        <v>0.63782945736434105</v>
      </c>
      <c r="K18" s="167">
        <f t="shared" ref="K18:K19" si="6">IFERROR(F18/$Q18,0)</f>
        <v>0.70542635658914732</v>
      </c>
      <c r="L18" s="168">
        <f t="shared" ref="L18:L19" si="7">IFERROR(G18/$Q18,0)</f>
        <v>1.1333333333333333</v>
      </c>
      <c r="M18" s="164" t="s">
        <v>269</v>
      </c>
      <c r="N18" s="165">
        <v>345000</v>
      </c>
      <c r="O18" s="662" t="s">
        <v>271</v>
      </c>
      <c r="P18" s="165">
        <v>300000</v>
      </c>
      <c r="Q18" s="271">
        <f t="shared" ref="Q18" si="8">AVERAGE(N18,P18)</f>
        <v>322500</v>
      </c>
      <c r="R18" s="14"/>
      <c r="S18" s="15"/>
    </row>
    <row r="19" spans="1:19" x14ac:dyDescent="0.2">
      <c r="A19" s="912" t="str">
        <f>'B) Reajuste Tarifas y Ocupación'!A15</f>
        <v>Sala Cuna Olitas de Mar</v>
      </c>
      <c r="B19" s="264" t="str">
        <f>+'B) Reajuste Tarifas y Ocupación'!B15</f>
        <v>Diurna</v>
      </c>
      <c r="C19" s="241">
        <f>+'B) Reajuste Tarifas y Ocupación'!M15</f>
        <v>437600</v>
      </c>
      <c r="D19" s="242">
        <f>+'B) Reajuste Tarifas y Ocupación'!N15</f>
        <v>590800</v>
      </c>
      <c r="E19" s="242">
        <f>+'B) Reajuste Tarifas y Ocupación'!O15</f>
        <v>612700</v>
      </c>
      <c r="F19" s="242">
        <f>+'B) Reajuste Tarifas y Ocupación'!P15</f>
        <v>547000</v>
      </c>
      <c r="G19" s="243">
        <f>+'B) Reajuste Tarifas y Ocupación'!Q15</f>
        <v>656300</v>
      </c>
      <c r="H19" s="267">
        <f t="shared" si="3"/>
        <v>1.2502857142857142</v>
      </c>
      <c r="I19" s="107">
        <f t="shared" si="4"/>
        <v>1.6879999999999999</v>
      </c>
      <c r="J19" s="107">
        <f t="shared" si="5"/>
        <v>1.7505714285714287</v>
      </c>
      <c r="K19" s="107">
        <f t="shared" si="6"/>
        <v>1.5628571428571429</v>
      </c>
      <c r="L19" s="108">
        <f t="shared" si="7"/>
        <v>1.8751428571428572</v>
      </c>
      <c r="M19" s="662" t="s">
        <v>270</v>
      </c>
      <c r="N19" s="161">
        <v>450000</v>
      </c>
      <c r="O19" s="188" t="s">
        <v>272</v>
      </c>
      <c r="P19" s="161">
        <v>250000</v>
      </c>
      <c r="Q19" s="269">
        <f>AVERAGE(N19,P19)</f>
        <v>350000</v>
      </c>
    </row>
    <row r="20" spans="1:19" ht="13.5" thickBot="1" x14ac:dyDescent="0.25">
      <c r="A20" s="913"/>
      <c r="B20" s="265" t="str">
        <f>+'B) Reajuste Tarifas y Ocupación'!B16</f>
        <v>Nocturna</v>
      </c>
      <c r="C20" s="463"/>
      <c r="D20" s="464"/>
      <c r="E20" s="464"/>
      <c r="F20" s="464"/>
      <c r="G20" s="465"/>
      <c r="H20" s="468"/>
      <c r="I20" s="469"/>
      <c r="J20" s="469"/>
      <c r="K20" s="469"/>
      <c r="L20" s="470"/>
      <c r="M20" s="471"/>
      <c r="N20" s="472"/>
      <c r="O20" s="471"/>
      <c r="P20" s="472"/>
      <c r="Q20" s="473"/>
    </row>
    <row r="21" spans="1:19" ht="13.5" thickBot="1" x14ac:dyDescent="0.25">
      <c r="A21" s="914"/>
      <c r="B21" s="266" t="str">
        <f>+'B) Reajuste Tarifas y Ocupación'!B17</f>
        <v>Media Jornada</v>
      </c>
      <c r="C21" s="246">
        <f>+'B) Reajuste Tarifas y Ocupación'!M17</f>
        <v>262800</v>
      </c>
      <c r="D21" s="247">
        <f>+'B) Reajuste Tarifas y Ocupación'!N17</f>
        <v>354800</v>
      </c>
      <c r="E21" s="247">
        <f>+'B) Reajuste Tarifas y Ocupación'!O17</f>
        <v>368000</v>
      </c>
      <c r="F21" s="247">
        <f>+'B) Reajuste Tarifas y Ocupación'!P17</f>
        <v>394000</v>
      </c>
      <c r="G21" s="248">
        <f>+'B) Reajuste Tarifas y Ocupación'!Q17</f>
        <v>525200</v>
      </c>
      <c r="H21" s="166">
        <f t="shared" ref="H21" si="9">IFERROR(C21/$Q21,0)</f>
        <v>0.67384615384615387</v>
      </c>
      <c r="I21" s="167">
        <f t="shared" ref="I21" si="10">IFERROR(D21/$Q21,0)</f>
        <v>0.90974358974358971</v>
      </c>
      <c r="J21" s="167">
        <f t="shared" ref="J21" si="11">IFERROR(E21/$Q21,0)</f>
        <v>0.94358974358974357</v>
      </c>
      <c r="K21" s="167">
        <f t="shared" ref="K21" si="12">IFERROR(F21/$Q21,0)</f>
        <v>1.0102564102564102</v>
      </c>
      <c r="L21" s="168">
        <f t="shared" ref="L21" si="13">IFERROR(G21/$Q21,0)</f>
        <v>1.3466666666666667</v>
      </c>
      <c r="M21" s="662" t="s">
        <v>270</v>
      </c>
      <c r="N21" s="165">
        <v>280000</v>
      </c>
      <c r="O21" s="662" t="s">
        <v>272</v>
      </c>
      <c r="P21" s="165">
        <v>500000</v>
      </c>
      <c r="Q21" s="271">
        <f t="shared" ref="Q21" si="14">AVERAGE(N21,P21)</f>
        <v>390000</v>
      </c>
    </row>
  </sheetData>
  <sheetProtection algorithmName="SHA-512" hashValue="gtjGCiBlB3EsPW7eooXV62xsnlE5h4pSZ+HEOPK/L73wrnxreiEy7wA3++S/y39Ag9LXYNIyyGa4LRNGV/1DOw==" saltValue="+W2lqEl1MUOxu3nEpz4aWg==" spinCount="100000" sheet="1" objects="1" scenarios="1"/>
  <mergeCells count="12">
    <mergeCell ref="A19:A21"/>
    <mergeCell ref="A16:A18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12</vt:i4>
      </vt:variant>
    </vt:vector>
  </HeadingPairs>
  <TitlesOfParts>
    <vt:vector size="23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I) Proyección Mensual.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130 Carolina Vera</cp:lastModifiedBy>
  <cp:lastPrinted>2017-09-14T16:34:08Z</cp:lastPrinted>
  <dcterms:created xsi:type="dcterms:W3CDTF">2017-05-11T00:45:10Z</dcterms:created>
  <dcterms:modified xsi:type="dcterms:W3CDTF">2025-11-19T17:58:41Z</dcterms:modified>
</cp:coreProperties>
</file>